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aspro/Desktop/"/>
    </mc:Choice>
  </mc:AlternateContent>
  <xr:revisionPtr revIDLastSave="0" documentId="13_ncr:1_{FF5C8DA8-2D49-4947-A19E-062CC8185390}" xr6:coauthVersionLast="45" xr6:coauthVersionMax="45" xr10:uidLastSave="{00000000-0000-0000-0000-000000000000}"/>
  <bookViews>
    <workbookView xWindow="1080" yWindow="580" windowWidth="28900" windowHeight="18380" activeTab="4" xr2:uid="{B3311BB6-186E-484C-BC93-B3A02931284B}"/>
  </bookViews>
  <sheets>
    <sheet name="WACC" sheetId="1" r:id="rId1"/>
    <sheet name="Financials 2005-2007" sheetId="2" r:id="rId2"/>
    <sheet name="Financials Projection 2008-2012" sheetId="3" r:id="rId3"/>
    <sheet name="Loan Amortization" sheetId="4" r:id="rId4"/>
    <sheet name="Valuation" sheetId="5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" i="5" l="1"/>
  <c r="B43" i="5"/>
  <c r="B44" i="5" s="1"/>
  <c r="B45" i="5" s="1"/>
  <c r="M40" i="5"/>
  <c r="N40" i="5" s="1"/>
  <c r="K40" i="5"/>
  <c r="J40" i="5"/>
  <c r="F40" i="5"/>
  <c r="G40" i="5" s="1"/>
  <c r="D40" i="5"/>
  <c r="C40" i="5" s="1"/>
  <c r="I43" i="5" l="1"/>
  <c r="I42" i="5" s="1"/>
  <c r="I41" i="5" s="1"/>
  <c r="I44" i="5"/>
  <c r="I45" i="5" s="1"/>
  <c r="B42" i="5"/>
  <c r="B41" i="5" s="1"/>
  <c r="H26" i="5"/>
  <c r="C25" i="5"/>
  <c r="C27" i="5" s="1"/>
  <c r="D5" i="5"/>
  <c r="H107" i="3"/>
  <c r="H106" i="3"/>
  <c r="H104" i="3"/>
  <c r="I104" i="3" s="1"/>
  <c r="J104" i="3" s="1"/>
  <c r="K104" i="3" s="1"/>
  <c r="L104" i="3" s="1"/>
  <c r="I103" i="3"/>
  <c r="J103" i="3" s="1"/>
  <c r="K103" i="3" s="1"/>
  <c r="L103" i="3" s="1"/>
  <c r="H103" i="3"/>
  <c r="D85" i="3"/>
  <c r="E85" i="3"/>
  <c r="F85" i="3"/>
  <c r="G85" i="3"/>
  <c r="C85" i="3"/>
  <c r="C83" i="3"/>
  <c r="D83" i="3" s="1"/>
  <c r="E83" i="3" s="1"/>
  <c r="F83" i="3" s="1"/>
  <c r="G83" i="3" s="1"/>
  <c r="D74" i="3"/>
  <c r="E74" i="3" s="1"/>
  <c r="F74" i="3" s="1"/>
  <c r="G74" i="3" s="1"/>
  <c r="H74" i="3" s="1"/>
  <c r="C64" i="3"/>
  <c r="D64" i="3"/>
  <c r="E64" i="3" s="1"/>
  <c r="F64" i="3" s="1"/>
  <c r="G64" i="3" s="1"/>
  <c r="H64" i="3" s="1"/>
  <c r="I64" i="3" s="1"/>
  <c r="B64" i="3"/>
  <c r="C62" i="3"/>
  <c r="D62" i="3"/>
  <c r="B62" i="3"/>
  <c r="C65" i="3"/>
  <c r="D65" i="3"/>
  <c r="E65" i="3" s="1"/>
  <c r="B65" i="3"/>
  <c r="C63" i="3"/>
  <c r="D63" i="3"/>
  <c r="B63" i="3"/>
  <c r="C61" i="3"/>
  <c r="D61" i="3"/>
  <c r="B61" i="3"/>
  <c r="C54" i="3"/>
  <c r="D54" i="3"/>
  <c r="E54" i="3" s="1"/>
  <c r="F54" i="3" s="1"/>
  <c r="B54" i="3"/>
  <c r="C57" i="3"/>
  <c r="D57" i="3"/>
  <c r="B57" i="3"/>
  <c r="C56" i="3"/>
  <c r="D56" i="3"/>
  <c r="B56" i="3"/>
  <c r="C55" i="3"/>
  <c r="D55" i="3"/>
  <c r="B55" i="3"/>
  <c r="C51" i="3"/>
  <c r="D51" i="3"/>
  <c r="B51" i="3"/>
  <c r="B50" i="3"/>
  <c r="E92" i="3"/>
  <c r="F92" i="3" s="1"/>
  <c r="H92" i="3" s="1"/>
  <c r="I92" i="3" s="1"/>
  <c r="J92" i="3" s="1"/>
  <c r="K92" i="3" s="1"/>
  <c r="L92" i="3" s="1"/>
  <c r="D138" i="3"/>
  <c r="F133" i="3"/>
  <c r="C30" i="5" s="1"/>
  <c r="E133" i="3"/>
  <c r="D133" i="3"/>
  <c r="H131" i="3"/>
  <c r="I131" i="3" s="1"/>
  <c r="J131" i="3" s="1"/>
  <c r="K131" i="3" s="1"/>
  <c r="L131" i="3" s="1"/>
  <c r="H129" i="3"/>
  <c r="I129" i="3" s="1"/>
  <c r="J129" i="3" s="1"/>
  <c r="K129" i="3" s="1"/>
  <c r="L129" i="3" s="1"/>
  <c r="H128" i="3"/>
  <c r="I128" i="3" s="1"/>
  <c r="J128" i="3" s="1"/>
  <c r="K128" i="3" s="1"/>
  <c r="L128" i="3" s="1"/>
  <c r="H127" i="3"/>
  <c r="I127" i="3" s="1"/>
  <c r="J127" i="3" s="1"/>
  <c r="K127" i="3" s="1"/>
  <c r="L127" i="3" s="1"/>
  <c r="H126" i="3"/>
  <c r="I126" i="3" s="1"/>
  <c r="J126" i="3" s="1"/>
  <c r="K126" i="3" s="1"/>
  <c r="L126" i="3" s="1"/>
  <c r="H125" i="3"/>
  <c r="I125" i="3" s="1"/>
  <c r="J125" i="3" s="1"/>
  <c r="K125" i="3" s="1"/>
  <c r="L125" i="3" s="1"/>
  <c r="H121" i="3"/>
  <c r="I121" i="3" s="1"/>
  <c r="J121" i="3" s="1"/>
  <c r="K121" i="3" s="1"/>
  <c r="L121" i="3" s="1"/>
  <c r="H120" i="3"/>
  <c r="I120" i="3" s="1"/>
  <c r="J120" i="3" s="1"/>
  <c r="K120" i="3" s="1"/>
  <c r="L120" i="3" s="1"/>
  <c r="H119" i="3"/>
  <c r="I119" i="3" s="1"/>
  <c r="J119" i="3" s="1"/>
  <c r="K119" i="3" s="1"/>
  <c r="L119" i="3" s="1"/>
  <c r="H118" i="3"/>
  <c r="I118" i="3" s="1"/>
  <c r="J118" i="3" s="1"/>
  <c r="K118" i="3" s="1"/>
  <c r="L118" i="3" s="1"/>
  <c r="H117" i="3"/>
  <c r="I117" i="3" s="1"/>
  <c r="J117" i="3" s="1"/>
  <c r="K117" i="3" s="1"/>
  <c r="L117" i="3" s="1"/>
  <c r="H116" i="3"/>
  <c r="I116" i="3" s="1"/>
  <c r="J116" i="3" s="1"/>
  <c r="K116" i="3" s="1"/>
  <c r="L116" i="3" s="1"/>
  <c r="E112" i="3"/>
  <c r="F112" i="3" s="1"/>
  <c r="H112" i="3" s="1"/>
  <c r="I112" i="3" s="1"/>
  <c r="J112" i="3" s="1"/>
  <c r="K112" i="3" s="1"/>
  <c r="L112" i="3" s="1"/>
  <c r="H109" i="3"/>
  <c r="I109" i="3" s="1"/>
  <c r="J109" i="3" s="1"/>
  <c r="K109" i="3" s="1"/>
  <c r="L109" i="3" s="1"/>
  <c r="H108" i="3"/>
  <c r="I108" i="3" s="1"/>
  <c r="J108" i="3" s="1"/>
  <c r="K108" i="3" s="1"/>
  <c r="L108" i="3" s="1"/>
  <c r="I107" i="3"/>
  <c r="J107" i="3" s="1"/>
  <c r="K107" i="3" s="1"/>
  <c r="L107" i="3" s="1"/>
  <c r="I106" i="3"/>
  <c r="J106" i="3" s="1"/>
  <c r="K106" i="3" s="1"/>
  <c r="L106" i="3" s="1"/>
  <c r="H105" i="3"/>
  <c r="I105" i="3" s="1"/>
  <c r="J105" i="3" s="1"/>
  <c r="K105" i="3" s="1"/>
  <c r="L105" i="3" s="1"/>
  <c r="H99" i="3"/>
  <c r="I99" i="3" s="1"/>
  <c r="J99" i="3" s="1"/>
  <c r="K99" i="3" s="1"/>
  <c r="L99" i="3" s="1"/>
  <c r="H98" i="3"/>
  <c r="I98" i="3" s="1"/>
  <c r="J98" i="3" s="1"/>
  <c r="K98" i="3" s="1"/>
  <c r="L98" i="3" s="1"/>
  <c r="H94" i="3"/>
  <c r="I94" i="3" s="1"/>
  <c r="J94" i="3" s="1"/>
  <c r="K94" i="3" s="1"/>
  <c r="L94" i="3" s="1"/>
  <c r="R102" i="4"/>
  <c r="G10" i="4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G50" i="4" s="1"/>
  <c r="G51" i="4" s="1"/>
  <c r="G52" i="4" s="1"/>
  <c r="G53" i="4" s="1"/>
  <c r="G54" i="4" s="1"/>
  <c r="G55" i="4" s="1"/>
  <c r="G56" i="4" s="1"/>
  <c r="G57" i="4" s="1"/>
  <c r="G58" i="4" s="1"/>
  <c r="G59" i="4" s="1"/>
  <c r="G60" i="4" s="1"/>
  <c r="G61" i="4" s="1"/>
  <c r="G62" i="4" s="1"/>
  <c r="G63" i="4" s="1"/>
  <c r="G64" i="4" s="1"/>
  <c r="G65" i="4" s="1"/>
  <c r="G66" i="4" s="1"/>
  <c r="G67" i="4" s="1"/>
  <c r="G68" i="4" s="1"/>
  <c r="C10" i="4"/>
  <c r="C11" i="4" s="1"/>
  <c r="C12" i="4" s="1"/>
  <c r="D9" i="4"/>
  <c r="C9" i="4"/>
  <c r="H28" i="3"/>
  <c r="I28" i="3" s="1"/>
  <c r="F62" i="3" s="1"/>
  <c r="F30" i="3"/>
  <c r="F34" i="3" s="1"/>
  <c r="F36" i="3" s="1"/>
  <c r="F41" i="3" s="1"/>
  <c r="F43" i="3" s="1"/>
  <c r="F45" i="3" s="1"/>
  <c r="E30" i="3"/>
  <c r="E34" i="3" s="1"/>
  <c r="E36" i="3" s="1"/>
  <c r="E41" i="3" s="1"/>
  <c r="E43" i="3" s="1"/>
  <c r="E45" i="3" s="1"/>
  <c r="D30" i="3"/>
  <c r="D34" i="3" s="1"/>
  <c r="D36" i="3" s="1"/>
  <c r="D41" i="3" s="1"/>
  <c r="D43" i="3" s="1"/>
  <c r="D45" i="3" s="1"/>
  <c r="E27" i="3"/>
  <c r="F27" i="3" s="1"/>
  <c r="H27" i="3" s="1"/>
  <c r="I27" i="3" s="1"/>
  <c r="J27" i="3" s="1"/>
  <c r="K27" i="3" s="1"/>
  <c r="L27" i="3" s="1"/>
  <c r="C2" i="3"/>
  <c r="D2" i="3" s="1"/>
  <c r="E2" i="3" s="1"/>
  <c r="F2" i="3" s="1"/>
  <c r="E29" i="2"/>
  <c r="F29" i="2" s="1"/>
  <c r="F7" i="2"/>
  <c r="F11" i="2" s="1"/>
  <c r="F13" i="2" s="1"/>
  <c r="F18" i="2" s="1"/>
  <c r="F20" i="2" s="1"/>
  <c r="F22" i="2" s="1"/>
  <c r="E7" i="2"/>
  <c r="E11" i="2" s="1"/>
  <c r="E13" i="2" s="1"/>
  <c r="E18" i="2" s="1"/>
  <c r="E20" i="2" s="1"/>
  <c r="E22" i="2" s="1"/>
  <c r="D7" i="2"/>
  <c r="D11" i="2" s="1"/>
  <c r="D13" i="2" s="1"/>
  <c r="D18" i="2" s="1"/>
  <c r="D20" i="2" s="1"/>
  <c r="D22" i="2" s="1"/>
  <c r="E4" i="2"/>
  <c r="F4" i="2" s="1"/>
  <c r="F11" i="1"/>
  <c r="J61" i="1" s="1"/>
  <c r="G11" i="1"/>
  <c r="E11" i="1"/>
  <c r="D33" i="1" s="1"/>
  <c r="N10" i="1"/>
  <c r="M10" i="1"/>
  <c r="L10" i="1"/>
  <c r="N9" i="1"/>
  <c r="M9" i="1"/>
  <c r="L9" i="1"/>
  <c r="N8" i="1"/>
  <c r="M8" i="1"/>
  <c r="L8" i="1"/>
  <c r="N7" i="1"/>
  <c r="M7" i="1"/>
  <c r="L7" i="1"/>
  <c r="N6" i="1"/>
  <c r="M6" i="1"/>
  <c r="L6" i="1"/>
  <c r="G69" i="1"/>
  <c r="G70" i="1" s="1"/>
  <c r="G67" i="1"/>
  <c r="G66" i="1" s="1"/>
  <c r="K65" i="1"/>
  <c r="L65" i="1" s="1"/>
  <c r="I65" i="1"/>
  <c r="H65" i="1" s="1"/>
  <c r="G55" i="1"/>
  <c r="G54" i="1"/>
  <c r="D54" i="1"/>
  <c r="J52" i="1"/>
  <c r="L52" i="1" s="1"/>
  <c r="J51" i="1"/>
  <c r="L51" i="1" s="1"/>
  <c r="J50" i="1"/>
  <c r="L50" i="1" s="1"/>
  <c r="J49" i="1"/>
  <c r="L28" i="1"/>
  <c r="K28" i="1"/>
  <c r="J28" i="1"/>
  <c r="I28" i="1"/>
  <c r="G28" i="1"/>
  <c r="F28" i="1"/>
  <c r="E28" i="1"/>
  <c r="D28" i="1"/>
  <c r="I114" i="3" l="1"/>
  <c r="H114" i="3"/>
  <c r="K27" i="5"/>
  <c r="D48" i="1"/>
  <c r="D49" i="1" s="1"/>
  <c r="E33" i="1"/>
  <c r="J55" i="1"/>
  <c r="C50" i="3"/>
  <c r="D50" i="3"/>
  <c r="B58" i="3"/>
  <c r="E62" i="3"/>
  <c r="C66" i="3"/>
  <c r="C58" i="3"/>
  <c r="C68" i="3" s="1"/>
  <c r="D58" i="3"/>
  <c r="G54" i="3"/>
  <c r="F65" i="3"/>
  <c r="G65" i="3" s="1"/>
  <c r="H65" i="3" s="1"/>
  <c r="B66" i="3"/>
  <c r="D66" i="3"/>
  <c r="H31" i="3"/>
  <c r="H29" i="3"/>
  <c r="I31" i="3"/>
  <c r="J28" i="3"/>
  <c r="I29" i="3"/>
  <c r="I96" i="3" s="1"/>
  <c r="E9" i="4"/>
  <c r="C13" i="4"/>
  <c r="J54" i="1"/>
  <c r="L49" i="1"/>
  <c r="F9" i="4" l="1"/>
  <c r="D10" i="4" s="1"/>
  <c r="C69" i="3"/>
  <c r="G62" i="3"/>
  <c r="J114" i="3"/>
  <c r="H96" i="3"/>
  <c r="E56" i="3"/>
  <c r="B68" i="3"/>
  <c r="B69" i="3" s="1"/>
  <c r="I32" i="3"/>
  <c r="F51" i="3" s="1"/>
  <c r="F56" i="3"/>
  <c r="H32" i="3"/>
  <c r="E51" i="3" s="1"/>
  <c r="D68" i="3"/>
  <c r="D69" i="3" s="1"/>
  <c r="H54" i="3"/>
  <c r="I65" i="3"/>
  <c r="H30" i="3"/>
  <c r="K28" i="3"/>
  <c r="J29" i="3"/>
  <c r="J96" i="3" s="1"/>
  <c r="J31" i="3"/>
  <c r="C14" i="4"/>
  <c r="L54" i="1"/>
  <c r="I61" i="1" s="1"/>
  <c r="D60" i="1" s="1"/>
  <c r="D4" i="5" s="1"/>
  <c r="L55" i="1"/>
  <c r="E10" i="4" l="1"/>
  <c r="C71" i="3"/>
  <c r="H95" i="3"/>
  <c r="D78" i="3"/>
  <c r="H102" i="3" s="1"/>
  <c r="E55" i="3"/>
  <c r="H62" i="3"/>
  <c r="K114" i="3"/>
  <c r="L61" i="1"/>
  <c r="D61" i="1" s="1"/>
  <c r="D62" i="1" s="1"/>
  <c r="D71" i="3"/>
  <c r="J32" i="3"/>
  <c r="G51" i="3" s="1"/>
  <c r="G56" i="3"/>
  <c r="H33" i="3"/>
  <c r="E57" i="3" s="1"/>
  <c r="E50" i="3"/>
  <c r="I54" i="3"/>
  <c r="H35" i="3"/>
  <c r="D76" i="3" s="1"/>
  <c r="L28" i="3"/>
  <c r="K31" i="3"/>
  <c r="K29" i="3"/>
  <c r="K96" i="3" s="1"/>
  <c r="C15" i="4"/>
  <c r="I30" i="3"/>
  <c r="H97" i="3" l="1"/>
  <c r="H113" i="3"/>
  <c r="H122" i="3" s="1"/>
  <c r="I95" i="3"/>
  <c r="E78" i="3"/>
  <c r="I62" i="3"/>
  <c r="L114" i="3"/>
  <c r="H115" i="3"/>
  <c r="F10" i="4"/>
  <c r="D11" i="4" s="1"/>
  <c r="D65" i="1"/>
  <c r="H34" i="3"/>
  <c r="H36" i="3" s="1"/>
  <c r="D75" i="3" s="1"/>
  <c r="K32" i="3"/>
  <c r="H51" i="3" s="1"/>
  <c r="H56" i="3"/>
  <c r="F50" i="3"/>
  <c r="F55" i="3"/>
  <c r="E63" i="3"/>
  <c r="E58" i="3"/>
  <c r="E61" i="3"/>
  <c r="I33" i="3"/>
  <c r="I35" i="3"/>
  <c r="E76" i="3" s="1"/>
  <c r="L31" i="3"/>
  <c r="L29" i="3"/>
  <c r="L96" i="3" s="1"/>
  <c r="C16" i="4"/>
  <c r="J30" i="3"/>
  <c r="J95" i="3" l="1"/>
  <c r="F78" i="3"/>
  <c r="F63" i="3"/>
  <c r="I115" i="3"/>
  <c r="I97" i="3"/>
  <c r="I113" i="3"/>
  <c r="E11" i="4"/>
  <c r="I102" i="3"/>
  <c r="G65" i="1"/>
  <c r="G55" i="3"/>
  <c r="G50" i="3"/>
  <c r="I34" i="3"/>
  <c r="I36" i="3" s="1"/>
  <c r="E75" i="3" s="1"/>
  <c r="F61" i="3"/>
  <c r="F57" i="3"/>
  <c r="F58" i="3" s="1"/>
  <c r="E66" i="3"/>
  <c r="E68" i="3"/>
  <c r="L32" i="3"/>
  <c r="I51" i="3" s="1"/>
  <c r="I56" i="3"/>
  <c r="J35" i="3"/>
  <c r="F76" i="3" s="1"/>
  <c r="J33" i="3"/>
  <c r="C17" i="4"/>
  <c r="K30" i="3"/>
  <c r="J115" i="3" l="1"/>
  <c r="J97" i="3"/>
  <c r="J113" i="3"/>
  <c r="J122" i="3" s="1"/>
  <c r="F11" i="4"/>
  <c r="D12" i="4" s="1"/>
  <c r="J102" i="3"/>
  <c r="K95" i="3"/>
  <c r="G78" i="3"/>
  <c r="F66" i="3"/>
  <c r="F68" i="3" s="1"/>
  <c r="F71" i="3" s="1"/>
  <c r="E77" i="3" s="1"/>
  <c r="E79" i="3" s="1"/>
  <c r="I122" i="3"/>
  <c r="H55" i="3"/>
  <c r="H50" i="3"/>
  <c r="E69" i="3"/>
  <c r="E71" i="3"/>
  <c r="D77" i="3" s="1"/>
  <c r="D79" i="3" s="1"/>
  <c r="J34" i="3"/>
  <c r="G61" i="3"/>
  <c r="G57" i="3"/>
  <c r="G58" i="3" s="1"/>
  <c r="G63" i="3"/>
  <c r="K35" i="3"/>
  <c r="G76" i="3" s="1"/>
  <c r="K33" i="3"/>
  <c r="C18" i="4"/>
  <c r="J36" i="3"/>
  <c r="L30" i="3"/>
  <c r="E139" i="3" l="1"/>
  <c r="D10" i="5"/>
  <c r="H78" i="3"/>
  <c r="L95" i="3"/>
  <c r="E12" i="4"/>
  <c r="F69" i="3"/>
  <c r="F75" i="3"/>
  <c r="D139" i="3"/>
  <c r="C10" i="5"/>
  <c r="K113" i="3"/>
  <c r="K97" i="3"/>
  <c r="K115" i="3"/>
  <c r="K102" i="3"/>
  <c r="L102" i="3" s="1"/>
  <c r="I55" i="3"/>
  <c r="I50" i="3"/>
  <c r="G66" i="3"/>
  <c r="G68" i="3" s="1"/>
  <c r="K34" i="3"/>
  <c r="K36" i="3" s="1"/>
  <c r="G75" i="3" s="1"/>
  <c r="H61" i="3"/>
  <c r="H63" i="3"/>
  <c r="H57" i="3"/>
  <c r="H58" i="3" s="1"/>
  <c r="L35" i="3"/>
  <c r="H76" i="3" s="1"/>
  <c r="L33" i="3"/>
  <c r="C19" i="4"/>
  <c r="L113" i="3" l="1"/>
  <c r="L97" i="3"/>
  <c r="L115" i="3"/>
  <c r="F12" i="4"/>
  <c r="D13" i="4" s="1"/>
  <c r="K122" i="3"/>
  <c r="H66" i="3"/>
  <c r="H68" i="3" s="1"/>
  <c r="G69" i="3"/>
  <c r="G71" i="3"/>
  <c r="F77" i="3" s="1"/>
  <c r="F79" i="3" s="1"/>
  <c r="L34" i="3"/>
  <c r="I57" i="3"/>
  <c r="I58" i="3" s="1"/>
  <c r="I61" i="3"/>
  <c r="I63" i="3"/>
  <c r="C20" i="4"/>
  <c r="L36" i="3"/>
  <c r="E13" i="4" l="1"/>
  <c r="H75" i="3"/>
  <c r="F139" i="3"/>
  <c r="E10" i="5"/>
  <c r="L122" i="3"/>
  <c r="H69" i="3"/>
  <c r="H71" i="3"/>
  <c r="G77" i="3" s="1"/>
  <c r="G79" i="3" s="1"/>
  <c r="I66" i="3"/>
  <c r="I68" i="3" s="1"/>
  <c r="C21" i="4"/>
  <c r="F10" i="5" l="1"/>
  <c r="G139" i="3"/>
  <c r="F13" i="4"/>
  <c r="D14" i="4" s="1"/>
  <c r="I69" i="3"/>
  <c r="I71" i="3"/>
  <c r="H77" i="3" s="1"/>
  <c r="H79" i="3" s="1"/>
  <c r="C22" i="4"/>
  <c r="E14" i="4" l="1"/>
  <c r="F14" i="4" s="1"/>
  <c r="D15" i="4" s="1"/>
  <c r="E15" i="4" s="1"/>
  <c r="F15" i="4" s="1"/>
  <c r="D16" i="4" s="1"/>
  <c r="E16" i="4" s="1"/>
  <c r="F16" i="4" s="1"/>
  <c r="D17" i="4" s="1"/>
  <c r="E17" i="4" s="1"/>
  <c r="F17" i="4" s="1"/>
  <c r="D18" i="4" s="1"/>
  <c r="E18" i="4" s="1"/>
  <c r="F18" i="4" s="1"/>
  <c r="D19" i="4" s="1"/>
  <c r="E19" i="4" s="1"/>
  <c r="F19" i="4" s="1"/>
  <c r="H37" i="3"/>
  <c r="C84" i="3" s="1"/>
  <c r="H139" i="3"/>
  <c r="G10" i="5"/>
  <c r="C23" i="4"/>
  <c r="D20" i="4"/>
  <c r="E20" i="4" s="1"/>
  <c r="C15" i="5" l="1"/>
  <c r="C16" i="5" s="1"/>
  <c r="C86" i="3"/>
  <c r="C11" i="5" s="1"/>
  <c r="C13" i="5" s="1"/>
  <c r="D140" i="3"/>
  <c r="D142" i="3" s="1"/>
  <c r="F20" i="4"/>
  <c r="H124" i="3" s="1"/>
  <c r="D141" i="3"/>
  <c r="C24" i="4"/>
  <c r="E138" i="3" l="1"/>
  <c r="H93" i="3"/>
  <c r="H100" i="3" s="1"/>
  <c r="H110" i="3" s="1"/>
  <c r="H134" i="3" s="1"/>
  <c r="H133" i="3" s="1"/>
  <c r="D21" i="4"/>
  <c r="C25" i="4"/>
  <c r="E21" i="4" l="1"/>
  <c r="C26" i="4"/>
  <c r="F21" i="4" l="1"/>
  <c r="D22" i="4" s="1"/>
  <c r="C27" i="4"/>
  <c r="E22" i="4" l="1"/>
  <c r="C28" i="4"/>
  <c r="F22" i="4" l="1"/>
  <c r="D23" i="4" s="1"/>
  <c r="C29" i="4"/>
  <c r="E23" i="4" l="1"/>
  <c r="C30" i="4"/>
  <c r="F23" i="4" l="1"/>
  <c r="C31" i="4"/>
  <c r="D24" i="4" l="1"/>
  <c r="C32" i="4"/>
  <c r="E24" i="4" l="1"/>
  <c r="C33" i="4"/>
  <c r="F24" i="4" l="1"/>
  <c r="D25" i="4" s="1"/>
  <c r="C34" i="4"/>
  <c r="E25" i="4" l="1"/>
  <c r="C35" i="4"/>
  <c r="F25" i="4" l="1"/>
  <c r="D26" i="4" s="1"/>
  <c r="E26" i="4" s="1"/>
  <c r="F26" i="4" s="1"/>
  <c r="D27" i="4" s="1"/>
  <c r="E27" i="4" s="1"/>
  <c r="F27" i="4" s="1"/>
  <c r="D28" i="4" s="1"/>
  <c r="E28" i="4" s="1"/>
  <c r="F28" i="4" s="1"/>
  <c r="D29" i="4" s="1"/>
  <c r="E29" i="4" s="1"/>
  <c r="F29" i="4" s="1"/>
  <c r="D30" i="4" s="1"/>
  <c r="E30" i="4" s="1"/>
  <c r="F30" i="4" s="1"/>
  <c r="D31" i="4" s="1"/>
  <c r="E31" i="4" s="1"/>
  <c r="F31" i="4" s="1"/>
  <c r="D32" i="4" s="1"/>
  <c r="C36" i="4"/>
  <c r="E32" i="4" l="1"/>
  <c r="I37" i="3"/>
  <c r="D84" i="3" s="1"/>
  <c r="C37" i="4"/>
  <c r="D86" i="3" l="1"/>
  <c r="D11" i="5" s="1"/>
  <c r="D13" i="5" s="1"/>
  <c r="E140" i="3"/>
  <c r="F32" i="4"/>
  <c r="E141" i="3"/>
  <c r="C38" i="4"/>
  <c r="I124" i="3" l="1"/>
  <c r="D33" i="4"/>
  <c r="E142" i="3"/>
  <c r="C39" i="4"/>
  <c r="I93" i="3" l="1"/>
  <c r="I100" i="3" s="1"/>
  <c r="I110" i="3" s="1"/>
  <c r="I134" i="3" s="1"/>
  <c r="I133" i="3" s="1"/>
  <c r="F138" i="3"/>
  <c r="E33" i="4"/>
  <c r="C40" i="4"/>
  <c r="F33" i="4" l="1"/>
  <c r="D34" i="4" s="1"/>
  <c r="C41" i="4"/>
  <c r="E34" i="4" l="1"/>
  <c r="C42" i="4"/>
  <c r="F34" i="4" l="1"/>
  <c r="C43" i="4"/>
  <c r="D35" i="4" l="1"/>
  <c r="C44" i="4"/>
  <c r="E35" i="4" l="1"/>
  <c r="C45" i="4"/>
  <c r="F35" i="4" l="1"/>
  <c r="C46" i="4"/>
  <c r="D36" i="4" l="1"/>
  <c r="C47" i="4"/>
  <c r="E36" i="4" l="1"/>
  <c r="C48" i="4"/>
  <c r="F36" i="4" l="1"/>
  <c r="D37" i="4" s="1"/>
  <c r="C49" i="4"/>
  <c r="E37" i="4" l="1"/>
  <c r="C51" i="4"/>
  <c r="C50" i="4"/>
  <c r="C52" i="4" l="1"/>
  <c r="F37" i="4"/>
  <c r="D38" i="4" s="1"/>
  <c r="E38" i="4" s="1"/>
  <c r="F38" i="4" s="1"/>
  <c r="D39" i="4" l="1"/>
  <c r="E39" i="4" s="1"/>
  <c r="F39" i="4" s="1"/>
  <c r="D40" i="4" s="1"/>
  <c r="E40" i="4" s="1"/>
  <c r="F40" i="4" s="1"/>
  <c r="D41" i="4" s="1"/>
  <c r="E41" i="4" s="1"/>
  <c r="F41" i="4" s="1"/>
  <c r="C53" i="4"/>
  <c r="D42" i="4" l="1"/>
  <c r="E42" i="4" s="1"/>
  <c r="F42" i="4" s="1"/>
  <c r="C54" i="4"/>
  <c r="H41" i="3"/>
  <c r="D43" i="4" l="1"/>
  <c r="E43" i="4" s="1"/>
  <c r="F43" i="4"/>
  <c r="C55" i="4"/>
  <c r="H42" i="3"/>
  <c r="H45" i="3" s="1"/>
  <c r="C56" i="4" l="1"/>
  <c r="C57" i="4" s="1"/>
  <c r="D44" i="4"/>
  <c r="I41" i="3"/>
  <c r="E44" i="4" l="1"/>
  <c r="J37" i="3"/>
  <c r="C58" i="4"/>
  <c r="I42" i="3"/>
  <c r="I45" i="3" s="1"/>
  <c r="C59" i="4" l="1"/>
  <c r="E84" i="3"/>
  <c r="J41" i="3"/>
  <c r="J42" i="3" s="1"/>
  <c r="J45" i="3" s="1"/>
  <c r="F141" i="3"/>
  <c r="F44" i="4"/>
  <c r="J124" i="3" l="1"/>
  <c r="D45" i="4"/>
  <c r="E86" i="3"/>
  <c r="E11" i="5" s="1"/>
  <c r="E13" i="5" s="1"/>
  <c r="F140" i="3"/>
  <c r="F142" i="3" s="1"/>
  <c r="C60" i="4"/>
  <c r="C61" i="4" l="1"/>
  <c r="J93" i="3"/>
  <c r="J100" i="3" s="1"/>
  <c r="J110" i="3" s="1"/>
  <c r="J134" i="3" s="1"/>
  <c r="J133" i="3" s="1"/>
  <c r="G138" i="3"/>
  <c r="E45" i="4"/>
  <c r="F45" i="4" l="1"/>
  <c r="D46" i="4" s="1"/>
  <c r="C62" i="4"/>
  <c r="C63" i="4" l="1"/>
  <c r="E46" i="4"/>
  <c r="F46" i="4" l="1"/>
  <c r="D47" i="4" s="1"/>
  <c r="C64" i="4"/>
  <c r="C65" i="4" l="1"/>
  <c r="E47" i="4"/>
  <c r="F47" i="4" l="1"/>
  <c r="D48" i="4" s="1"/>
  <c r="C66" i="4"/>
  <c r="C67" i="4" l="1"/>
  <c r="E48" i="4"/>
  <c r="F48" i="4" l="1"/>
  <c r="D49" i="4" s="1"/>
  <c r="E49" i="4" l="1"/>
  <c r="F49" i="4" l="1"/>
  <c r="D50" i="4" s="1"/>
  <c r="E50" i="4" s="1"/>
  <c r="F50" i="4" s="1"/>
  <c r="D51" i="4" s="1"/>
  <c r="E51" i="4" s="1"/>
  <c r="F51" i="4" s="1"/>
  <c r="D52" i="4" s="1"/>
  <c r="E52" i="4" s="1"/>
  <c r="F52" i="4" s="1"/>
  <c r="D53" i="4" s="1"/>
  <c r="E53" i="4" s="1"/>
  <c r="F53" i="4" s="1"/>
  <c r="D54" i="4" s="1"/>
  <c r="E54" i="4" s="1"/>
  <c r="F54" i="4" s="1"/>
  <c r="D55" i="4" s="1"/>
  <c r="E55" i="4" s="1"/>
  <c r="F55" i="4" s="1"/>
  <c r="D56" i="4" s="1"/>
  <c r="E56" i="4" l="1"/>
  <c r="K37" i="3"/>
  <c r="F84" i="3" l="1"/>
  <c r="K41" i="3"/>
  <c r="K42" i="3" s="1"/>
  <c r="K45" i="3" s="1"/>
  <c r="F56" i="4"/>
  <c r="G141" i="3"/>
  <c r="D57" i="4" l="1"/>
  <c r="K124" i="3"/>
  <c r="F86" i="3"/>
  <c r="F11" i="5" s="1"/>
  <c r="F13" i="5" s="1"/>
  <c r="G140" i="3"/>
  <c r="G142" i="3" s="1"/>
  <c r="K93" i="3" l="1"/>
  <c r="K100" i="3" s="1"/>
  <c r="K110" i="3" s="1"/>
  <c r="K134" i="3" s="1"/>
  <c r="K133" i="3" s="1"/>
  <c r="H138" i="3"/>
  <c r="E57" i="4"/>
  <c r="F57" i="4" l="1"/>
  <c r="D58" i="4" s="1"/>
  <c r="E58" i="4" l="1"/>
  <c r="F58" i="4" l="1"/>
  <c r="D59" i="4" s="1"/>
  <c r="E59" i="4" l="1"/>
  <c r="F59" i="4" l="1"/>
  <c r="D60" i="4" s="1"/>
  <c r="E60" i="4" l="1"/>
  <c r="F60" i="4" l="1"/>
  <c r="D61" i="4" s="1"/>
  <c r="E61" i="4" l="1"/>
  <c r="F61" i="4" l="1"/>
  <c r="D62" i="4" s="1"/>
  <c r="E62" i="4" s="1"/>
  <c r="F62" i="4" s="1"/>
  <c r="D63" i="4" s="1"/>
  <c r="E63" i="4" s="1"/>
  <c r="F63" i="4" s="1"/>
  <c r="D64" i="4" s="1"/>
  <c r="E64" i="4" s="1"/>
  <c r="F64" i="4" s="1"/>
  <c r="D65" i="4" s="1"/>
  <c r="E65" i="4" s="1"/>
  <c r="F65" i="4" s="1"/>
  <c r="D66" i="4" s="1"/>
  <c r="E66" i="4" s="1"/>
  <c r="F66" i="4" s="1"/>
  <c r="D67" i="4" l="1"/>
  <c r="E67" i="4" s="1"/>
  <c r="F67" i="4"/>
  <c r="D68" i="4" l="1"/>
  <c r="L37" i="3" s="1"/>
  <c r="C68" i="4"/>
  <c r="E68" i="4" s="1"/>
  <c r="F68" i="4" l="1"/>
  <c r="H141" i="3"/>
  <c r="G84" i="3"/>
  <c r="L41" i="3"/>
  <c r="L42" i="3" s="1"/>
  <c r="L45" i="3" s="1"/>
  <c r="H140" i="3" l="1"/>
  <c r="H142" i="3" s="1"/>
  <c r="G86" i="3"/>
  <c r="G11" i="5" s="1"/>
  <c r="G13" i="5" s="1"/>
  <c r="C18" i="5" s="1"/>
  <c r="C29" i="5" l="1"/>
  <c r="B40" i="5" s="1"/>
  <c r="C31" i="5"/>
  <c r="I40" i="5" s="1"/>
  <c r="K26" i="5"/>
  <c r="K29" i="5" s="1"/>
  <c r="L93" i="3"/>
  <c r="L100" i="3" s="1"/>
  <c r="L110" i="3" s="1"/>
  <c r="L134" i="3" s="1"/>
  <c r="L133" i="3" s="1"/>
  <c r="L124" i="3"/>
</calcChain>
</file>

<file path=xl/sharedStrings.xml><?xml version="1.0" encoding="utf-8"?>
<sst xmlns="http://schemas.openxmlformats.org/spreadsheetml/2006/main" count="367" uniqueCount="217">
  <si>
    <t>AIRTHREAD ACQUISITION</t>
  </si>
  <si>
    <t/>
  </si>
  <si>
    <t>Equity</t>
  </si>
  <si>
    <t>Net</t>
  </si>
  <si>
    <t>Debt/</t>
  </si>
  <si>
    <t>Comparable Companies:</t>
  </si>
  <si>
    <t>Market Value</t>
  </si>
  <si>
    <t>Debt</t>
  </si>
  <si>
    <t>Value</t>
  </si>
  <si>
    <r>
      <t>Beta</t>
    </r>
    <r>
      <rPr>
        <b/>
        <vertAlign val="superscript"/>
        <sz val="8"/>
        <color theme="1"/>
        <rFont val="Times New Roman"/>
        <family val="1"/>
      </rPr>
      <t>1</t>
    </r>
  </si>
  <si>
    <t>Revenue</t>
  </si>
  <si>
    <t>EBIT</t>
  </si>
  <si>
    <t>EBITDA</t>
  </si>
  <si>
    <t>Income</t>
  </si>
  <si>
    <t>Universal Mobile</t>
  </si>
  <si>
    <t>Due to the negative income, we eliminated Agile Connection as a comp</t>
  </si>
  <si>
    <t>Neuberger Wireless</t>
  </si>
  <si>
    <t>Big Country Communications</t>
  </si>
  <si>
    <t>Rocky Mountain Wireless</t>
  </si>
  <si>
    <t>Average</t>
  </si>
  <si>
    <t>1) Equity betas were estimated on a weekly based on weekly stock returns over a three year period.</t>
  </si>
  <si>
    <t>Note:  The current industry and competitor leverage ratios reflect the historical averages that existed over the past three years.</t>
  </si>
  <si>
    <t>AirThread (2017)</t>
  </si>
  <si>
    <t>Note: Rocky Mountain Wireless has the most similar financial structure with AirThread.</t>
  </si>
  <si>
    <t>Equity/</t>
  </si>
  <si>
    <t>Estimate Industry Average Debt Ratio</t>
  </si>
  <si>
    <t xml:space="preserve">Assumptions: </t>
  </si>
  <si>
    <t>* Marginal Tax rate is 40%</t>
  </si>
  <si>
    <t>* We will use APV as our valuation model</t>
  </si>
  <si>
    <t>* In steady state, AirThread would keep a target capital structure and bring the debit ratio to be in line with the industry average</t>
  </si>
  <si>
    <t>Formula to Use:</t>
  </si>
  <si>
    <t>WACC Calculation</t>
  </si>
  <si>
    <t>Comparable Companies Unlevered Beta</t>
  </si>
  <si>
    <t>Target Capital Structure</t>
  </si>
  <si>
    <t>Predicted</t>
  </si>
  <si>
    <t xml:space="preserve">Market </t>
  </si>
  <si>
    <t>Marginal</t>
  </si>
  <si>
    <t>Unlevered</t>
  </si>
  <si>
    <t>Debt-to-Total Capitalization</t>
  </si>
  <si>
    <t>Company</t>
  </si>
  <si>
    <t>Levered Beta (4)</t>
  </si>
  <si>
    <t>Value of Debt</t>
  </si>
  <si>
    <t>Value of Equity</t>
  </si>
  <si>
    <t>Tax Rate</t>
  </si>
  <si>
    <t>Beta</t>
  </si>
  <si>
    <t>Equity-to-Total Capitalization</t>
  </si>
  <si>
    <t>Cost of Debt</t>
  </si>
  <si>
    <t>Cost-of-Debt</t>
  </si>
  <si>
    <t xml:space="preserve">   After-tax Cost of Debt</t>
  </si>
  <si>
    <t xml:space="preserve">Mean </t>
  </si>
  <si>
    <t>Median</t>
  </si>
  <si>
    <t>CAPM</t>
  </si>
  <si>
    <t>Cost of Equity</t>
  </si>
  <si>
    <t>AirThread Relevered Beta</t>
  </si>
  <si>
    <t>Risk-free Rate (1)</t>
  </si>
  <si>
    <t>Mean</t>
  </si>
  <si>
    <t>Target</t>
  </si>
  <si>
    <t>Market Risk Premium (2)</t>
  </si>
  <si>
    <t>Relevered</t>
  </si>
  <si>
    <t>Levered Beta</t>
  </si>
  <si>
    <t xml:space="preserve">   Cost of Equity</t>
  </si>
  <si>
    <t>Relevered Beta</t>
  </si>
  <si>
    <t>WACC Sensitivity Analysis</t>
  </si>
  <si>
    <t xml:space="preserve">   WACC</t>
  </si>
  <si>
    <t>Pre-tax Cost of Debt</t>
  </si>
  <si>
    <t xml:space="preserve"> </t>
  </si>
  <si>
    <t xml:space="preserve">EBIT </t>
  </si>
  <si>
    <t xml:space="preserve">EBITDA </t>
  </si>
  <si>
    <r>
      <t>Beta</t>
    </r>
    <r>
      <rPr>
        <b/>
        <vertAlign val="superscript"/>
        <sz val="10"/>
        <color theme="1"/>
        <rFont val="Times New Roman"/>
        <family val="1"/>
      </rPr>
      <t>1</t>
    </r>
  </si>
  <si>
    <t>Margin</t>
  </si>
  <si>
    <t>Income Margin</t>
  </si>
  <si>
    <t>Agile Connections</t>
  </si>
  <si>
    <t>Picked Compareable to estimate beta</t>
  </si>
  <si>
    <r>
      <t>Beta</t>
    </r>
    <r>
      <rPr>
        <b/>
        <vertAlign val="superscript"/>
        <sz val="11"/>
        <color theme="1"/>
        <rFont val="Times New Roman"/>
        <family val="1"/>
      </rPr>
      <t>1</t>
    </r>
  </si>
  <si>
    <t>Given</t>
  </si>
  <si>
    <t>AirThread Financials 2005-2007</t>
  </si>
  <si>
    <t xml:space="preserve">Note: numbers have more than one decimal places </t>
  </si>
  <si>
    <t>Operating Results:</t>
  </si>
  <si>
    <t>Service Revenue</t>
  </si>
  <si>
    <t>Plus:  Equipment Sales</t>
  </si>
  <si>
    <t>Total Revenue</t>
  </si>
  <si>
    <t>Less:  System Operating Expenses</t>
  </si>
  <si>
    <t>Less:  Cost of Equipment Sold</t>
  </si>
  <si>
    <t>Less:  Selling, General &amp; Administrative</t>
  </si>
  <si>
    <t>Less:  Depreciation &amp; Amortization</t>
  </si>
  <si>
    <t>Less:  Interest Expense</t>
  </si>
  <si>
    <t>Plus:  Equity in Earnings of Affiliates</t>
  </si>
  <si>
    <t>Plus:  Gains (Losses) on Investments</t>
  </si>
  <si>
    <t>Plus:  Other Income</t>
  </si>
  <si>
    <t>EBT</t>
  </si>
  <si>
    <t>Less:  Taxes</t>
  </si>
  <si>
    <t>Income Before Minority Interest</t>
  </si>
  <si>
    <t>Less:  Minority Interest</t>
  </si>
  <si>
    <t>Net Income</t>
  </si>
  <si>
    <t>Assets:</t>
  </si>
  <si>
    <t>Cash &amp; Cash Equivalents</t>
  </si>
  <si>
    <t>Marketable Securities</t>
  </si>
  <si>
    <t>Accounts Receivable</t>
  </si>
  <si>
    <t>Inventory</t>
  </si>
  <si>
    <t>Prepaid Expenses</t>
  </si>
  <si>
    <t>Deferred Taxes</t>
  </si>
  <si>
    <t>Other Current Assets</t>
  </si>
  <si>
    <t>Total Current Assets</t>
  </si>
  <si>
    <t>Property, Plan &amp; Equipment</t>
  </si>
  <si>
    <t>Licenses</t>
  </si>
  <si>
    <t>Customer Lists</t>
  </si>
  <si>
    <t>Marketable Equity Securities</t>
  </si>
  <si>
    <t>Investments in Affiliated Entities</t>
  </si>
  <si>
    <t>Long Term Note Receivable</t>
  </si>
  <si>
    <t>Goodwill</t>
  </si>
  <si>
    <t>Other Long Term Assets</t>
  </si>
  <si>
    <t>Total Assets</t>
  </si>
  <si>
    <t>Liabilities &amp; Owners' Equity:</t>
  </si>
  <si>
    <t>Accounts Payable</t>
  </si>
  <si>
    <t>Deferred Revenue &amp; Deposits</t>
  </si>
  <si>
    <t>Accrued Liabilities</t>
  </si>
  <si>
    <t>Taxes Payable</t>
  </si>
  <si>
    <t>Note Payable</t>
  </si>
  <si>
    <t>Forward Contract</t>
  </si>
  <si>
    <t>Derivative Liability</t>
  </si>
  <si>
    <t>Other Current Liabilities</t>
  </si>
  <si>
    <t>Total Current Liabilities</t>
  </si>
  <si>
    <t>Long Term Debt</t>
  </si>
  <si>
    <t>Forward Contracts</t>
  </si>
  <si>
    <t>Deferred Tax Liability</t>
  </si>
  <si>
    <t>Asset Retirement Obligation</t>
  </si>
  <si>
    <t>Other Deferred Liabilities</t>
  </si>
  <si>
    <t>Minority Interest</t>
  </si>
  <si>
    <t>Common Stock &amp; Paid-In Capital</t>
  </si>
  <si>
    <t>Retained Earnings</t>
  </si>
  <si>
    <t>Total Liabilities &amp; Owners' Equity</t>
  </si>
  <si>
    <t>AirThread Assumptions  2008-2012</t>
  </si>
  <si>
    <t>Service Revenue Growth</t>
  </si>
  <si>
    <t>Equipment Revenue</t>
  </si>
  <si>
    <t>Equipment Revenue/Service Revenue</t>
  </si>
  <si>
    <t>Operating Expenses</t>
  </si>
  <si>
    <t>System Operating Exp./Service Revenue</t>
  </si>
  <si>
    <t>Equipment COGS</t>
    <phoneticPr fontId="0" type="noConversion"/>
  </si>
  <si>
    <t>SG&amp;A/Total Revenue</t>
  </si>
  <si>
    <t>Depreciation &amp; Amortization/Total Rev</t>
  </si>
  <si>
    <t>Working Capital Assumptions</t>
  </si>
  <si>
    <t>Days Sales Equip. Rev.</t>
  </si>
  <si>
    <t>Deferred Serv. Revenue</t>
  </si>
  <si>
    <t>Days per Year</t>
  </si>
  <si>
    <t>Capital Expenditures</t>
  </si>
  <si>
    <t>Cap-x/Total Revenue</t>
  </si>
  <si>
    <t>Amortization Schedule</t>
  </si>
  <si>
    <t>Term Loan Amortization</t>
  </si>
  <si>
    <t>Annual</t>
  </si>
  <si>
    <t>Amortization</t>
  </si>
  <si>
    <t>Payment</t>
  </si>
  <si>
    <t>Interest</t>
  </si>
  <si>
    <t>Principal</t>
  </si>
  <si>
    <t>Balance</t>
  </si>
  <si>
    <t>Period</t>
  </si>
  <si>
    <t>Date:</t>
  </si>
  <si>
    <t>Historical Period</t>
  </si>
  <si>
    <t>Valuation Year</t>
  </si>
  <si>
    <t>Forcasting Period</t>
  </si>
  <si>
    <t>Total Equity</t>
  </si>
  <si>
    <t>Beginning Cash</t>
  </si>
  <si>
    <t>Plus:  Un-Levered Free Cash Flow</t>
  </si>
  <si>
    <t>Less:  After-Tax Interest Expense</t>
  </si>
  <si>
    <t>Less:  Principal Payments</t>
  </si>
  <si>
    <t>Ending Cash</t>
  </si>
  <si>
    <t>Projection Period</t>
  </si>
  <si>
    <t>Sales</t>
  </si>
  <si>
    <t>Cost of Goods Sold</t>
  </si>
  <si>
    <t>Current Assets</t>
  </si>
  <si>
    <t>Inventories</t>
  </si>
  <si>
    <t>Prepaid Expenses and Other</t>
  </si>
  <si>
    <t xml:space="preserve">   Total Operating Current Assets</t>
  </si>
  <si>
    <t>Current Liabilities</t>
  </si>
  <si>
    <t xml:space="preserve">   Total Operating Current Liabilities</t>
  </si>
  <si>
    <t xml:space="preserve">   Net Operating  Working Capital</t>
  </si>
  <si>
    <t xml:space="preserve">   % sales</t>
  </si>
  <si>
    <t xml:space="preserve">   (Increase) / Decrease in NOWC</t>
  </si>
  <si>
    <t>Deferred Rev &amp; Dep</t>
  </si>
  <si>
    <t>FCFF</t>
  </si>
  <si>
    <t>NOPAT</t>
  </si>
  <si>
    <t>Plus:  Depreciation &amp; Amortization</t>
  </si>
  <si>
    <t>Less:  Changes in NOWC</t>
  </si>
  <si>
    <t>Less:  Capital Expenditures</t>
  </si>
  <si>
    <t>Free Cash Flow to Firm (FCFF)</t>
  </si>
  <si>
    <t>ITS</t>
  </si>
  <si>
    <t>Interest Expense</t>
  </si>
  <si>
    <t>ITS Amount</t>
  </si>
  <si>
    <t>WACC</t>
  </si>
  <si>
    <t>LTg</t>
  </si>
  <si>
    <t>Period to 2007</t>
  </si>
  <si>
    <t>PV of CFs 2008-2012</t>
  </si>
  <si>
    <t>Terminal Value</t>
  </si>
  <si>
    <t>PV of TV</t>
  </si>
  <si>
    <t>Enterprise Value</t>
  </si>
  <si>
    <t>P/E multiple</t>
  </si>
  <si>
    <r>
      <t>V</t>
    </r>
    <r>
      <rPr>
        <sz val="10"/>
        <color rgb="FF000000"/>
        <rFont val="Times New Roman"/>
        <family val="1"/>
      </rPr>
      <t>non-op</t>
    </r>
  </si>
  <si>
    <t>Less: Net Debt</t>
  </si>
  <si>
    <t>Debt-Cash</t>
  </si>
  <si>
    <t>Implied Equity Value</t>
  </si>
  <si>
    <t>Unlevered Cost of Equity</t>
  </si>
  <si>
    <t>Intrinsic Value (in millions)</t>
  </si>
  <si>
    <t>Enterprise Value(in millions)</t>
  </si>
  <si>
    <t>Intrinsic Value (Vop)</t>
  </si>
  <si>
    <t>Given, the historical data</t>
  </si>
  <si>
    <t>Implied EV/EBITDA</t>
  </si>
  <si>
    <t>2007 EBITDA</t>
  </si>
  <si>
    <t>Balance Sheet ($MM)</t>
  </si>
  <si>
    <t>Income Statement ($MM)</t>
  </si>
  <si>
    <t>Projected Income Statements ($MM)</t>
  </si>
  <si>
    <t>Projected Balance Sheets ($MM)</t>
  </si>
  <si>
    <t>ITS Projection ($MM)</t>
  </si>
  <si>
    <t>FCFF Projection ($MM)</t>
  </si>
  <si>
    <t>NOWC Projection ($MM)</t>
  </si>
  <si>
    <t>Cash  ($MM)</t>
  </si>
  <si>
    <t>Sensitivity Analysis</t>
  </si>
  <si>
    <t>($ in millions, fiscal year ending December 31)</t>
  </si>
  <si>
    <t>Estimated LT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</si>
</sst>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6" formatCode="&quot;$&quot;#,##0_);[Red]\(&quot;$&quot;#,##0\)"/>
    <numFmt numFmtId="43" formatCode="_(* #,##0.00_);_(* \(#,##0.00\);_(* &quot;-&quot;??_);_(@_)"/>
    <numFmt numFmtId="164" formatCode="0.0%"/>
    <numFmt numFmtId="165" formatCode="&quot;$&quot;#,##0.0_);[Red]\(&quot;$&quot;#,##0.0\)"/>
    <numFmt numFmtId="166" formatCode="_(* #,##0.0%;_(* \(#,##0.0%\);_(* &quot;- %&quot;_);_(* @_%_)"/>
    <numFmt numFmtId="167" formatCode="* _(&quot;$&quot;##,##0_);[Red]* \(&quot;$&quot;##,##0\);* _(&quot;-&quot;?_);_(@_)"/>
    <numFmt numFmtId="168" formatCode="#,##0.0_);[Red]\(#,##0.0\)"/>
    <numFmt numFmtId="169" formatCode="* _(##,##0_);[Red]* \(##,##0\);* _(&quot;-&quot;?_);_(@_)"/>
    <numFmt numFmtId="170" formatCode="#,##0.00;\(#,##0.00\);_(* &quot;-&quot;_)"/>
    <numFmt numFmtId="171" formatCode="0.00_);[Red]\(0.00\)"/>
    <numFmt numFmtId="172" formatCode="_(* #,##0.0%_);_(* \(#,##0.0%\);_(* &quot;--- %&quot;_);_(* @_%_)"/>
    <numFmt numFmtId="173" formatCode="0_);\(0\)"/>
    <numFmt numFmtId="174" formatCode="#,##0.0_);\(#,##0.0\)"/>
    <numFmt numFmtId="175" formatCode="#,##0.00&quot;x&quot;;\(#,##0.00&quot;x&quot;\)"/>
    <numFmt numFmtId="176" formatCode="0.0"/>
    <numFmt numFmtId="177" formatCode="0.0_);\(0.0\)"/>
    <numFmt numFmtId="178" formatCode="* _(&quot;$&quot;##,##0.0_);[Red]* \(&quot;$&quot;##,##0.0\);* _(&quot;-&quot;?_);_(@_)"/>
    <numFmt numFmtId="179" formatCode="* _(##,##0.0_);[Red]* \(##,##0.0\);* _(&quot;-&quot;?_);_(@_)"/>
    <numFmt numFmtId="180" formatCode="_(* #,##0.0_);_(* \(#,##0.0\);_(* &quot;-&quot;?_);_(@_)"/>
    <numFmt numFmtId="181" formatCode="* _(#,##0.0%_);* \(#,##0.0%\);* _(&quot;-&quot;?_);_(@_)"/>
    <numFmt numFmtId="182" formatCode="&quot;$&quot;#,##0.0_);\(&quot;$&quot;#,##0.0\)"/>
    <numFmt numFmtId="183" formatCode="_(* #,##0.0\x;_(* \(#,##0.0\x\);_(* &quot;- x&quot;_);_(* @_%_)"/>
    <numFmt numFmtId="184" formatCode="&quot;$&quot;#,##0.00"/>
  </numFmts>
  <fonts count="7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rgb="FF000000"/>
      <name val="Times New Roman"/>
      <family val="2"/>
    </font>
    <font>
      <b/>
      <sz val="14"/>
      <color theme="1"/>
      <name val="Times New Roman"/>
      <family val="2"/>
    </font>
    <font>
      <i/>
      <sz val="12"/>
      <color theme="1"/>
      <name val="Times New Roman"/>
      <family val="2"/>
    </font>
    <font>
      <b/>
      <i/>
      <sz val="8"/>
      <color theme="1"/>
      <name val="Times New Roman"/>
      <family val="1"/>
    </font>
    <font>
      <sz val="8"/>
      <color theme="1"/>
      <name val="Times New Roman"/>
      <family val="2"/>
    </font>
    <font>
      <b/>
      <sz val="8"/>
      <color theme="1"/>
      <name val="Times New Roman"/>
      <family val="2"/>
    </font>
    <font>
      <i/>
      <u/>
      <sz val="8"/>
      <color theme="1"/>
      <name val="Times New Roman"/>
      <family val="1"/>
    </font>
    <font>
      <b/>
      <vertAlign val="superscript"/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10"/>
      <name val="Arial"/>
      <family val="2"/>
    </font>
    <font>
      <sz val="8"/>
      <color theme="1"/>
      <name val="Times New Roman"/>
      <family val="1"/>
    </font>
    <font>
      <sz val="9"/>
      <color indexed="0"/>
      <name val="Helvetica"/>
      <family val="2"/>
    </font>
    <font>
      <sz val="9"/>
      <name val="Times New Roman"/>
      <family val="1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i/>
      <u/>
      <sz val="10"/>
      <color theme="1"/>
      <name val="Times New Roman"/>
      <family val="1"/>
    </font>
    <font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10"/>
      <color theme="1"/>
      <name val="Times New Roman"/>
      <family val="2"/>
    </font>
    <font>
      <sz val="10"/>
      <color theme="1"/>
      <name val="Calibri"/>
      <family val="2"/>
      <scheme val="minor"/>
    </font>
    <font>
      <u/>
      <sz val="10"/>
      <color theme="1"/>
      <name val="Times New Roman"/>
      <family val="2"/>
    </font>
    <font>
      <b/>
      <sz val="10"/>
      <color theme="1"/>
      <name val="Calibri"/>
      <family val="2"/>
      <scheme val="minor"/>
    </font>
    <font>
      <b/>
      <sz val="10"/>
      <color theme="1"/>
      <name val="Times New Roman"/>
      <family val="2"/>
    </font>
    <font>
      <i/>
      <u/>
      <sz val="11"/>
      <color theme="1"/>
      <name val="Times New Roman"/>
      <family val="1"/>
    </font>
    <font>
      <b/>
      <sz val="11"/>
      <color theme="1"/>
      <name val="Times New Roman"/>
      <family val="2"/>
    </font>
    <font>
      <b/>
      <vertAlign val="superscript"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u/>
      <sz val="12"/>
      <color theme="1"/>
      <name val="Calibri"/>
      <family val="2"/>
      <scheme val="minor"/>
    </font>
    <font>
      <i/>
      <sz val="14"/>
      <color theme="1"/>
      <name val="Times New Roman"/>
      <family val="1"/>
    </font>
    <font>
      <i/>
      <sz val="12"/>
      <color theme="1"/>
      <name val="Times New Roman"/>
      <family val="1"/>
    </font>
    <font>
      <i/>
      <u/>
      <sz val="12"/>
      <color theme="1"/>
      <name val="Times New Roman"/>
      <family val="1"/>
    </font>
    <font>
      <u/>
      <sz val="12"/>
      <color theme="1"/>
      <name val="Times New Roman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800080"/>
      <name val="Calibri"/>
      <family val="2"/>
      <scheme val="minor"/>
    </font>
    <font>
      <b/>
      <sz val="12"/>
      <name val="Times New Roman"/>
      <family val="1"/>
    </font>
    <font>
      <i/>
      <sz val="14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u/>
      <sz val="12"/>
      <color theme="1"/>
      <name val="Times New Roman"/>
      <family val="2"/>
    </font>
    <font>
      <b/>
      <u/>
      <sz val="12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MS Sans Serif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2"/>
      <name val="Times New Roman"/>
      <family val="1"/>
    </font>
    <font>
      <b/>
      <i/>
      <sz val="12"/>
      <name val="Times New Roman"/>
      <family val="1"/>
    </font>
    <font>
      <b/>
      <i/>
      <sz val="11"/>
      <name val="Calibri"/>
      <family val="2"/>
      <scheme val="minor"/>
    </font>
    <font>
      <i/>
      <sz val="14"/>
      <color rgb="FF000000"/>
      <name val="Times New Roman"/>
      <family val="2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2"/>
    </font>
    <font>
      <sz val="10"/>
      <color rgb="FF000000"/>
      <name val="Times New Roman"/>
      <family val="1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Helvetica"/>
      <family val="2"/>
    </font>
    <font>
      <i/>
      <sz val="11"/>
      <color theme="1"/>
      <name val="Arial"/>
      <family val="2"/>
    </font>
    <font>
      <sz val="11"/>
      <color theme="1"/>
      <name val="Helvetica"/>
      <family val="2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DD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18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 applyFill="0" applyBorder="0" applyProtection="0">
      <protection locked="0"/>
    </xf>
    <xf numFmtId="0" fontId="15" fillId="0" borderId="0"/>
    <xf numFmtId="0" fontId="13" fillId="0" borderId="0"/>
    <xf numFmtId="172" fontId="16" fillId="0" borderId="0" applyFont="0" applyFill="0" applyBorder="0" applyAlignment="0" applyProtection="0">
      <alignment horizontal="right"/>
    </xf>
    <xf numFmtId="0" fontId="13" fillId="0" borderId="0" applyFill="0" applyBorder="0" applyProtection="0">
      <protection locked="0"/>
    </xf>
    <xf numFmtId="0" fontId="8" fillId="0" borderId="0"/>
    <xf numFmtId="0" fontId="52" fillId="0" borderId="0" applyNumberFormat="0" applyFill="0" applyBorder="0" applyAlignment="0" applyProtection="0"/>
  </cellStyleXfs>
  <cellXfs count="309">
    <xf numFmtId="0" fontId="0" fillId="0" borderId="0" xfId="0"/>
    <xf numFmtId="37" fontId="5" fillId="0" borderId="0" xfId="0" applyNumberFormat="1" applyFont="1"/>
    <xf numFmtId="37" fontId="5" fillId="0" borderId="0" xfId="0" applyNumberFormat="1" applyFont="1" applyAlignment="1">
      <alignment horizontal="right"/>
    </xf>
    <xf numFmtId="37" fontId="0" fillId="0" borderId="0" xfId="0" applyNumberFormat="1"/>
    <xf numFmtId="37" fontId="0" fillId="2" borderId="0" xfId="0" applyNumberFormat="1" applyFill="1"/>
    <xf numFmtId="37" fontId="0" fillId="2" borderId="0" xfId="0" applyNumberFormat="1" applyFill="1" applyAlignment="1">
      <alignment horizontal="right"/>
    </xf>
    <xf numFmtId="37" fontId="6" fillId="0" borderId="0" xfId="0" applyNumberFormat="1" applyFont="1"/>
    <xf numFmtId="37" fontId="6" fillId="0" borderId="0" xfId="0" applyNumberFormat="1" applyFont="1" applyAlignment="1">
      <alignment horizontal="right"/>
    </xf>
    <xf numFmtId="39" fontId="0" fillId="0" borderId="0" xfId="0" applyNumberFormat="1"/>
    <xf numFmtId="9" fontId="8" fillId="0" borderId="0" xfId="2" applyFont="1"/>
    <xf numFmtId="37" fontId="8" fillId="0" borderId="0" xfId="2" applyNumberFormat="1" applyFont="1"/>
    <xf numFmtId="9" fontId="9" fillId="3" borderId="2" xfId="2" applyFont="1" applyFill="1" applyBorder="1" applyAlignment="1">
      <alignment horizontal="right"/>
    </xf>
    <xf numFmtId="9" fontId="9" fillId="3" borderId="3" xfId="2" applyFont="1" applyFill="1" applyBorder="1" applyAlignment="1">
      <alignment horizontal="right"/>
    </xf>
    <xf numFmtId="37" fontId="9" fillId="3" borderId="3" xfId="2" applyNumberFormat="1" applyFont="1" applyFill="1" applyBorder="1" applyAlignment="1">
      <alignment horizontal="right"/>
    </xf>
    <xf numFmtId="37" fontId="9" fillId="3" borderId="3" xfId="0" applyNumberFormat="1" applyFont="1" applyFill="1" applyBorder="1" applyAlignment="1">
      <alignment horizontal="right"/>
    </xf>
    <xf numFmtId="37" fontId="9" fillId="3" borderId="4" xfId="0" applyNumberFormat="1" applyFont="1" applyFill="1" applyBorder="1" applyAlignment="1">
      <alignment horizontal="right"/>
    </xf>
    <xf numFmtId="9" fontId="10" fillId="0" borderId="0" xfId="2" applyFont="1"/>
    <xf numFmtId="9" fontId="9" fillId="3" borderId="6" xfId="2" applyFont="1" applyFill="1" applyBorder="1" applyAlignment="1">
      <alignment horizontal="right"/>
    </xf>
    <xf numFmtId="9" fontId="9" fillId="3" borderId="7" xfId="2" applyFont="1" applyFill="1" applyBorder="1" applyAlignment="1">
      <alignment horizontal="right"/>
    </xf>
    <xf numFmtId="37" fontId="9" fillId="3" borderId="7" xfId="2" applyNumberFormat="1" applyFont="1" applyFill="1" applyBorder="1" applyAlignment="1">
      <alignment horizontal="right"/>
    </xf>
    <xf numFmtId="37" fontId="9" fillId="3" borderId="7" xfId="0" applyNumberFormat="1" applyFont="1" applyFill="1" applyBorder="1" applyAlignment="1">
      <alignment horizontal="right"/>
    </xf>
    <xf numFmtId="37" fontId="9" fillId="3" borderId="8" xfId="0" applyNumberFormat="1" applyFont="1" applyFill="1" applyBorder="1" applyAlignment="1">
      <alignment horizontal="right"/>
    </xf>
    <xf numFmtId="37" fontId="12" fillId="4" borderId="0" xfId="0" applyNumberFormat="1" applyFont="1" applyFill="1"/>
    <xf numFmtId="37" fontId="0" fillId="4" borderId="0" xfId="0" applyNumberFormat="1" applyFill="1"/>
    <xf numFmtId="10" fontId="0" fillId="0" borderId="0" xfId="2" applyNumberFormat="1" applyFont="1"/>
    <xf numFmtId="164" fontId="0" fillId="0" borderId="0" xfId="0" applyNumberFormat="1"/>
    <xf numFmtId="39" fontId="12" fillId="0" borderId="0" xfId="0" applyNumberFormat="1" applyFont="1"/>
    <xf numFmtId="9" fontId="9" fillId="5" borderId="3" xfId="2" applyFont="1" applyFill="1" applyBorder="1" applyAlignment="1">
      <alignment horizontal="right"/>
    </xf>
    <xf numFmtId="37" fontId="9" fillId="5" borderId="3" xfId="2" applyNumberFormat="1" applyFont="1" applyFill="1" applyBorder="1" applyAlignment="1">
      <alignment horizontal="right"/>
    </xf>
    <xf numFmtId="37" fontId="9" fillId="5" borderId="7" xfId="2" applyNumberFormat="1" applyFont="1" applyFill="1" applyBorder="1" applyAlignment="1">
      <alignment horizontal="right"/>
    </xf>
    <xf numFmtId="37" fontId="7" fillId="0" borderId="0" xfId="0" applyNumberFormat="1" applyFont="1"/>
    <xf numFmtId="9" fontId="0" fillId="0" borderId="0" xfId="2" applyFont="1"/>
    <xf numFmtId="37" fontId="0" fillId="5" borderId="0" xfId="0" applyNumberFormat="1" applyFill="1"/>
    <xf numFmtId="0" fontId="14" fillId="0" borderId="0" xfId="3" applyFont="1" applyFill="1" applyProtection="1"/>
    <xf numFmtId="0" fontId="14" fillId="0" borderId="0" xfId="3" applyFont="1" applyFill="1" applyBorder="1" applyProtection="1"/>
    <xf numFmtId="9" fontId="18" fillId="0" borderId="0" xfId="2" applyFont="1"/>
    <xf numFmtId="37" fontId="18" fillId="0" borderId="0" xfId="2" applyNumberFormat="1" applyFont="1"/>
    <xf numFmtId="164" fontId="18" fillId="0" borderId="0" xfId="2" applyNumberFormat="1" applyFont="1"/>
    <xf numFmtId="39" fontId="18" fillId="0" borderId="0" xfId="2" applyNumberFormat="1" applyFont="1"/>
    <xf numFmtId="37" fontId="18" fillId="0" borderId="0" xfId="0" applyNumberFormat="1" applyFont="1"/>
    <xf numFmtId="9" fontId="18" fillId="0" borderId="0" xfId="2" applyFont="1" applyFill="1"/>
    <xf numFmtId="37" fontId="18" fillId="0" borderId="0" xfId="2" applyNumberFormat="1" applyFont="1" applyFill="1"/>
    <xf numFmtId="164" fontId="19" fillId="0" borderId="0" xfId="2" applyNumberFormat="1" applyFont="1" applyFill="1"/>
    <xf numFmtId="39" fontId="19" fillId="0" borderId="0" xfId="2" applyNumberFormat="1" applyFont="1" applyFill="1"/>
    <xf numFmtId="164" fontId="18" fillId="0" borderId="0" xfId="0" applyNumberFormat="1" applyFont="1"/>
    <xf numFmtId="39" fontId="18" fillId="0" borderId="0" xfId="0" applyNumberFormat="1" applyFont="1"/>
    <xf numFmtId="37" fontId="0" fillId="0" borderId="0" xfId="0" applyNumberFormat="1" applyFont="1"/>
    <xf numFmtId="0" fontId="20" fillId="0" borderId="0" xfId="3" applyFont="1" applyFill="1" applyProtection="1"/>
    <xf numFmtId="0" fontId="18" fillId="0" borderId="0" xfId="3" applyFont="1" applyFill="1" applyProtection="1"/>
    <xf numFmtId="0" fontId="20" fillId="0" borderId="0" xfId="4" applyFont="1"/>
    <xf numFmtId="0" fontId="21" fillId="0" borderId="0" xfId="4" applyFont="1"/>
    <xf numFmtId="0" fontId="18" fillId="0" borderId="0" xfId="4" applyFont="1"/>
    <xf numFmtId="0" fontId="20" fillId="0" borderId="0" xfId="4" applyFont="1" applyAlignment="1">
      <alignment horizontal="center"/>
    </xf>
    <xf numFmtId="0" fontId="20" fillId="0" borderId="7" xfId="4" applyFont="1" applyBorder="1"/>
    <xf numFmtId="0" fontId="20" fillId="0" borderId="7" xfId="4" applyFont="1" applyBorder="1" applyAlignment="1">
      <alignment horizontal="center"/>
    </xf>
    <xf numFmtId="0" fontId="18" fillId="0" borderId="0" xfId="3" applyFont="1" applyFill="1" applyBorder="1" applyAlignment="1" applyProtection="1">
      <alignment vertical="top"/>
    </xf>
    <xf numFmtId="164" fontId="18" fillId="0" borderId="0" xfId="3" applyNumberFormat="1" applyFont="1" applyFill="1" applyProtection="1"/>
    <xf numFmtId="40" fontId="18" fillId="0" borderId="0" xfId="4" applyNumberFormat="1" applyFont="1"/>
    <xf numFmtId="165" fontId="18" fillId="0" borderId="0" xfId="5" applyNumberFormat="1" applyFont="1" applyAlignment="1">
      <alignment horizontal="right"/>
    </xf>
    <xf numFmtId="166" fontId="18" fillId="0" borderId="0" xfId="6" applyNumberFormat="1" applyFont="1" applyFill="1" applyBorder="1" applyAlignment="1">
      <alignment horizontal="right" vertical="distributed"/>
    </xf>
    <xf numFmtId="164" fontId="18" fillId="0" borderId="0" xfId="5" applyNumberFormat="1" applyFont="1"/>
    <xf numFmtId="40" fontId="18" fillId="0" borderId="0" xfId="5" applyNumberFormat="1" applyFont="1"/>
    <xf numFmtId="167" fontId="18" fillId="0" borderId="0" xfId="7" applyNumberFormat="1" applyFont="1" applyFill="1" applyBorder="1" applyAlignment="1" applyProtection="1">
      <alignment horizontal="right"/>
    </xf>
    <xf numFmtId="168" fontId="18" fillId="0" borderId="0" xfId="5" applyNumberFormat="1" applyFont="1" applyAlignment="1">
      <alignment horizontal="right"/>
    </xf>
    <xf numFmtId="169" fontId="18" fillId="0" borderId="0" xfId="7" applyNumberFormat="1" applyFont="1" applyFill="1" applyBorder="1" applyProtection="1"/>
    <xf numFmtId="164" fontId="18" fillId="0" borderId="0" xfId="4" applyNumberFormat="1" applyFont="1"/>
    <xf numFmtId="0" fontId="18" fillId="0" borderId="0" xfId="3" applyFont="1" applyFill="1" applyBorder="1" applyProtection="1"/>
    <xf numFmtId="170" fontId="18" fillId="0" borderId="0" xfId="5" applyNumberFormat="1" applyFont="1"/>
    <xf numFmtId="168" fontId="18" fillId="0" borderId="0" xfId="5" applyNumberFormat="1" applyFont="1"/>
    <xf numFmtId="164" fontId="20" fillId="0" borderId="9" xfId="3" applyNumberFormat="1" applyFont="1" applyFill="1" applyBorder="1" applyProtection="1"/>
    <xf numFmtId="40" fontId="20" fillId="0" borderId="0" xfId="4" applyNumberFormat="1" applyFont="1"/>
    <xf numFmtId="164" fontId="20" fillId="0" borderId="0" xfId="4" applyNumberFormat="1" applyFont="1"/>
    <xf numFmtId="10" fontId="18" fillId="0" borderId="0" xfId="4" applyNumberFormat="1" applyFont="1"/>
    <xf numFmtId="171" fontId="18" fillId="0" borderId="0" xfId="4" applyNumberFormat="1" applyFont="1"/>
    <xf numFmtId="171" fontId="20" fillId="0" borderId="10" xfId="4" applyNumberFormat="1" applyFont="1" applyBorder="1"/>
    <xf numFmtId="171" fontId="20" fillId="0" borderId="0" xfId="4" applyNumberFormat="1" applyFont="1"/>
    <xf numFmtId="0" fontId="18" fillId="0" borderId="7" xfId="3" applyFont="1" applyFill="1" applyBorder="1" applyProtection="1"/>
    <xf numFmtId="164" fontId="18" fillId="0" borderId="0" xfId="2" applyNumberFormat="1" applyFont="1" applyFill="1" applyBorder="1" applyProtection="1"/>
    <xf numFmtId="164" fontId="20" fillId="0" borderId="7" xfId="3" applyNumberFormat="1" applyFont="1" applyFill="1" applyBorder="1" applyAlignment="1" applyProtection="1">
      <alignment horizontal="center"/>
    </xf>
    <xf numFmtId="164" fontId="20" fillId="0" borderId="0" xfId="2" applyNumberFormat="1" applyFont="1" applyFill="1" applyBorder="1"/>
    <xf numFmtId="164" fontId="18" fillId="0" borderId="2" xfId="3" applyNumberFormat="1" applyFont="1" applyFill="1" applyBorder="1" applyAlignment="1" applyProtection="1">
      <alignment horizontal="center"/>
    </xf>
    <xf numFmtId="164" fontId="18" fillId="0" borderId="0" xfId="3" applyNumberFormat="1" applyFont="1" applyFill="1" applyBorder="1" applyAlignment="1" applyProtection="1">
      <alignment horizontal="center"/>
    </xf>
    <xf numFmtId="164" fontId="18" fillId="0" borderId="5" xfId="3" applyNumberFormat="1" applyFont="1" applyFill="1" applyBorder="1" applyAlignment="1" applyProtection="1">
      <alignment horizontal="center"/>
    </xf>
    <xf numFmtId="164" fontId="20" fillId="0" borderId="0" xfId="3" applyNumberFormat="1" applyFont="1" applyFill="1" applyBorder="1" applyAlignment="1" applyProtection="1">
      <alignment horizontal="center"/>
    </xf>
    <xf numFmtId="9" fontId="23" fillId="0" borderId="0" xfId="2" applyFont="1"/>
    <xf numFmtId="9" fontId="24" fillId="0" borderId="0" xfId="2" applyFont="1"/>
    <xf numFmtId="40" fontId="26" fillId="0" borderId="0" xfId="1" applyNumberFormat="1" applyFont="1"/>
    <xf numFmtId="164" fontId="26" fillId="0" borderId="0" xfId="2" applyNumberFormat="1" applyFont="1"/>
    <xf numFmtId="2" fontId="26" fillId="0" borderId="0" xfId="1" applyNumberFormat="1" applyFont="1"/>
    <xf numFmtId="40" fontId="27" fillId="0" borderId="0" xfId="1" applyNumberFormat="1" applyFont="1"/>
    <xf numFmtId="37" fontId="24" fillId="0" borderId="0" xfId="0" applyNumberFormat="1" applyFont="1"/>
    <xf numFmtId="37" fontId="24" fillId="6" borderId="0" xfId="0" applyNumberFormat="1" applyFont="1" applyFill="1"/>
    <xf numFmtId="9" fontId="24" fillId="6" borderId="0" xfId="2" applyFont="1" applyFill="1"/>
    <xf numFmtId="164" fontId="2" fillId="0" borderId="0" xfId="0" applyNumberFormat="1" applyFont="1"/>
    <xf numFmtId="164" fontId="28" fillId="0" borderId="0" xfId="2" applyNumberFormat="1" applyFont="1"/>
    <xf numFmtId="2" fontId="28" fillId="0" borderId="0" xfId="1" applyNumberFormat="1" applyFont="1"/>
    <xf numFmtId="37" fontId="22" fillId="0" borderId="0" xfId="0" applyNumberFormat="1" applyFont="1"/>
    <xf numFmtId="43" fontId="27" fillId="0" borderId="0" xfId="1" applyFont="1"/>
    <xf numFmtId="164" fontId="29" fillId="0" borderId="0" xfId="2" applyNumberFormat="1" applyFont="1"/>
    <xf numFmtId="2" fontId="30" fillId="0" borderId="0" xfId="1" applyNumberFormat="1" applyFont="1"/>
    <xf numFmtId="9" fontId="22" fillId="3" borderId="2" xfId="2" applyFont="1" applyFill="1" applyBorder="1" applyAlignment="1">
      <alignment horizontal="center" vertical="top"/>
    </xf>
    <xf numFmtId="9" fontId="22" fillId="3" borderId="3" xfId="2" applyFont="1" applyFill="1" applyBorder="1" applyAlignment="1">
      <alignment horizontal="center" vertical="top"/>
    </xf>
    <xf numFmtId="37" fontId="22" fillId="3" borderId="3" xfId="2" applyNumberFormat="1" applyFont="1" applyFill="1" applyBorder="1" applyAlignment="1">
      <alignment horizontal="center" vertical="top"/>
    </xf>
    <xf numFmtId="37" fontId="22" fillId="3" borderId="3" xfId="0" applyNumberFormat="1" applyFont="1" applyFill="1" applyBorder="1" applyAlignment="1">
      <alignment horizontal="center" vertical="top"/>
    </xf>
    <xf numFmtId="37" fontId="22" fillId="3" borderId="4" xfId="0" applyNumberFormat="1" applyFont="1" applyFill="1" applyBorder="1" applyAlignment="1">
      <alignment horizontal="center" vertical="top"/>
    </xf>
    <xf numFmtId="9" fontId="22" fillId="3" borderId="6" xfId="2" applyFont="1" applyFill="1" applyBorder="1" applyAlignment="1">
      <alignment horizontal="center" vertical="top"/>
    </xf>
    <xf numFmtId="9" fontId="22" fillId="3" borderId="7" xfId="2" applyFont="1" applyFill="1" applyBorder="1" applyAlignment="1">
      <alignment horizontal="center" vertical="top"/>
    </xf>
    <xf numFmtId="37" fontId="22" fillId="3" borderId="7" xfId="2" applyNumberFormat="1" applyFont="1" applyFill="1" applyBorder="1" applyAlignment="1">
      <alignment horizontal="center" vertical="top"/>
    </xf>
    <xf numFmtId="37" fontId="22" fillId="3" borderId="7" xfId="0" applyNumberFormat="1" applyFont="1" applyFill="1" applyBorder="1" applyAlignment="1">
      <alignment horizontal="center" vertical="top"/>
    </xf>
    <xf numFmtId="37" fontId="22" fillId="3" borderId="8" xfId="0" applyNumberFormat="1" applyFont="1" applyFill="1" applyBorder="1" applyAlignment="1">
      <alignment horizontal="center" vertical="top"/>
    </xf>
    <xf numFmtId="37" fontId="31" fillId="5" borderId="0" xfId="0" applyNumberFormat="1" applyFont="1" applyFill="1"/>
    <xf numFmtId="9" fontId="32" fillId="5" borderId="2" xfId="2" applyFont="1" applyFill="1" applyBorder="1" applyAlignment="1">
      <alignment horizontal="right"/>
    </xf>
    <xf numFmtId="9" fontId="32" fillId="5" borderId="3" xfId="2" applyFont="1" applyFill="1" applyBorder="1" applyAlignment="1">
      <alignment horizontal="right"/>
    </xf>
    <xf numFmtId="37" fontId="32" fillId="5" borderId="3" xfId="2" applyNumberFormat="1" applyFont="1" applyFill="1" applyBorder="1" applyAlignment="1">
      <alignment horizontal="right"/>
    </xf>
    <xf numFmtId="37" fontId="32" fillId="5" borderId="3" xfId="0" applyNumberFormat="1" applyFont="1" applyFill="1" applyBorder="1" applyAlignment="1">
      <alignment horizontal="right"/>
    </xf>
    <xf numFmtId="37" fontId="32" fillId="5" borderId="4" xfId="0" applyNumberFormat="1" applyFont="1" applyFill="1" applyBorder="1" applyAlignment="1">
      <alignment horizontal="right"/>
    </xf>
    <xf numFmtId="9" fontId="32" fillId="5" borderId="6" xfId="2" applyFont="1" applyFill="1" applyBorder="1" applyAlignment="1">
      <alignment horizontal="right"/>
    </xf>
    <xf numFmtId="9" fontId="32" fillId="5" borderId="7" xfId="2" applyFont="1" applyFill="1" applyBorder="1" applyAlignment="1">
      <alignment horizontal="right"/>
    </xf>
    <xf numFmtId="37" fontId="32" fillId="5" borderId="7" xfId="2" applyNumberFormat="1" applyFont="1" applyFill="1" applyBorder="1" applyAlignment="1">
      <alignment horizontal="right"/>
    </xf>
    <xf numFmtId="37" fontId="32" fillId="5" borderId="7" xfId="0" applyNumberFormat="1" applyFont="1" applyFill="1" applyBorder="1" applyAlignment="1">
      <alignment horizontal="right"/>
    </xf>
    <xf numFmtId="37" fontId="32" fillId="5" borderId="8" xfId="0" applyNumberFormat="1" applyFont="1" applyFill="1" applyBorder="1" applyAlignment="1">
      <alignment horizontal="right"/>
    </xf>
    <xf numFmtId="9" fontId="18" fillId="0" borderId="0" xfId="3" applyNumberFormat="1" applyFont="1" applyFill="1" applyProtection="1"/>
    <xf numFmtId="9" fontId="18" fillId="0" borderId="0" xfId="2" applyNumberFormat="1" applyFont="1" applyFill="1" applyBorder="1"/>
    <xf numFmtId="0" fontId="34" fillId="0" borderId="0" xfId="0" applyFont="1"/>
    <xf numFmtId="0" fontId="35" fillId="0" borderId="0" xfId="0" applyFont="1"/>
    <xf numFmtId="0" fontId="3" fillId="0" borderId="0" xfId="0" applyFont="1"/>
    <xf numFmtId="0" fontId="0" fillId="0" borderId="0" xfId="0" applyFont="1"/>
    <xf numFmtId="174" fontId="0" fillId="0" borderId="0" xfId="0" applyNumberFormat="1" applyFont="1"/>
    <xf numFmtId="37" fontId="36" fillId="0" borderId="0" xfId="0" applyNumberFormat="1" applyFont="1"/>
    <xf numFmtId="173" fontId="3" fillId="3" borderId="11" xfId="0" applyNumberFormat="1" applyFont="1" applyFill="1" applyBorder="1"/>
    <xf numFmtId="173" fontId="3" fillId="3" borderId="12" xfId="0" applyNumberFormat="1" applyFont="1" applyFill="1" applyBorder="1"/>
    <xf numFmtId="173" fontId="3" fillId="3" borderId="13" xfId="0" applyNumberFormat="1" applyFont="1" applyFill="1" applyBorder="1"/>
    <xf numFmtId="174" fontId="17" fillId="0" borderId="0" xfId="0" applyNumberFormat="1" applyFont="1"/>
    <xf numFmtId="37" fontId="3" fillId="0" borderId="0" xfId="0" applyNumberFormat="1" applyFont="1"/>
    <xf numFmtId="174" fontId="3" fillId="0" borderId="0" xfId="0" applyNumberFormat="1" applyFont="1"/>
    <xf numFmtId="37" fontId="38" fillId="0" borderId="1" xfId="0" applyNumberFormat="1" applyFont="1" applyBorder="1"/>
    <xf numFmtId="164" fontId="35" fillId="0" borderId="0" xfId="0" applyNumberFormat="1" applyFont="1"/>
    <xf numFmtId="9" fontId="35" fillId="0" borderId="0" xfId="0" applyNumberFormat="1" applyFont="1"/>
    <xf numFmtId="37" fontId="38" fillId="0" borderId="0" xfId="0" applyNumberFormat="1" applyFont="1"/>
    <xf numFmtId="10" fontId="35" fillId="0" borderId="0" xfId="0" applyNumberFormat="1" applyFont="1"/>
    <xf numFmtId="37" fontId="34" fillId="0" borderId="0" xfId="0" applyNumberFormat="1" applyFont="1"/>
    <xf numFmtId="175" fontId="35" fillId="0" borderId="0" xfId="0" applyNumberFormat="1" applyFont="1"/>
    <xf numFmtId="37" fontId="35" fillId="0" borderId="0" xfId="0" applyNumberFormat="1" applyFont="1"/>
    <xf numFmtId="37" fontId="34" fillId="0" borderId="1" xfId="0" applyNumberFormat="1" applyFont="1" applyBorder="1"/>
    <xf numFmtId="37" fontId="39" fillId="0" borderId="0" xfId="0" applyNumberFormat="1" applyFont="1"/>
    <xf numFmtId="37" fontId="35" fillId="0" borderId="0" xfId="8" applyNumberFormat="1" applyFont="1"/>
    <xf numFmtId="174" fontId="35" fillId="0" borderId="0" xfId="8" applyNumberFormat="1" applyFont="1"/>
    <xf numFmtId="174" fontId="40" fillId="0" borderId="0" xfId="8" applyNumberFormat="1" applyFont="1"/>
    <xf numFmtId="37" fontId="34" fillId="0" borderId="0" xfId="8" applyNumberFormat="1" applyFont="1"/>
    <xf numFmtId="174" fontId="34" fillId="0" borderId="0" xfId="8" applyNumberFormat="1" applyFont="1"/>
    <xf numFmtId="37" fontId="5" fillId="0" borderId="0" xfId="8" applyNumberFormat="1" applyFont="1"/>
    <xf numFmtId="37" fontId="5" fillId="0" borderId="0" xfId="8" applyNumberFormat="1" applyFont="1" applyAlignment="1">
      <alignment horizontal="right"/>
    </xf>
    <xf numFmtId="37" fontId="8" fillId="2" borderId="0" xfId="8" applyNumberFormat="1" applyFill="1"/>
    <xf numFmtId="37" fontId="8" fillId="2" borderId="0" xfId="8" applyNumberFormat="1" applyFill="1" applyAlignment="1">
      <alignment horizontal="right"/>
    </xf>
    <xf numFmtId="37" fontId="6" fillId="0" borderId="0" xfId="8" applyNumberFormat="1" applyFont="1"/>
    <xf numFmtId="37" fontId="6" fillId="0" borderId="0" xfId="8" applyNumberFormat="1" applyFont="1" applyAlignment="1">
      <alignment horizontal="right"/>
    </xf>
    <xf numFmtId="37" fontId="8" fillId="0" borderId="0" xfId="8" applyNumberFormat="1"/>
    <xf numFmtId="37" fontId="41" fillId="0" borderId="7" xfId="8" applyNumberFormat="1" applyFont="1" applyBorder="1"/>
    <xf numFmtId="10" fontId="41" fillId="0" borderId="7" xfId="8" applyNumberFormat="1" applyFont="1" applyBorder="1"/>
    <xf numFmtId="37" fontId="18" fillId="0" borderId="0" xfId="8" applyNumberFormat="1" applyFont="1"/>
    <xf numFmtId="37" fontId="18" fillId="0" borderId="0" xfId="8" applyNumberFormat="1" applyFont="1" applyAlignment="1">
      <alignment horizontal="right"/>
    </xf>
    <xf numFmtId="37" fontId="42" fillId="0" borderId="0" xfId="8" applyNumberFormat="1" applyFont="1"/>
    <xf numFmtId="14" fontId="42" fillId="0" borderId="0" xfId="8" applyNumberFormat="1" applyFont="1"/>
    <xf numFmtId="14" fontId="41" fillId="0" borderId="0" xfId="8" applyNumberFormat="1" applyFont="1"/>
    <xf numFmtId="37" fontId="20" fillId="0" borderId="0" xfId="8" applyNumberFormat="1" applyFont="1"/>
    <xf numFmtId="37" fontId="18" fillId="0" borderId="7" xfId="8" applyNumberFormat="1" applyFont="1" applyBorder="1"/>
    <xf numFmtId="37" fontId="43" fillId="0" borderId="7" xfId="8" applyNumberFormat="1" applyFont="1" applyBorder="1" applyAlignment="1">
      <alignment horizontal="right"/>
    </xf>
    <xf numFmtId="37" fontId="18" fillId="0" borderId="0" xfId="8" applyNumberFormat="1" applyFont="1" applyBorder="1"/>
    <xf numFmtId="37" fontId="43" fillId="0" borderId="0" xfId="8" applyNumberFormat="1" applyFont="1" applyBorder="1" applyAlignment="1">
      <alignment horizontal="right"/>
    </xf>
    <xf numFmtId="37" fontId="41" fillId="0" borderId="0" xfId="8" applyNumberFormat="1" applyFont="1"/>
    <xf numFmtId="37" fontId="18" fillId="0" borderId="0" xfId="8" applyNumberFormat="1" applyFont="1" applyBorder="1" applyAlignment="1">
      <alignment horizontal="right"/>
    </xf>
    <xf numFmtId="37" fontId="42" fillId="0" borderId="0" xfId="8" applyNumberFormat="1" applyFont="1" applyBorder="1"/>
    <xf numFmtId="37" fontId="41" fillId="0" borderId="0" xfId="8" applyNumberFormat="1" applyFont="1" applyBorder="1"/>
    <xf numFmtId="10" fontId="41" fillId="0" borderId="0" xfId="8" applyNumberFormat="1" applyFont="1" applyBorder="1"/>
    <xf numFmtId="14" fontId="42" fillId="0" borderId="0" xfId="8" applyNumberFormat="1" applyFont="1" applyBorder="1"/>
    <xf numFmtId="14" fontId="41" fillId="0" borderId="0" xfId="8" applyNumberFormat="1" applyFont="1" applyBorder="1"/>
    <xf numFmtId="37" fontId="20" fillId="0" borderId="0" xfId="8" applyNumberFormat="1" applyFont="1" applyBorder="1"/>
    <xf numFmtId="173" fontId="34" fillId="7" borderId="11" xfId="8" applyNumberFormat="1" applyFont="1" applyFill="1" applyBorder="1"/>
    <xf numFmtId="173" fontId="34" fillId="7" borderId="12" xfId="8" applyNumberFormat="1" applyFont="1" applyFill="1" applyBorder="1"/>
    <xf numFmtId="173" fontId="44" fillId="8" borderId="12" xfId="8" applyNumberFormat="1" applyFont="1" applyFill="1" applyBorder="1"/>
    <xf numFmtId="173" fontId="34" fillId="9" borderId="12" xfId="8" applyNumberFormat="1" applyFont="1" applyFill="1" applyBorder="1"/>
    <xf numFmtId="173" fontId="34" fillId="9" borderId="13" xfId="8" applyNumberFormat="1" applyFont="1" applyFill="1" applyBorder="1"/>
    <xf numFmtId="37" fontId="34" fillId="0" borderId="0" xfId="8" applyNumberFormat="1" applyFont="1" applyFill="1" applyAlignment="1">
      <alignment horizontal="right"/>
    </xf>
    <xf numFmtId="37" fontId="45" fillId="0" borderId="0" xfId="0" applyNumberFormat="1" applyFont="1"/>
    <xf numFmtId="0" fontId="39" fillId="0" borderId="0" xfId="8" applyFont="1"/>
    <xf numFmtId="0" fontId="46" fillId="0" borderId="0" xfId="8" applyFont="1"/>
    <xf numFmtId="173" fontId="47" fillId="3" borderId="11" xfId="8" applyNumberFormat="1" applyFont="1" applyFill="1" applyBorder="1"/>
    <xf numFmtId="173" fontId="47" fillId="3" borderId="12" xfId="8" applyNumberFormat="1" applyFont="1" applyFill="1" applyBorder="1"/>
    <xf numFmtId="176" fontId="46" fillId="0" borderId="0" xfId="8" applyNumberFormat="1" applyFont="1"/>
    <xf numFmtId="176" fontId="48" fillId="0" borderId="0" xfId="8" applyNumberFormat="1" applyFont="1"/>
    <xf numFmtId="0" fontId="34" fillId="0" borderId="0" xfId="8" applyFont="1"/>
    <xf numFmtId="176" fontId="34" fillId="0" borderId="0" xfId="8" applyNumberFormat="1" applyFont="1"/>
    <xf numFmtId="173" fontId="47" fillId="3" borderId="13" xfId="8" applyNumberFormat="1" applyFont="1" applyFill="1" applyBorder="1"/>
    <xf numFmtId="177" fontId="46" fillId="0" borderId="0" xfId="8" applyNumberFormat="1" applyFont="1"/>
    <xf numFmtId="0" fontId="0" fillId="0" borderId="0" xfId="0" applyAlignment="1">
      <alignment horizontal="center" vertical="center"/>
    </xf>
    <xf numFmtId="176" fontId="49" fillId="0" borderId="0" xfId="8" applyNumberFormat="1" applyFont="1"/>
    <xf numFmtId="177" fontId="35" fillId="0" borderId="0" xfId="8" applyNumberFormat="1" applyFont="1"/>
    <xf numFmtId="177" fontId="34" fillId="0" borderId="0" xfId="8" applyNumberFormat="1" applyFont="1"/>
    <xf numFmtId="0" fontId="0" fillId="0" borderId="0" xfId="0" applyFill="1"/>
    <xf numFmtId="173" fontId="44" fillId="0" borderId="12" xfId="8" applyNumberFormat="1" applyFont="1" applyFill="1" applyBorder="1"/>
    <xf numFmtId="176" fontId="46" fillId="0" borderId="0" xfId="8" applyNumberFormat="1" applyFont="1" applyFill="1"/>
    <xf numFmtId="176" fontId="48" fillId="0" borderId="0" xfId="8" applyNumberFormat="1" applyFont="1" applyFill="1"/>
    <xf numFmtId="176" fontId="34" fillId="0" borderId="0" xfId="8" applyNumberFormat="1" applyFont="1" applyFill="1"/>
    <xf numFmtId="173" fontId="47" fillId="0" borderId="12" xfId="8" applyNumberFormat="1" applyFont="1" applyFill="1" applyBorder="1"/>
    <xf numFmtId="0" fontId="50" fillId="0" borderId="0" xfId="3" applyFont="1" applyFill="1" applyProtection="1"/>
    <xf numFmtId="0" fontId="51" fillId="0" borderId="7" xfId="3" applyFont="1" applyFill="1" applyBorder="1" applyAlignment="1" applyProtection="1">
      <alignment horizontal="centerContinuous"/>
    </xf>
    <xf numFmtId="0" fontId="50" fillId="0" borderId="7" xfId="3" applyFont="1" applyFill="1" applyBorder="1" applyAlignment="1" applyProtection="1">
      <alignment horizontal="centerContinuous"/>
    </xf>
    <xf numFmtId="0" fontId="51" fillId="0" borderId="0" xfId="4" applyFont="1"/>
    <xf numFmtId="0" fontId="51" fillId="0" borderId="0" xfId="3" applyFont="1" applyFill="1" applyProtection="1"/>
    <xf numFmtId="178" fontId="50" fillId="0" borderId="0" xfId="9" applyNumberFormat="1" applyFont="1" applyFill="1"/>
    <xf numFmtId="178" fontId="50" fillId="0" borderId="15" xfId="9" applyNumberFormat="1" applyFont="1" applyFill="1" applyBorder="1"/>
    <xf numFmtId="179" fontId="50" fillId="0" borderId="0" xfId="9" applyNumberFormat="1" applyFont="1" applyFill="1"/>
    <xf numFmtId="179" fontId="50" fillId="0" borderId="15" xfId="9" applyNumberFormat="1" applyFont="1" applyFill="1" applyBorder="1"/>
    <xf numFmtId="180" fontId="50" fillId="0" borderId="0" xfId="4" applyNumberFormat="1" applyFont="1"/>
    <xf numFmtId="180" fontId="50" fillId="0" borderId="15" xfId="4" applyNumberFormat="1" applyFont="1" applyBorder="1"/>
    <xf numFmtId="0" fontId="53" fillId="0" borderId="7" xfId="3" applyFont="1" applyFill="1" applyBorder="1" applyProtection="1"/>
    <xf numFmtId="180" fontId="50" fillId="0" borderId="7" xfId="4" applyNumberFormat="1" applyFont="1" applyBorder="1"/>
    <xf numFmtId="180" fontId="50" fillId="0" borderId="16" xfId="4" applyNumberFormat="1" applyFont="1" applyBorder="1"/>
    <xf numFmtId="0" fontId="50" fillId="0" borderId="0" xfId="3" applyFont="1" applyFill="1" applyAlignment="1" applyProtection="1">
      <alignment horizontal="left"/>
    </xf>
    <xf numFmtId="180" fontId="50" fillId="0" borderId="0" xfId="3" applyNumberFormat="1" applyFont="1" applyFill="1" applyBorder="1" applyProtection="1"/>
    <xf numFmtId="180" fontId="50" fillId="0" borderId="7" xfId="3" applyNumberFormat="1" applyFont="1" applyFill="1" applyBorder="1" applyProtection="1"/>
    <xf numFmtId="178" fontId="51" fillId="0" borderId="0" xfId="9" applyNumberFormat="1" applyFont="1" applyFill="1"/>
    <xf numFmtId="178" fontId="51" fillId="0" borderId="15" xfId="9" applyNumberFormat="1" applyFont="1" applyFill="1" applyBorder="1"/>
    <xf numFmtId="0" fontId="50" fillId="0" borderId="0" xfId="4" applyFont="1"/>
    <xf numFmtId="165" fontId="54" fillId="0" borderId="0" xfId="4" applyNumberFormat="1" applyFont="1"/>
    <xf numFmtId="165" fontId="50" fillId="0" borderId="0" xfId="4" applyNumberFormat="1" applyFont="1"/>
    <xf numFmtId="165" fontId="50" fillId="0" borderId="15" xfId="4" applyNumberFormat="1" applyFont="1" applyBorder="1"/>
    <xf numFmtId="180" fontId="54" fillId="0" borderId="7" xfId="4" applyNumberFormat="1" applyFont="1" applyBorder="1"/>
    <xf numFmtId="43" fontId="50" fillId="0" borderId="15" xfId="4" applyNumberFormat="1" applyFont="1" applyBorder="1"/>
    <xf numFmtId="165" fontId="54" fillId="0" borderId="7" xfId="4" applyNumberFormat="1" applyFont="1" applyBorder="1"/>
    <xf numFmtId="165" fontId="50" fillId="0" borderId="7" xfId="4" applyNumberFormat="1" applyFont="1" applyBorder="1"/>
    <xf numFmtId="165" fontId="50" fillId="0" borderId="16" xfId="4" applyNumberFormat="1" applyFont="1" applyBorder="1"/>
    <xf numFmtId="0" fontId="54" fillId="0" borderId="0" xfId="3" applyFont="1" applyFill="1" applyAlignment="1" applyProtection="1">
      <alignment horizontal="left"/>
    </xf>
    <xf numFmtId="181" fontId="54" fillId="0" borderId="0" xfId="9" applyNumberFormat="1" applyFont="1" applyFill="1" applyBorder="1" applyAlignment="1">
      <alignment horizontal="right"/>
    </xf>
    <xf numFmtId="181" fontId="54" fillId="0" borderId="15" xfId="9" applyNumberFormat="1" applyFont="1" applyFill="1" applyBorder="1" applyAlignment="1">
      <alignment horizontal="right"/>
    </xf>
    <xf numFmtId="165" fontId="51" fillId="0" borderId="0" xfId="3" applyNumberFormat="1" applyFont="1" applyFill="1" applyBorder="1" applyProtection="1"/>
    <xf numFmtId="165" fontId="51" fillId="0" borderId="0" xfId="4" applyNumberFormat="1" applyFont="1"/>
    <xf numFmtId="180" fontId="50" fillId="0" borderId="17" xfId="3" applyNumberFormat="1" applyFont="1" applyFill="1" applyBorder="1" applyProtection="1"/>
    <xf numFmtId="165" fontId="53" fillId="10" borderId="0" xfId="3" applyNumberFormat="1" applyFont="1" applyFill="1" applyBorder="1" applyProtection="1"/>
    <xf numFmtId="178" fontId="53" fillId="10" borderId="0" xfId="9" applyNumberFormat="1" applyFont="1" applyFill="1"/>
    <xf numFmtId="178" fontId="53" fillId="10" borderId="15" xfId="9" applyNumberFormat="1" applyFont="1" applyFill="1" applyBorder="1"/>
    <xf numFmtId="0" fontId="55" fillId="0" borderId="0" xfId="0" applyFont="1" applyAlignment="1">
      <alignment vertical="center"/>
    </xf>
    <xf numFmtId="0" fontId="56" fillId="0" borderId="0" xfId="0" applyFont="1" applyAlignment="1">
      <alignment vertical="center"/>
    </xf>
    <xf numFmtId="0" fontId="57" fillId="0" borderId="0" xfId="0" applyFont="1" applyAlignment="1">
      <alignment vertical="center"/>
    </xf>
    <xf numFmtId="0" fontId="35" fillId="0" borderId="1" xfId="0" applyFont="1" applyBorder="1"/>
    <xf numFmtId="9" fontId="46" fillId="0" borderId="0" xfId="2" applyFont="1"/>
    <xf numFmtId="173" fontId="34" fillId="9" borderId="11" xfId="8" applyNumberFormat="1" applyFont="1" applyFill="1" applyBorder="1"/>
    <xf numFmtId="0" fontId="51" fillId="9" borderId="14" xfId="4" applyFont="1" applyFill="1" applyBorder="1" applyAlignment="1">
      <alignment horizontal="center"/>
    </xf>
    <xf numFmtId="0" fontId="51" fillId="9" borderId="7" xfId="4" applyFont="1" applyFill="1" applyBorder="1" applyAlignment="1">
      <alignment horizontal="center"/>
    </xf>
    <xf numFmtId="0" fontId="59" fillId="0" borderId="0" xfId="0" applyFont="1"/>
    <xf numFmtId="0" fontId="60" fillId="0" borderId="0" xfId="0" applyFont="1"/>
    <xf numFmtId="10" fontId="59" fillId="0" borderId="0" xfId="0" applyNumberFormat="1" applyFont="1"/>
    <xf numFmtId="10" fontId="60" fillId="0" borderId="0" xfId="0" applyNumberFormat="1" applyFont="1"/>
    <xf numFmtId="176" fontId="62" fillId="0" borderId="0" xfId="0" applyNumberFormat="1" applyFont="1"/>
    <xf numFmtId="1" fontId="62" fillId="0" borderId="0" xfId="0" applyNumberFormat="1" applyFont="1"/>
    <xf numFmtId="0" fontId="61" fillId="0" borderId="0" xfId="0" applyFont="1"/>
    <xf numFmtId="37" fontId="4" fillId="0" borderId="0" xfId="0" applyNumberFormat="1" applyFont="1"/>
    <xf numFmtId="173" fontId="61" fillId="11" borderId="12" xfId="0" applyNumberFormat="1" applyFont="1" applyFill="1" applyBorder="1"/>
    <xf numFmtId="173" fontId="61" fillId="11" borderId="13" xfId="0" applyNumberFormat="1" applyFont="1" applyFill="1" applyBorder="1"/>
    <xf numFmtId="43" fontId="34" fillId="0" borderId="0" xfId="1" applyFont="1" applyFill="1"/>
    <xf numFmtId="0" fontId="64" fillId="0" borderId="0" xfId="4" applyFont="1" applyAlignment="1">
      <alignment horizontal="centerContinuous"/>
    </xf>
    <xf numFmtId="0" fontId="65" fillId="0" borderId="0" xfId="4" applyFont="1" applyAlignment="1">
      <alignment horizontal="centerContinuous"/>
    </xf>
    <xf numFmtId="182" fontId="64" fillId="0" borderId="0" xfId="4" applyNumberFormat="1" applyFont="1" applyAlignment="1">
      <alignment horizontal="centerContinuous"/>
    </xf>
    <xf numFmtId="165" fontId="65" fillId="0" borderId="0" xfId="4" applyNumberFormat="1" applyFont="1"/>
    <xf numFmtId="0" fontId="65" fillId="0" borderId="0" xfId="4" applyFont="1"/>
    <xf numFmtId="180" fontId="65" fillId="0" borderId="0" xfId="4" applyNumberFormat="1" applyFont="1"/>
    <xf numFmtId="0" fontId="64" fillId="0" borderId="0" xfId="4" applyFont="1"/>
    <xf numFmtId="183" fontId="64" fillId="0" borderId="9" xfId="6" applyNumberFormat="1" applyFont="1" applyFill="1" applyBorder="1" applyAlignment="1">
      <alignment horizontal="right" vertical="distributed"/>
    </xf>
    <xf numFmtId="37" fontId="35" fillId="0" borderId="0" xfId="0" applyNumberFormat="1" applyFont="1" applyFill="1"/>
    <xf numFmtId="43" fontId="35" fillId="0" borderId="0" xfId="1" applyFont="1" applyFill="1"/>
    <xf numFmtId="37" fontId="34" fillId="0" borderId="0" xfId="0" applyNumberFormat="1" applyFont="1" applyFill="1"/>
    <xf numFmtId="37" fontId="45" fillId="12" borderId="18" xfId="0" applyNumberFormat="1" applyFont="1" applyFill="1" applyBorder="1"/>
    <xf numFmtId="0" fontId="0" fillId="12" borderId="0" xfId="0" applyFill="1"/>
    <xf numFmtId="37" fontId="37" fillId="12" borderId="18" xfId="0" applyNumberFormat="1" applyFont="1" applyFill="1" applyBorder="1"/>
    <xf numFmtId="37" fontId="38" fillId="12" borderId="0" xfId="0" applyNumberFormat="1" applyFont="1" applyFill="1"/>
    <xf numFmtId="0" fontId="8" fillId="12" borderId="0" xfId="8" applyFill="1"/>
    <xf numFmtId="37" fontId="58" fillId="12" borderId="18" xfId="0" applyNumberFormat="1" applyFont="1" applyFill="1" applyBorder="1"/>
    <xf numFmtId="0" fontId="59" fillId="12" borderId="0" xfId="0" applyFont="1" applyFill="1"/>
    <xf numFmtId="0" fontId="60" fillId="12" borderId="0" xfId="0" applyFont="1" applyFill="1"/>
    <xf numFmtId="37" fontId="0" fillId="0" borderId="5" xfId="0" applyNumberFormat="1" applyBorder="1" applyAlignment="1">
      <alignment horizontal="center"/>
    </xf>
    <xf numFmtId="0" fontId="20" fillId="0" borderId="7" xfId="3" applyFont="1" applyFill="1" applyBorder="1" applyAlignment="1" applyProtection="1">
      <alignment horizontal="center"/>
    </xf>
    <xf numFmtId="0" fontId="20" fillId="0" borderId="0" xfId="3" applyFont="1" applyFill="1" applyBorder="1" applyAlignment="1" applyProtection="1">
      <alignment horizontal="right" vertical="distributed" textRotation="90"/>
      <protection locked="0"/>
    </xf>
    <xf numFmtId="9" fontId="27" fillId="0" borderId="0" xfId="2" applyFont="1" applyAlignment="1">
      <alignment horizontal="left" vertical="top"/>
    </xf>
    <xf numFmtId="37" fontId="35" fillId="0" borderId="7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51" fillId="0" borderId="7" xfId="3" applyFont="1" applyFill="1" applyBorder="1" applyAlignment="1" applyProtection="1">
      <alignment horizontal="center"/>
    </xf>
    <xf numFmtId="0" fontId="66" fillId="0" borderId="0" xfId="9" applyFont="1" applyFill="1" applyBorder="1"/>
    <xf numFmtId="0" fontId="67" fillId="0" borderId="0" xfId="4" applyFont="1"/>
    <xf numFmtId="0" fontId="68" fillId="0" borderId="19" xfId="9" applyFont="1" applyFill="1" applyBorder="1"/>
    <xf numFmtId="0" fontId="65" fillId="0" borderId="19" xfId="4" applyFont="1" applyBorder="1"/>
    <xf numFmtId="0" fontId="64" fillId="0" borderId="19" xfId="9" applyFont="1" applyFill="1" applyBorder="1"/>
    <xf numFmtId="0" fontId="64" fillId="0" borderId="19" xfId="9" applyFont="1" applyFill="1" applyBorder="1" applyAlignment="1">
      <alignment horizontal="right"/>
    </xf>
    <xf numFmtId="0" fontId="69" fillId="0" borderId="0" xfId="4" applyFont="1"/>
    <xf numFmtId="164" fontId="64" fillId="0" borderId="0" xfId="2" applyNumberFormat="1" applyFont="1" applyFill="1" applyBorder="1" applyAlignment="1" applyProtection="1">
      <alignment horizontal="centerContinuous"/>
    </xf>
    <xf numFmtId="184" fontId="65" fillId="0" borderId="0" xfId="3" applyNumberFormat="1" applyFont="1" applyFill="1" applyBorder="1" applyAlignment="1" applyProtection="1">
      <alignment horizontal="centerContinuous"/>
    </xf>
    <xf numFmtId="0" fontId="65" fillId="0" borderId="0" xfId="3" applyFont="1" applyFill="1" applyAlignment="1" applyProtection="1">
      <alignment horizontal="centerContinuous"/>
    </xf>
    <xf numFmtId="0" fontId="64" fillId="0" borderId="0" xfId="3" applyFont="1" applyFill="1" applyBorder="1" applyAlignment="1" applyProtection="1">
      <alignment horizontal="right" vertical="distributed" textRotation="90"/>
      <protection locked="0"/>
    </xf>
    <xf numFmtId="0" fontId="65" fillId="0" borderId="0" xfId="3" applyFont="1" applyFill="1" applyProtection="1"/>
    <xf numFmtId="0" fontId="64" fillId="0" borderId="7" xfId="3" applyFont="1" applyFill="1" applyBorder="1" applyAlignment="1" applyProtection="1">
      <alignment horizontal="centerContinuous"/>
    </xf>
    <xf numFmtId="168" fontId="65" fillId="0" borderId="0" xfId="3" applyNumberFormat="1" applyFont="1" applyFill="1" applyBorder="1" applyProtection="1"/>
    <xf numFmtId="10" fontId="64" fillId="0" borderId="0" xfId="2" applyNumberFormat="1" applyFont="1" applyFill="1" applyBorder="1" applyAlignment="1" applyProtection="1">
      <alignment horizontal="center"/>
    </xf>
    <xf numFmtId="0" fontId="65" fillId="0" borderId="0" xfId="3" applyFont="1" applyFill="1" applyBorder="1" applyProtection="1"/>
    <xf numFmtId="0" fontId="64" fillId="0" borderId="0" xfId="3" applyFont="1" applyFill="1" applyBorder="1" applyAlignment="1" applyProtection="1">
      <alignment horizontal="right" vertical="distributed" textRotation="90"/>
      <protection locked="0"/>
    </xf>
    <xf numFmtId="164" fontId="64" fillId="0" borderId="0" xfId="2" applyNumberFormat="1" applyFont="1" applyFill="1" applyBorder="1"/>
    <xf numFmtId="38" fontId="65" fillId="0" borderId="2" xfId="3" applyNumberFormat="1" applyFont="1" applyFill="1" applyBorder="1" applyAlignment="1" applyProtection="1">
      <alignment horizontal="center"/>
    </xf>
    <xf numFmtId="38" fontId="65" fillId="0" borderId="3" xfId="3" applyNumberFormat="1" applyFont="1" applyFill="1" applyBorder="1" applyAlignment="1" applyProtection="1">
      <alignment horizontal="center"/>
    </xf>
    <xf numFmtId="38" fontId="65" fillId="0" borderId="5" xfId="3" applyNumberFormat="1" applyFont="1" applyFill="1" applyBorder="1" applyAlignment="1" applyProtection="1">
      <alignment horizontal="center"/>
    </xf>
    <xf numFmtId="38" fontId="65" fillId="0" borderId="0" xfId="3" applyNumberFormat="1" applyFont="1" applyFill="1" applyBorder="1" applyAlignment="1" applyProtection="1">
      <alignment horizontal="center"/>
    </xf>
    <xf numFmtId="6" fontId="64" fillId="0" borderId="0" xfId="3" applyNumberFormat="1" applyFont="1" applyFill="1" applyBorder="1" applyAlignment="1" applyProtection="1">
      <alignment horizontal="center"/>
    </xf>
  </cellXfs>
  <cellStyles count="10">
    <cellStyle name="_x000a_386grabber=M" xfId="9" xr:uid="{5591A110-4D11-CD49-9601-9B2DCA249450}"/>
    <cellStyle name="_x000a_386grabber=M_3.49.WACC" xfId="7" xr:uid="{2874B84B-B6FE-4F40-9B4A-5F65EFCA68FF}"/>
    <cellStyle name="AFE" xfId="3" xr:uid="{DAC18F5E-45A2-FF4C-947F-AAF3689E0DA0}"/>
    <cellStyle name="Comma" xfId="1" builtinId="3"/>
    <cellStyle name="Normal" xfId="0" builtinId="0"/>
    <cellStyle name="Normal 2" xfId="8" xr:uid="{783B3CCF-A5ED-FA4A-94D3-B36AC38D8738}"/>
    <cellStyle name="Normal_Ch01 Pics v2.2" xfId="4" xr:uid="{21B96A5F-4EF3-FD42-BAD3-1719A1929747}"/>
    <cellStyle name="Normal_compSet(1)" xfId="5" xr:uid="{F766E906-1E00-A742-BD62-E83FFA16A74E}"/>
    <cellStyle name="Pctg" xfId="6" xr:uid="{0B0479E2-A2E2-7F49-BFF6-4E6572E8EE54}"/>
    <cellStyle name="Percent" xfId="2" builtinId="5"/>
  </cellStyles>
  <dxfs count="0"/>
  <tableStyles count="0" defaultTableStyle="TableStyleMedium2" defaultPivotStyle="PivotStyleLight16"/>
  <colors>
    <mruColors>
      <color rgb="FFEADDFF"/>
      <color rgb="FFFDB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120952</xdr:colOff>
      <xdr:row>37</xdr:row>
      <xdr:rowOff>72571</xdr:rowOff>
    </xdr:from>
    <xdr:to>
      <xdr:col>6</xdr:col>
      <xdr:colOff>31140</xdr:colOff>
      <xdr:row>43</xdr:row>
      <xdr:rowOff>97691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E01283-2EDD-DF49-854B-6D73231A8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9644" y="6207648"/>
          <a:ext cx="3759265" cy="125604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53</xdr:row>
      <xdr:rowOff>0</xdr:rowOff>
    </xdr:from>
    <xdr:to>
      <xdr:col>12</xdr:col>
      <xdr:colOff>0</xdr:colOff>
      <xdr:row>55</xdr:row>
      <xdr:rowOff>0</xdr:rowOff>
    </xdr:to>
    <xdr:sp macro="" textlink="">
      <xdr:nvSpPr>
        <xdr:cNvPr id="4" name="Rectangle 1">
          <a:extLst>
            <a:ext uri="{FF2B5EF4-FFF2-40B4-BE49-F238E27FC236}">
              <a16:creationId xmlns:a16="http://schemas.microsoft.com/office/drawing/2014/main" id="{8D6AC24E-0E13-894F-B006-261766D3C677}"/>
            </a:ext>
          </a:extLst>
        </xdr:cNvPr>
        <xdr:cNvSpPr>
          <a:spLocks noChangeArrowheads="1"/>
        </xdr:cNvSpPr>
      </xdr:nvSpPr>
      <xdr:spPr bwMode="auto">
        <a:xfrm>
          <a:off x="3987800" y="8674100"/>
          <a:ext cx="4787900" cy="2794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ina_Ma_Airthread%20III%20Calcul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V Valuation"/>
      <sheetName val="NOWC Projection"/>
      <sheetName val="WACC"/>
      <sheetName val="Financials 2005-2007"/>
      <sheetName val="Financial Projections"/>
      <sheetName val="LT g "/>
      <sheetName val="Tips for Financial Forecasting"/>
    </sheetNames>
    <sheetDataSet>
      <sheetData sheetId="0"/>
      <sheetData sheetId="1"/>
      <sheetData sheetId="2">
        <row r="35">
          <cell r="D35">
            <v>3239.5519999999997</v>
          </cell>
        </row>
      </sheetData>
      <sheetData sheetId="3">
        <row r="7">
          <cell r="H7">
            <v>3946.2640000000001</v>
          </cell>
        </row>
        <row r="11">
          <cell r="H11">
            <v>1033.3249999999998</v>
          </cell>
        </row>
        <row r="13">
          <cell r="H13">
            <v>451.05599999999981</v>
          </cell>
        </row>
        <row r="22">
          <cell r="H22">
            <v>314.73399999999987</v>
          </cell>
        </row>
        <row r="30">
          <cell r="H30">
            <v>204.53299999999999</v>
          </cell>
        </row>
        <row r="59">
          <cell r="H59">
            <v>604.24299999999994</v>
          </cell>
        </row>
        <row r="61">
          <cell r="H61">
            <v>1002.293</v>
          </cell>
        </row>
        <row r="64">
          <cell r="H64">
            <v>554.41200000000003</v>
          </cell>
        </row>
        <row r="65">
          <cell r="H65">
            <v>126.84399999999999</v>
          </cell>
        </row>
        <row r="66">
          <cell r="H66">
            <v>84.53</v>
          </cell>
        </row>
        <row r="68">
          <cell r="H68">
            <v>43.396000000000001</v>
          </cell>
        </row>
        <row r="70">
          <cell r="H70">
            <v>1404.0939999999998</v>
          </cell>
        </row>
        <row r="71">
          <cell r="H71">
            <v>1792.0619999999999</v>
          </cell>
        </row>
        <row r="72">
          <cell r="H72">
            <v>5611.8739999999998</v>
          </cell>
        </row>
      </sheetData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98332-43F4-F845-9059-A925E6EE98FA}">
  <dimension ref="A1:T77"/>
  <sheetViews>
    <sheetView topLeftCell="A38" zoomScale="130" zoomScaleNormal="130" workbookViewId="0"/>
  </sheetViews>
  <sheetFormatPr baseColWidth="10" defaultColWidth="6.33203125" defaultRowHeight="16"/>
  <cols>
    <col min="1" max="1" width="3" style="3" customWidth="1"/>
    <col min="2" max="2" width="20" style="3" customWidth="1"/>
    <col min="3" max="3" width="10.5" style="3" customWidth="1"/>
    <col min="4" max="4" width="13.6640625" style="3" customWidth="1"/>
    <col min="5" max="5" width="7.33203125" style="3" bestFit="1" customWidth="1"/>
    <col min="6" max="6" width="19" style="3" customWidth="1"/>
    <col min="7" max="7" width="6.83203125" style="3" bestFit="1" customWidth="1"/>
    <col min="8" max="8" width="9.6640625" style="3" bestFit="1" customWidth="1"/>
    <col min="9" max="9" width="10.6640625" style="3" bestFit="1" customWidth="1"/>
    <col min="10" max="10" width="8.5" style="3" bestFit="1" customWidth="1"/>
    <col min="11" max="11" width="7.6640625" style="3" bestFit="1" customWidth="1"/>
    <col min="12" max="12" width="7.1640625" style="3" bestFit="1" customWidth="1"/>
    <col min="13" max="13" width="8" style="3" bestFit="1" customWidth="1"/>
    <col min="14" max="14" width="14.6640625" style="3" customWidth="1"/>
    <col min="15" max="16384" width="6.33203125" style="3"/>
  </cols>
  <sheetData>
    <row r="1" spans="1:20" ht="40.5" customHeight="1"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/>
      <c r="S1" s="2"/>
    </row>
    <row r="2" spans="1:20" ht="7.5" customHeight="1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</row>
    <row r="3" spans="1:20">
      <c r="K3" s="6"/>
      <c r="L3" s="6"/>
      <c r="M3" s="6"/>
      <c r="N3" s="6"/>
      <c r="O3" s="6"/>
      <c r="P3" s="6"/>
      <c r="Q3" s="6"/>
      <c r="R3" s="6"/>
      <c r="S3" s="7"/>
    </row>
    <row r="4" spans="1:20" customFormat="1">
      <c r="A4" s="9"/>
      <c r="B4" s="9"/>
      <c r="C4" s="100" t="s">
        <v>2</v>
      </c>
      <c r="D4" s="101" t="s">
        <v>3</v>
      </c>
      <c r="E4" s="102" t="s">
        <v>4</v>
      </c>
      <c r="F4" s="101" t="s">
        <v>4</v>
      </c>
      <c r="G4" s="101" t="s">
        <v>2</v>
      </c>
      <c r="H4" s="103"/>
      <c r="I4" s="103"/>
      <c r="J4" s="103"/>
      <c r="K4" s="103" t="s">
        <v>3</v>
      </c>
      <c r="L4" s="103" t="s">
        <v>66</v>
      </c>
      <c r="M4" s="103" t="s">
        <v>67</v>
      </c>
      <c r="N4" s="104" t="s">
        <v>3</v>
      </c>
    </row>
    <row r="5" spans="1:20" customFormat="1">
      <c r="A5" s="84" t="s">
        <v>5</v>
      </c>
      <c r="B5" s="85"/>
      <c r="C5" s="105" t="s">
        <v>6</v>
      </c>
      <c r="D5" s="106" t="s">
        <v>7</v>
      </c>
      <c r="E5" s="107" t="s">
        <v>8</v>
      </c>
      <c r="F5" s="106" t="s">
        <v>2</v>
      </c>
      <c r="G5" s="106" t="s">
        <v>68</v>
      </c>
      <c r="H5" s="108" t="s">
        <v>10</v>
      </c>
      <c r="I5" s="108" t="s">
        <v>11</v>
      </c>
      <c r="J5" s="108" t="s">
        <v>12</v>
      </c>
      <c r="K5" s="108" t="s">
        <v>13</v>
      </c>
      <c r="L5" s="108" t="s">
        <v>69</v>
      </c>
      <c r="M5" s="108" t="s">
        <v>69</v>
      </c>
      <c r="N5" s="109" t="s">
        <v>70</v>
      </c>
    </row>
    <row r="6" spans="1:20" customFormat="1">
      <c r="A6" s="85" t="s">
        <v>14</v>
      </c>
      <c r="B6" s="85"/>
      <c r="C6" s="86">
        <v>118496.867</v>
      </c>
      <c r="D6" s="86">
        <v>69130</v>
      </c>
      <c r="E6" s="87">
        <v>0.368444035256422</v>
      </c>
      <c r="F6" s="87">
        <v>0.58339095159368204</v>
      </c>
      <c r="G6" s="88">
        <v>0.86</v>
      </c>
      <c r="H6" s="89">
        <v>43882</v>
      </c>
      <c r="I6" s="89">
        <v>11795</v>
      </c>
      <c r="J6" s="89">
        <v>16949</v>
      </c>
      <c r="K6" s="89">
        <v>3794</v>
      </c>
      <c r="L6" s="25">
        <f>I6/H6</f>
        <v>0.2687890251128025</v>
      </c>
      <c r="M6" s="25">
        <f>J6/H6</f>
        <v>0.38624037190647648</v>
      </c>
      <c r="N6" s="25">
        <f>K6/H6</f>
        <v>8.6459140422040934E-2</v>
      </c>
    </row>
    <row r="7" spans="1:20" customFormat="1">
      <c r="A7" s="90" t="s">
        <v>16</v>
      </c>
      <c r="B7" s="85"/>
      <c r="C7" s="86">
        <v>189469.94865000001</v>
      </c>
      <c r="D7" s="86">
        <v>79351.251000000004</v>
      </c>
      <c r="E7" s="87">
        <v>0.29518226651511797</v>
      </c>
      <c r="F7" s="87">
        <v>0.41880652612928299</v>
      </c>
      <c r="G7" s="88">
        <v>0.89</v>
      </c>
      <c r="H7" s="89">
        <v>42684</v>
      </c>
      <c r="I7" s="89">
        <v>7020</v>
      </c>
      <c r="J7" s="89">
        <v>14099</v>
      </c>
      <c r="K7" s="89">
        <v>4102.8</v>
      </c>
      <c r="L7" s="25">
        <f t="shared" ref="L7:L10" si="0">I7/H7</f>
        <v>0.16446443632274388</v>
      </c>
      <c r="M7" s="25">
        <f t="shared" ref="M7:M10" si="1">J7/H7</f>
        <v>0.33031112360603504</v>
      </c>
      <c r="N7" s="25">
        <f>K7/H7</f>
        <v>9.6120326117514768E-2</v>
      </c>
    </row>
    <row r="8" spans="1:20" customFormat="1">
      <c r="A8" s="91" t="s">
        <v>71</v>
      </c>
      <c r="B8" s="92"/>
      <c r="C8" s="86">
        <v>21078.873</v>
      </c>
      <c r="D8" s="86">
        <v>5080.0083930000001</v>
      </c>
      <c r="E8" s="87">
        <v>0.1941982272361</v>
      </c>
      <c r="F8" s="87">
        <v>0.24099999999999999</v>
      </c>
      <c r="G8" s="88">
        <v>1.17</v>
      </c>
      <c r="H8" s="89">
        <v>34698</v>
      </c>
      <c r="I8" s="89">
        <v>1631.2201851851801</v>
      </c>
      <c r="J8" s="89">
        <v>9914</v>
      </c>
      <c r="K8" s="89">
        <v>-29.742000000000601</v>
      </c>
      <c r="L8" s="25">
        <f t="shared" si="0"/>
        <v>4.7011936860487061E-2</v>
      </c>
      <c r="M8" s="25">
        <f t="shared" si="1"/>
        <v>0.28572252002997289</v>
      </c>
      <c r="N8" s="93">
        <f>K8/H8</f>
        <v>-8.5716756008993606E-4</v>
      </c>
    </row>
    <row r="9" spans="1:20" customFormat="1">
      <c r="A9" s="85" t="s">
        <v>17</v>
      </c>
      <c r="B9" s="85"/>
      <c r="C9" s="86">
        <v>26285.354630999998</v>
      </c>
      <c r="D9" s="86">
        <v>8335.0859534900992</v>
      </c>
      <c r="E9" s="87">
        <v>0.24075620681800899</v>
      </c>
      <c r="F9" s="87">
        <v>0.31709999999999999</v>
      </c>
      <c r="G9" s="88">
        <v>0.97</v>
      </c>
      <c r="H9" s="89">
        <v>38896.457999999999</v>
      </c>
      <c r="I9" s="89">
        <v>6701.8597134000001</v>
      </c>
      <c r="J9" s="89">
        <v>12614.121329400001</v>
      </c>
      <c r="K9" s="89">
        <v>3383.9918459999999</v>
      </c>
      <c r="L9" s="25">
        <f t="shared" si="0"/>
        <v>0.17230000000000001</v>
      </c>
      <c r="M9" s="25">
        <f t="shared" si="1"/>
        <v>0.32430000000000003</v>
      </c>
      <c r="N9" s="25">
        <f>K9/H9</f>
        <v>8.6999999999999994E-2</v>
      </c>
    </row>
    <row r="10" spans="1:20" customFormat="1">
      <c r="A10" s="90" t="s">
        <v>18</v>
      </c>
      <c r="B10" s="85"/>
      <c r="C10" s="86">
        <v>7359.8992966799997</v>
      </c>
      <c r="D10" s="86">
        <v>3267.7952877259199</v>
      </c>
      <c r="E10" s="94">
        <v>0.30747922437673098</v>
      </c>
      <c r="F10" s="94">
        <v>0.44399999999999901</v>
      </c>
      <c r="G10" s="95">
        <v>1.1299999999999999</v>
      </c>
      <c r="H10" s="89">
        <v>4063.5189999999998</v>
      </c>
      <c r="I10" s="89">
        <v>510.05290488000003</v>
      </c>
      <c r="J10" s="89">
        <v>1028.4766589000001</v>
      </c>
      <c r="K10" s="89">
        <v>239.74762100000001</v>
      </c>
      <c r="L10" s="25">
        <f t="shared" si="0"/>
        <v>0.12552000000000002</v>
      </c>
      <c r="M10" s="25">
        <f t="shared" si="1"/>
        <v>0.25310000000000005</v>
      </c>
      <c r="N10" s="25">
        <f>K10/H10</f>
        <v>5.9000000000000004E-2</v>
      </c>
    </row>
    <row r="11" spans="1:20" customFormat="1">
      <c r="A11" s="96" t="s">
        <v>19</v>
      </c>
      <c r="B11" s="90"/>
      <c r="C11" s="97"/>
      <c r="D11" s="97"/>
      <c r="E11" s="98">
        <f>AVERAGE(E6:E10)</f>
        <v>0.28121199204047598</v>
      </c>
      <c r="F11" s="98">
        <f>AVERAGE(F6:F10)</f>
        <v>0.40085949554459283</v>
      </c>
      <c r="G11" s="99">
        <f t="shared" ref="G11" si="2">AVERAGE(G6:G10)</f>
        <v>1.004</v>
      </c>
      <c r="H11" s="97"/>
      <c r="I11" s="97"/>
      <c r="J11" s="97"/>
      <c r="K11" s="97"/>
      <c r="L11" s="25"/>
      <c r="M11" s="25"/>
      <c r="N11" s="25"/>
    </row>
    <row r="12" spans="1:20">
      <c r="B12" s="9"/>
      <c r="C12" s="9"/>
      <c r="D12" s="9"/>
      <c r="E12" s="9"/>
      <c r="F12" s="10"/>
      <c r="G12" s="9"/>
      <c r="H12" s="9"/>
    </row>
    <row r="13" spans="1:20">
      <c r="B13" s="282" t="s">
        <v>72</v>
      </c>
      <c r="C13" s="282"/>
      <c r="D13" s="9"/>
      <c r="E13" s="9"/>
      <c r="F13" s="10"/>
      <c r="G13" s="9"/>
      <c r="H13" s="9"/>
    </row>
    <row r="14" spans="1:20">
      <c r="B14" s="9"/>
      <c r="C14" s="9"/>
      <c r="D14" s="11" t="s">
        <v>2</v>
      </c>
      <c r="E14" s="12" t="s">
        <v>3</v>
      </c>
      <c r="F14" s="13" t="s">
        <v>4</v>
      </c>
      <c r="G14" s="12" t="s">
        <v>4</v>
      </c>
      <c r="H14" s="12" t="s">
        <v>2</v>
      </c>
      <c r="I14" s="14"/>
      <c r="J14" s="14"/>
      <c r="K14" s="14"/>
      <c r="L14" s="15" t="s">
        <v>3</v>
      </c>
      <c r="M14" s="279"/>
    </row>
    <row r="15" spans="1:20">
      <c r="B15" s="16" t="s">
        <v>5</v>
      </c>
      <c r="C15" s="9"/>
      <c r="D15" s="17" t="s">
        <v>6</v>
      </c>
      <c r="E15" s="18" t="s">
        <v>7</v>
      </c>
      <c r="F15" s="19" t="s">
        <v>8</v>
      </c>
      <c r="G15" s="18" t="s">
        <v>2</v>
      </c>
      <c r="H15" s="18" t="s">
        <v>9</v>
      </c>
      <c r="I15" s="20" t="s">
        <v>10</v>
      </c>
      <c r="J15" s="20" t="s">
        <v>11</v>
      </c>
      <c r="K15" s="20" t="s">
        <v>12</v>
      </c>
      <c r="L15" s="21" t="s">
        <v>13</v>
      </c>
      <c r="M15" s="279"/>
    </row>
    <row r="16" spans="1:20">
      <c r="B16" s="35" t="s">
        <v>14</v>
      </c>
      <c r="C16" s="35"/>
      <c r="D16" s="36">
        <v>118496.867</v>
      </c>
      <c r="E16" s="36">
        <v>69130</v>
      </c>
      <c r="F16" s="37">
        <v>0.368444035256422</v>
      </c>
      <c r="G16" s="37">
        <v>0.58339095159368204</v>
      </c>
      <c r="H16" s="38">
        <v>0.86</v>
      </c>
      <c r="I16" s="39">
        <v>43882</v>
      </c>
      <c r="J16" s="39">
        <v>11795</v>
      </c>
      <c r="K16" s="39">
        <v>16949</v>
      </c>
      <c r="L16" s="39">
        <v>3794</v>
      </c>
      <c r="M16" s="8"/>
      <c r="N16" s="22" t="s">
        <v>15</v>
      </c>
      <c r="O16" s="23"/>
      <c r="P16" s="23"/>
      <c r="Q16" s="23"/>
      <c r="R16" s="23"/>
      <c r="S16" s="23"/>
      <c r="T16" s="23"/>
    </row>
    <row r="17" spans="2:14">
      <c r="B17" s="39" t="s">
        <v>16</v>
      </c>
      <c r="C17" s="35"/>
      <c r="D17" s="36">
        <v>189469.94865000001</v>
      </c>
      <c r="E17" s="36">
        <v>79351.251000000004</v>
      </c>
      <c r="F17" s="37">
        <v>0.29518226651511797</v>
      </c>
      <c r="G17" s="37">
        <v>0.41880652612928299</v>
      </c>
      <c r="H17" s="38">
        <v>0.89</v>
      </c>
      <c r="I17" s="39">
        <v>42684</v>
      </c>
      <c r="J17" s="39">
        <v>7020</v>
      </c>
      <c r="K17" s="39">
        <v>14099</v>
      </c>
      <c r="L17" s="39">
        <v>4102.8</v>
      </c>
      <c r="M17" s="8"/>
      <c r="N17" s="24"/>
    </row>
    <row r="18" spans="2:14">
      <c r="B18" s="35" t="s">
        <v>17</v>
      </c>
      <c r="C18" s="35"/>
      <c r="D18" s="36">
        <v>26285.354630999998</v>
      </c>
      <c r="E18" s="36">
        <v>8335.0859534900992</v>
      </c>
      <c r="F18" s="37">
        <v>0.24075620681800899</v>
      </c>
      <c r="G18" s="37">
        <v>0.31709999999999999</v>
      </c>
      <c r="H18" s="38">
        <v>0.97</v>
      </c>
      <c r="I18" s="39">
        <v>38896.457999999999</v>
      </c>
      <c r="J18" s="39">
        <v>6701.8597134000001</v>
      </c>
      <c r="K18" s="39">
        <v>12614.121329400001</v>
      </c>
      <c r="L18" s="39">
        <v>3383.9918459999999</v>
      </c>
      <c r="M18" s="8"/>
    </row>
    <row r="19" spans="2:14">
      <c r="B19" s="39" t="s">
        <v>18</v>
      </c>
      <c r="C19" s="40"/>
      <c r="D19" s="41">
        <v>7359.8992966799997</v>
      </c>
      <c r="E19" s="41">
        <v>3267.7952877259199</v>
      </c>
      <c r="F19" s="42">
        <v>0.30747922437673098</v>
      </c>
      <c r="G19" s="42">
        <v>0.44399999999999901</v>
      </c>
      <c r="H19" s="43">
        <v>1.1299999999999999</v>
      </c>
      <c r="I19" s="39">
        <v>4063.5189999999998</v>
      </c>
      <c r="J19" s="39">
        <v>510.05290488000003</v>
      </c>
      <c r="K19" s="39">
        <v>1028.4766589000001</v>
      </c>
      <c r="L19" s="39">
        <v>239.74762100000001</v>
      </c>
      <c r="M19" s="8"/>
      <c r="N19" s="24"/>
    </row>
    <row r="20" spans="2:14">
      <c r="B20" s="39" t="s">
        <v>19</v>
      </c>
      <c r="C20" s="39"/>
      <c r="D20" s="39"/>
      <c r="E20" s="39"/>
      <c r="F20" s="44">
        <v>0.3</v>
      </c>
      <c r="G20" s="44">
        <v>0.44</v>
      </c>
      <c r="H20" s="45">
        <v>1.004</v>
      </c>
      <c r="I20" s="39"/>
      <c r="J20" s="39"/>
      <c r="K20" s="39"/>
      <c r="L20" s="39"/>
      <c r="M20" s="26"/>
      <c r="N20" s="24"/>
    </row>
    <row r="21" spans="2:14">
      <c r="B21" s="39"/>
      <c r="C21" s="39"/>
      <c r="D21" s="39"/>
      <c r="E21" s="39"/>
      <c r="F21" s="44"/>
      <c r="G21" s="44"/>
      <c r="H21" s="45"/>
      <c r="I21" s="39"/>
      <c r="J21" s="39"/>
      <c r="K21" s="39"/>
      <c r="L21" s="39"/>
      <c r="N21" s="24"/>
    </row>
    <row r="23" spans="2:14">
      <c r="B23" s="3" t="s">
        <v>20</v>
      </c>
    </row>
    <row r="24" spans="2:14">
      <c r="B24" s="3" t="s">
        <v>21</v>
      </c>
    </row>
    <row r="26" spans="2:14" s="39" customFormat="1" ht="15">
      <c r="B26" s="110" t="s">
        <v>22</v>
      </c>
      <c r="D26" s="111" t="s">
        <v>2</v>
      </c>
      <c r="E26" s="112" t="s">
        <v>3</v>
      </c>
      <c r="F26" s="113" t="s">
        <v>4</v>
      </c>
      <c r="G26" s="112" t="s">
        <v>4</v>
      </c>
      <c r="H26" s="112" t="s">
        <v>2</v>
      </c>
      <c r="I26" s="114"/>
      <c r="J26" s="114"/>
      <c r="K26" s="114"/>
      <c r="L26" s="115" t="s">
        <v>3</v>
      </c>
    </row>
    <row r="27" spans="2:14" s="39" customFormat="1">
      <c r="D27" s="116" t="s">
        <v>6</v>
      </c>
      <c r="E27" s="117" t="s">
        <v>7</v>
      </c>
      <c r="F27" s="118" t="s">
        <v>8</v>
      </c>
      <c r="G27" s="117" t="s">
        <v>2</v>
      </c>
      <c r="H27" s="117" t="s">
        <v>73</v>
      </c>
      <c r="I27" s="119" t="s">
        <v>10</v>
      </c>
      <c r="J27" s="119" t="s">
        <v>11</v>
      </c>
      <c r="K27" s="119" t="s">
        <v>12</v>
      </c>
      <c r="L27" s="120" t="s">
        <v>13</v>
      </c>
    </row>
    <row r="28" spans="2:14">
      <c r="D28" s="3">
        <f>'[1]Financials 2005-2007'!H68+'[1]Financials 2005-2007'!H70+'[1]Financials 2005-2007'!H71</f>
        <v>3239.5519999999997</v>
      </c>
      <c r="E28" s="3">
        <f>'[1]Financials 2005-2007'!H59+'[1]Financials 2005-2007'!H61+'[1]Financials 2005-2007'!H64+'[1]Financials 2005-2007'!H65+'[1]Financials 2005-2007'!H66-'[1]Financials 2005-2007'!H30</f>
        <v>2167.7890000000007</v>
      </c>
      <c r="F28" s="24">
        <f>('[1]Financials 2005-2007'!H59+'[1]Financials 2005-2007'!H61+'[1]Financials 2005-2007'!H64+'[1]Financials 2005-2007'!H65+'[1]Financials 2005-2007'!H66)/'[1]Financials 2005-2007'!H72</f>
        <v>0.422732584516331</v>
      </c>
      <c r="G28" s="24">
        <f>('[1]Financials 2005-2007'!H59+'[1]Financials 2005-2007'!H61+'[1]Financials 2005-2007'!H64+'[1]Financials 2005-2007'!H65+'[1]Financials 2005-2007'!H66)/[1]WACC!D35</f>
        <v>0.73229940436208485</v>
      </c>
      <c r="I28" s="3">
        <f>'[1]Financials 2005-2007'!H7</f>
        <v>3946.2640000000001</v>
      </c>
      <c r="J28" s="3">
        <f>'[1]Financials 2005-2007'!H13</f>
        <v>451.05599999999981</v>
      </c>
      <c r="K28" s="3">
        <f>'[1]Financials 2005-2007'!H11</f>
        <v>1033.3249999999998</v>
      </c>
      <c r="L28" s="3">
        <f>'[1]Financials 2005-2007'!H22</f>
        <v>314.73399999999987</v>
      </c>
    </row>
    <row r="29" spans="2:14">
      <c r="B29" s="30" t="s">
        <v>23</v>
      </c>
    </row>
    <row r="31" spans="2:14">
      <c r="D31" s="28" t="s">
        <v>4</v>
      </c>
      <c r="E31" s="27" t="s">
        <v>24</v>
      </c>
    </row>
    <row r="32" spans="2:14">
      <c r="B32" s="3" t="s">
        <v>25</v>
      </c>
      <c r="D32" s="29" t="s">
        <v>8</v>
      </c>
      <c r="E32" s="29" t="s">
        <v>8</v>
      </c>
    </row>
    <row r="33" spans="2:14">
      <c r="D33" s="31">
        <f>E11</f>
        <v>0.28121199204047598</v>
      </c>
      <c r="E33" s="31">
        <f>1-D33</f>
        <v>0.71878800795952402</v>
      </c>
    </row>
    <row r="35" spans="2:14">
      <c r="B35" s="32" t="s">
        <v>26</v>
      </c>
      <c r="C35" s="3" t="s">
        <v>27</v>
      </c>
    </row>
    <row r="36" spans="2:14">
      <c r="C36" s="3" t="s">
        <v>28</v>
      </c>
    </row>
    <row r="37" spans="2:14">
      <c r="C37" s="3" t="s">
        <v>29</v>
      </c>
    </row>
    <row r="39" spans="2:14">
      <c r="B39" s="32" t="s">
        <v>30</v>
      </c>
    </row>
    <row r="44" spans="2:14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</row>
    <row r="45" spans="2:14"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</row>
    <row r="46" spans="2:14" s="39" customFormat="1" ht="15">
      <c r="B46" s="47" t="s">
        <v>31</v>
      </c>
      <c r="C46" s="47"/>
      <c r="D46" s="47"/>
      <c r="E46" s="48"/>
      <c r="F46" s="49" t="s">
        <v>32</v>
      </c>
      <c r="G46" s="49"/>
      <c r="H46" s="49"/>
      <c r="I46" s="49"/>
      <c r="J46" s="49"/>
      <c r="K46" s="49"/>
      <c r="L46" s="49"/>
      <c r="M46" s="48"/>
      <c r="N46" s="48"/>
    </row>
    <row r="47" spans="2:14" s="39" customFormat="1" ht="15">
      <c r="B47" s="50" t="s">
        <v>33</v>
      </c>
      <c r="C47" s="48"/>
      <c r="D47" s="48"/>
      <c r="E47" s="48"/>
      <c r="F47" s="51"/>
      <c r="G47" s="52" t="s">
        <v>34</v>
      </c>
      <c r="H47" s="52" t="s">
        <v>35</v>
      </c>
      <c r="I47" s="52" t="s">
        <v>35</v>
      </c>
      <c r="J47" s="52" t="s">
        <v>4</v>
      </c>
      <c r="K47" s="52" t="s">
        <v>36</v>
      </c>
      <c r="L47" s="52" t="s">
        <v>37</v>
      </c>
      <c r="M47" s="48"/>
      <c r="N47" s="48"/>
    </row>
    <row r="48" spans="2:14" s="39" customFormat="1" ht="15">
      <c r="B48" s="51" t="s">
        <v>38</v>
      </c>
      <c r="C48" s="51"/>
      <c r="D48" s="122">
        <f>D33</f>
        <v>0.28121199204047598</v>
      </c>
      <c r="E48" s="48"/>
      <c r="F48" s="53" t="s">
        <v>39</v>
      </c>
      <c r="G48" s="54" t="s">
        <v>40</v>
      </c>
      <c r="H48" s="54" t="s">
        <v>41</v>
      </c>
      <c r="I48" s="54" t="s">
        <v>42</v>
      </c>
      <c r="J48" s="54" t="s">
        <v>2</v>
      </c>
      <c r="K48" s="54" t="s">
        <v>43</v>
      </c>
      <c r="L48" s="54" t="s">
        <v>44</v>
      </c>
      <c r="M48" s="48"/>
      <c r="N48" s="48"/>
    </row>
    <row r="49" spans="2:14" s="39" customFormat="1" ht="15">
      <c r="B49" s="55" t="s">
        <v>45</v>
      </c>
      <c r="C49" s="48"/>
      <c r="D49" s="121">
        <f>1-D48</f>
        <v>0.71878800795952402</v>
      </c>
      <c r="E49" s="48"/>
      <c r="F49" s="35" t="s">
        <v>14</v>
      </c>
      <c r="G49" s="57">
        <v>0.86</v>
      </c>
      <c r="H49" s="58">
        <v>69130</v>
      </c>
      <c r="I49" s="58">
        <v>118496.867</v>
      </c>
      <c r="J49" s="59">
        <f>+IF(ISERROR(H49/I49),0,H49/I49)</f>
        <v>0.58339095159368226</v>
      </c>
      <c r="K49" s="60">
        <v>0.4</v>
      </c>
      <c r="L49" s="61">
        <f>+G49/(1+(J49)*(1-K49))</f>
        <v>0.63702072413662325</v>
      </c>
      <c r="M49" s="48"/>
      <c r="N49" s="62"/>
    </row>
    <row r="50" spans="2:14" s="39" customFormat="1" ht="15">
      <c r="B50" s="55"/>
      <c r="C50" s="48"/>
      <c r="D50" s="56"/>
      <c r="E50" s="48"/>
      <c r="F50" s="39" t="s">
        <v>16</v>
      </c>
      <c r="G50" s="57">
        <v>0.89</v>
      </c>
      <c r="H50" s="63">
        <v>79351.251000000004</v>
      </c>
      <c r="I50" s="63">
        <v>189469.94865000001</v>
      </c>
      <c r="J50" s="59">
        <f>+IF(ISERROR(H50/I50),0,H50/I50)</f>
        <v>0.41880652612928232</v>
      </c>
      <c r="K50" s="60">
        <v>0.4</v>
      </c>
      <c r="L50" s="61">
        <f>+G50/(1+(J50)*(1-K50))</f>
        <v>0.71126943202020276</v>
      </c>
      <c r="M50" s="48"/>
      <c r="N50" s="64"/>
    </row>
    <row r="51" spans="2:14" s="39" customFormat="1" ht="15">
      <c r="B51" s="50" t="s">
        <v>46</v>
      </c>
      <c r="C51" s="51"/>
      <c r="D51" s="51"/>
      <c r="E51" s="48"/>
      <c r="F51" s="35" t="s">
        <v>17</v>
      </c>
      <c r="G51" s="57">
        <v>0.97</v>
      </c>
      <c r="H51" s="63">
        <v>8335.0859534900992</v>
      </c>
      <c r="I51" s="63">
        <v>26285.354630999998</v>
      </c>
      <c r="J51" s="59">
        <f>+IF(ISERROR(H51/I51),0,H51/I51)</f>
        <v>0.31709999999999999</v>
      </c>
      <c r="K51" s="60">
        <v>0.4</v>
      </c>
      <c r="L51" s="61">
        <f>+G51/(1+(J51)*(1-K51))</f>
        <v>0.81494799455581135</v>
      </c>
      <c r="M51" s="48"/>
      <c r="N51" s="64"/>
    </row>
    <row r="52" spans="2:14" s="39" customFormat="1" ht="15">
      <c r="B52" s="51" t="s">
        <v>47</v>
      </c>
      <c r="C52" s="51"/>
      <c r="D52" s="65">
        <v>5.5E-2</v>
      </c>
      <c r="E52" s="48"/>
      <c r="F52" s="39" t="s">
        <v>18</v>
      </c>
      <c r="G52" s="57">
        <v>1.1299999999999999</v>
      </c>
      <c r="H52" s="63">
        <v>3267.7952877259199</v>
      </c>
      <c r="I52" s="63">
        <v>7359.8992966799997</v>
      </c>
      <c r="J52" s="59">
        <f>+IF(ISERROR(H52/I52),0,H52/I52)</f>
        <v>0.44400000000000001</v>
      </c>
      <c r="K52" s="60">
        <v>0.4</v>
      </c>
      <c r="L52" s="61">
        <f>+G52/(1+(J52)*(1-K52))</f>
        <v>0.89229311433986092</v>
      </c>
      <c r="M52" s="48"/>
      <c r="N52" s="64"/>
    </row>
    <row r="53" spans="2:14" s="39" customFormat="1" ht="15">
      <c r="B53" s="51" t="s">
        <v>43</v>
      </c>
      <c r="C53" s="51"/>
      <c r="D53" s="65">
        <v>0.4</v>
      </c>
      <c r="E53" s="48"/>
      <c r="F53" s="66"/>
      <c r="G53" s="67"/>
      <c r="H53" s="68"/>
      <c r="I53" s="68"/>
      <c r="J53" s="60"/>
      <c r="K53" s="60"/>
      <c r="L53" s="61"/>
      <c r="M53" s="48"/>
      <c r="N53" s="48"/>
    </row>
    <row r="54" spans="2:14" s="39" customFormat="1" ht="15">
      <c r="B54" s="49" t="s">
        <v>48</v>
      </c>
      <c r="C54" s="49"/>
      <c r="D54" s="69">
        <f>+D52*(1-D53)</f>
        <v>3.3000000000000002E-2</v>
      </c>
      <c r="E54" s="48"/>
      <c r="F54" s="49" t="s">
        <v>49</v>
      </c>
      <c r="G54" s="70">
        <f>AVERAGE(G49:G52)</f>
        <v>0.96249999999999991</v>
      </c>
      <c r="H54" s="51"/>
      <c r="I54" s="51"/>
      <c r="J54" s="71">
        <f>AVERAGE(J49:J52)</f>
        <v>0.4408243694307411</v>
      </c>
      <c r="K54" s="51"/>
      <c r="L54" s="70">
        <f>AVERAGE(L49:L52)</f>
        <v>0.7638828162631246</v>
      </c>
      <c r="M54" s="48"/>
      <c r="N54" s="48"/>
    </row>
    <row r="55" spans="2:14" s="39" customFormat="1" ht="15">
      <c r="B55" s="49"/>
      <c r="C55" s="49"/>
      <c r="D55" s="48"/>
      <c r="E55" s="66"/>
      <c r="F55" s="49" t="s">
        <v>50</v>
      </c>
      <c r="G55" s="70">
        <f>MEDIAN(G49:G52)</f>
        <v>0.92999999999999994</v>
      </c>
      <c r="H55" s="51"/>
      <c r="I55" s="51"/>
      <c r="J55" s="71">
        <f>MEDIAN(J49:J52)</f>
        <v>0.43140326306464116</v>
      </c>
      <c r="K55" s="51"/>
      <c r="L55" s="70">
        <f>MEDIAN(L49:L52)</f>
        <v>0.763108713288007</v>
      </c>
      <c r="M55" s="48"/>
      <c r="N55" s="48"/>
    </row>
    <row r="56" spans="2:14" s="39" customFormat="1" ht="15">
      <c r="B56" s="48" t="s">
        <v>51</v>
      </c>
      <c r="C56" s="48"/>
      <c r="D56" s="48"/>
      <c r="E56" s="66"/>
      <c r="F56" s="48"/>
      <c r="G56" s="48"/>
      <c r="H56" s="48"/>
      <c r="I56" s="48"/>
      <c r="J56" s="48"/>
      <c r="K56" s="48"/>
      <c r="L56" s="48"/>
      <c r="M56" s="48"/>
      <c r="N56" s="48"/>
    </row>
    <row r="57" spans="2:14" s="39" customFormat="1" ht="15">
      <c r="B57" s="50" t="s">
        <v>52</v>
      </c>
      <c r="C57" s="51"/>
      <c r="D57" s="51"/>
      <c r="E57" s="51"/>
      <c r="F57" s="49" t="s">
        <v>53</v>
      </c>
      <c r="G57" s="49"/>
      <c r="H57" s="49"/>
      <c r="I57" s="49"/>
      <c r="J57" s="49"/>
      <c r="K57" s="49"/>
      <c r="L57" s="49"/>
      <c r="M57" s="48"/>
      <c r="N57" s="48"/>
    </row>
    <row r="58" spans="2:14" s="39" customFormat="1" ht="15">
      <c r="B58" s="51" t="s">
        <v>54</v>
      </c>
      <c r="C58" s="51"/>
      <c r="D58" s="72">
        <v>4.2500000000000003E-2</v>
      </c>
      <c r="E58" s="66" t="s">
        <v>74</v>
      </c>
      <c r="F58" s="51"/>
      <c r="G58" s="51"/>
      <c r="H58" s="51"/>
      <c r="I58" s="52" t="s">
        <v>55</v>
      </c>
      <c r="J58" s="52" t="s">
        <v>56</v>
      </c>
      <c r="K58" s="52" t="s">
        <v>56</v>
      </c>
      <c r="L58" s="51"/>
      <c r="M58" s="48"/>
      <c r="N58" s="48"/>
    </row>
    <row r="59" spans="2:14" s="39" customFormat="1" ht="15">
      <c r="B59" s="51" t="s">
        <v>57</v>
      </c>
      <c r="C59" s="51"/>
      <c r="D59" s="72">
        <v>0.05</v>
      </c>
      <c r="E59" s="66"/>
      <c r="F59" s="51"/>
      <c r="G59" s="51"/>
      <c r="H59" s="51"/>
      <c r="I59" s="52" t="s">
        <v>37</v>
      </c>
      <c r="J59" s="52" t="s">
        <v>4</v>
      </c>
      <c r="K59" s="52" t="s">
        <v>36</v>
      </c>
      <c r="L59" s="52" t="s">
        <v>58</v>
      </c>
      <c r="M59" s="48"/>
      <c r="N59" s="48"/>
    </row>
    <row r="60" spans="2:14" s="39" customFormat="1" ht="15">
      <c r="B60" s="51" t="s">
        <v>199</v>
      </c>
      <c r="C60" s="51"/>
      <c r="D60" s="69">
        <f>+D58+(D59*I61)</f>
        <v>8.0694140813156234E-2</v>
      </c>
      <c r="E60" s="66"/>
      <c r="F60" s="51"/>
      <c r="G60" s="51"/>
      <c r="H60" s="51"/>
      <c r="I60" s="54" t="s">
        <v>44</v>
      </c>
      <c r="J60" s="54" t="s">
        <v>2</v>
      </c>
      <c r="K60" s="54" t="s">
        <v>43</v>
      </c>
      <c r="L60" s="54" t="s">
        <v>44</v>
      </c>
      <c r="M60" s="48"/>
      <c r="N60" s="48"/>
    </row>
    <row r="61" spans="2:14" s="39" customFormat="1" ht="15">
      <c r="B61" s="51" t="s">
        <v>59</v>
      </c>
      <c r="C61" s="51"/>
      <c r="D61" s="73">
        <f>L61</f>
        <v>0.94760862449257599</v>
      </c>
      <c r="E61" s="66"/>
      <c r="F61" s="49" t="s">
        <v>61</v>
      </c>
      <c r="G61" s="51"/>
      <c r="H61" s="51"/>
      <c r="I61" s="57">
        <f>L54</f>
        <v>0.7638828162631246</v>
      </c>
      <c r="J61" s="65">
        <f>F11</f>
        <v>0.40085949554459283</v>
      </c>
      <c r="K61" s="65">
        <v>0.4</v>
      </c>
      <c r="L61" s="74">
        <f>+I61*(1+(J61)*(1-K61))</f>
        <v>0.94760862449257599</v>
      </c>
      <c r="M61" s="48"/>
      <c r="N61" s="48"/>
    </row>
    <row r="62" spans="2:14" s="39" customFormat="1" ht="15">
      <c r="B62" s="49" t="s">
        <v>60</v>
      </c>
      <c r="C62" s="51"/>
      <c r="D62" s="69">
        <f>+D58+(D61*D59)</f>
        <v>8.9880431224628798E-2</v>
      </c>
      <c r="E62" s="66"/>
      <c r="F62" s="49"/>
      <c r="G62" s="51"/>
      <c r="H62" s="51"/>
      <c r="I62" s="57"/>
      <c r="J62" s="65"/>
      <c r="K62" s="65"/>
      <c r="L62" s="75"/>
      <c r="M62" s="48"/>
      <c r="N62" s="48"/>
    </row>
    <row r="63" spans="2:14" s="39" customFormat="1" ht="15">
      <c r="B63" s="49"/>
      <c r="C63" s="51"/>
      <c r="D63" s="48"/>
      <c r="E63" s="66"/>
      <c r="F63" s="49" t="s">
        <v>62</v>
      </c>
      <c r="G63" s="49"/>
      <c r="H63" s="49"/>
      <c r="I63" s="49"/>
      <c r="J63" s="49"/>
      <c r="K63" s="49"/>
      <c r="L63" s="49"/>
      <c r="M63" s="48"/>
      <c r="N63" s="48"/>
    </row>
    <row r="64" spans="2:14" s="39" customFormat="1" ht="15">
      <c r="B64" s="50"/>
      <c r="C64" s="51"/>
      <c r="D64" s="51"/>
      <c r="E64" s="66"/>
      <c r="F64" s="48"/>
      <c r="G64" s="48"/>
      <c r="H64" s="280" t="s">
        <v>64</v>
      </c>
      <c r="I64" s="280"/>
      <c r="J64" s="280"/>
      <c r="K64" s="280"/>
      <c r="L64" s="280"/>
      <c r="M64" s="48"/>
      <c r="N64" s="48"/>
    </row>
    <row r="65" spans="2:14" s="39" customFormat="1" ht="15">
      <c r="B65" s="49" t="s">
        <v>63</v>
      </c>
      <c r="C65" s="51"/>
      <c r="D65" s="69">
        <f>(D48*D54)+(D49*D62)</f>
        <v>7.3884971851829642E-2</v>
      </c>
      <c r="E65" s="66"/>
      <c r="F65" s="281" t="s">
        <v>38</v>
      </c>
      <c r="G65" s="77">
        <f>D65</f>
        <v>7.3884971851829642E-2</v>
      </c>
      <c r="H65" s="78">
        <f>I65-0.005</f>
        <v>4.5000000000000005E-2</v>
      </c>
      <c r="I65" s="78">
        <f>J65-0.005</f>
        <v>0.05</v>
      </c>
      <c r="J65" s="78">
        <v>5.5E-2</v>
      </c>
      <c r="K65" s="78">
        <f>J65+0.005</f>
        <v>0.06</v>
      </c>
      <c r="L65" s="78">
        <f>K65+0.005</f>
        <v>6.5000000000000002E-2</v>
      </c>
      <c r="M65" s="48"/>
      <c r="N65" s="48"/>
    </row>
    <row r="66" spans="2:14" s="39" customFormat="1" ht="15">
      <c r="B66" s="76"/>
      <c r="C66" s="76"/>
      <c r="D66" s="76"/>
      <c r="E66" s="66" t="s">
        <v>65</v>
      </c>
      <c r="F66" s="281"/>
      <c r="G66" s="79">
        <f>G67-0.1</f>
        <v>9.9999999999999978E-2</v>
      </c>
      <c r="H66" s="80">
        <v>7.7616375180629998E-2</v>
      </c>
      <c r="I66" s="81">
        <v>7.7916375180630007E-2</v>
      </c>
      <c r="J66" s="81">
        <v>7.8216375180630002E-2</v>
      </c>
      <c r="K66" s="81">
        <v>7.851637518063001E-2</v>
      </c>
      <c r="L66" s="81">
        <v>7.8816375180630005E-2</v>
      </c>
      <c r="M66" s="48"/>
      <c r="N66" s="48"/>
    </row>
    <row r="67" spans="2:14" s="39" customFormat="1" ht="15">
      <c r="B67" s="48"/>
      <c r="C67" s="48"/>
      <c r="D67" s="48"/>
      <c r="E67" s="66"/>
      <c r="F67" s="281"/>
      <c r="G67" s="79">
        <f>G68-0.1</f>
        <v>0.19999999999999998</v>
      </c>
      <c r="H67" s="82">
        <v>7.4538609548103735E-2</v>
      </c>
      <c r="I67" s="81">
        <v>7.5138609548103738E-2</v>
      </c>
      <c r="J67" s="81">
        <v>7.5738609548103727E-2</v>
      </c>
      <c r="K67" s="81">
        <v>7.6338609548103731E-2</v>
      </c>
      <c r="L67" s="81">
        <v>7.6938609548103734E-2</v>
      </c>
      <c r="M67" s="48"/>
      <c r="N67" s="48"/>
    </row>
    <row r="68" spans="2:14" s="39" customFormat="1" ht="15">
      <c r="B68" s="48"/>
      <c r="C68" s="48"/>
      <c r="D68" s="48"/>
      <c r="E68" s="66"/>
      <c r="F68" s="281"/>
      <c r="G68" s="79">
        <v>0.3</v>
      </c>
      <c r="H68" s="82">
        <v>7.1460843915577485E-2</v>
      </c>
      <c r="I68" s="81">
        <v>7.2360843915577483E-2</v>
      </c>
      <c r="J68" s="83">
        <v>7.3260843915577495E-2</v>
      </c>
      <c r="K68" s="81">
        <v>7.4160843915577493E-2</v>
      </c>
      <c r="L68" s="81">
        <v>7.5060843915577491E-2</v>
      </c>
      <c r="M68" s="48"/>
      <c r="N68" s="48"/>
    </row>
    <row r="69" spans="2:14" s="39" customFormat="1" ht="15">
      <c r="B69" s="48"/>
      <c r="C69" s="48"/>
      <c r="D69" s="48"/>
      <c r="E69" s="66"/>
      <c r="F69" s="281"/>
      <c r="G69" s="79">
        <f>G68+0.1</f>
        <v>0.4</v>
      </c>
      <c r="H69" s="82">
        <v>6.8383078283051235E-2</v>
      </c>
      <c r="I69" s="81">
        <v>6.9583078283051228E-2</v>
      </c>
      <c r="J69" s="81">
        <v>7.0783078283051235E-2</v>
      </c>
      <c r="K69" s="81">
        <v>7.1983078283051227E-2</v>
      </c>
      <c r="L69" s="81">
        <v>7.3183078283051234E-2</v>
      </c>
      <c r="M69" s="48"/>
      <c r="N69" s="48"/>
    </row>
    <row r="70" spans="2:14" s="39" customFormat="1" ht="15">
      <c r="B70" s="48"/>
      <c r="C70" s="48"/>
      <c r="D70" s="48"/>
      <c r="E70" s="66"/>
      <c r="F70" s="281"/>
      <c r="G70" s="79">
        <f>G69+0.1</f>
        <v>0.5</v>
      </c>
      <c r="H70" s="82">
        <v>6.5305312650524985E-2</v>
      </c>
      <c r="I70" s="81">
        <v>6.6805312650524987E-2</v>
      </c>
      <c r="J70" s="81">
        <v>6.8305312650524988E-2</v>
      </c>
      <c r="K70" s="81">
        <v>6.9805312650524989E-2</v>
      </c>
      <c r="L70" s="81">
        <v>7.1305312650524991E-2</v>
      </c>
      <c r="M70" s="48"/>
      <c r="N70" s="48"/>
    </row>
    <row r="71" spans="2:14" s="39" customFormat="1" ht="15">
      <c r="B71" s="66"/>
      <c r="C71" s="66"/>
      <c r="D71" s="66"/>
      <c r="E71" s="66"/>
      <c r="F71" s="48"/>
      <c r="G71" s="48"/>
      <c r="H71" s="48"/>
      <c r="I71" s="48"/>
      <c r="J71" s="48"/>
      <c r="K71" s="48"/>
      <c r="L71" s="48"/>
      <c r="M71" s="48"/>
      <c r="N71" s="48"/>
    </row>
    <row r="72" spans="2:14">
      <c r="B72" s="66"/>
      <c r="C72" s="66"/>
      <c r="D72" s="66"/>
      <c r="E72" s="33"/>
      <c r="F72" s="33"/>
      <c r="G72" s="33"/>
      <c r="H72" s="33"/>
      <c r="I72" s="33"/>
      <c r="J72" s="33"/>
      <c r="K72" s="33"/>
      <c r="L72" s="33"/>
      <c r="M72" s="33"/>
      <c r="N72" s="33"/>
    </row>
    <row r="73" spans="2:14">
      <c r="B73" s="34"/>
      <c r="C73" s="34"/>
      <c r="D73" s="34"/>
      <c r="E73" s="33"/>
      <c r="F73" s="33"/>
      <c r="G73" s="33"/>
      <c r="H73" s="33"/>
      <c r="I73" s="33"/>
      <c r="J73" s="33"/>
      <c r="K73" s="33"/>
      <c r="L73" s="33"/>
      <c r="M73" s="33"/>
      <c r="N73" s="33"/>
    </row>
    <row r="74" spans="2:14">
      <c r="B74" s="34"/>
      <c r="C74" s="34"/>
      <c r="D74" s="34"/>
      <c r="E74" s="33"/>
      <c r="F74" s="33"/>
      <c r="G74" s="33"/>
      <c r="H74" s="33"/>
      <c r="I74" s="33"/>
      <c r="J74" s="33"/>
      <c r="K74" s="33"/>
      <c r="L74" s="33"/>
      <c r="M74" s="33"/>
      <c r="N74" s="33"/>
    </row>
    <row r="75" spans="2:14">
      <c r="B75" s="34"/>
      <c r="C75" s="34"/>
      <c r="D75" s="34"/>
      <c r="E75" s="33"/>
      <c r="F75" s="33"/>
      <c r="G75" s="33"/>
      <c r="H75" s="33"/>
      <c r="I75" s="33"/>
      <c r="J75" s="33"/>
      <c r="K75" s="33"/>
      <c r="L75" s="33"/>
      <c r="M75" s="33"/>
      <c r="N75" s="33"/>
    </row>
    <row r="76" spans="2:14">
      <c r="B76" s="34"/>
      <c r="C76" s="34"/>
      <c r="D76" s="34"/>
      <c r="E76" s="33"/>
      <c r="F76" s="33"/>
      <c r="G76" s="33"/>
      <c r="H76" s="33"/>
      <c r="I76" s="33"/>
      <c r="J76" s="33"/>
      <c r="K76" s="33"/>
      <c r="L76" s="33"/>
      <c r="M76" s="33"/>
      <c r="N76" s="33"/>
    </row>
    <row r="77" spans="2:14">
      <c r="B77" s="33"/>
      <c r="C77" s="33"/>
      <c r="D77" s="33"/>
    </row>
  </sheetData>
  <mergeCells count="4">
    <mergeCell ref="M14:M15"/>
    <mergeCell ref="H64:L64"/>
    <mergeCell ref="F65:F70"/>
    <mergeCell ref="B13:C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443B-0AAC-1844-A646-A04279A688E8}">
  <dimension ref="B1:F72"/>
  <sheetViews>
    <sheetView workbookViewId="0"/>
  </sheetViews>
  <sheetFormatPr baseColWidth="10" defaultColWidth="5.83203125" defaultRowHeight="16"/>
  <cols>
    <col min="1" max="1" width="5.83203125" style="126"/>
    <col min="2" max="2" width="41.83203125" style="126" bestFit="1" customWidth="1"/>
    <col min="3" max="3" width="5.6640625" style="126" customWidth="1"/>
    <col min="4" max="6" width="9.1640625" style="126" bestFit="1" customWidth="1"/>
    <col min="7" max="16384" width="5.83203125" style="126"/>
  </cols>
  <sheetData>
    <row r="1" spans="2:6">
      <c r="B1" s="125" t="s">
        <v>75</v>
      </c>
    </row>
    <row r="2" spans="2:6">
      <c r="B2" s="126" t="s">
        <v>76</v>
      </c>
    </row>
    <row r="3" spans="2:6">
      <c r="B3" s="126" t="s">
        <v>207</v>
      </c>
    </row>
    <row r="4" spans="2:6">
      <c r="B4" s="128" t="s">
        <v>77</v>
      </c>
      <c r="C4" s="46"/>
      <c r="D4" s="129">
        <v>2005</v>
      </c>
      <c r="E4" s="130">
        <f>D4+1</f>
        <v>2006</v>
      </c>
      <c r="F4" s="131">
        <f>E4+1</f>
        <v>2007</v>
      </c>
    </row>
    <row r="5" spans="2:6">
      <c r="B5" s="46" t="s">
        <v>78</v>
      </c>
      <c r="C5" s="46"/>
      <c r="D5" s="127">
        <v>2827.0219999999999</v>
      </c>
      <c r="E5" s="127">
        <v>3214.41</v>
      </c>
      <c r="F5" s="127">
        <v>3679.2370000000001</v>
      </c>
    </row>
    <row r="6" spans="2:6">
      <c r="B6" s="46" t="s">
        <v>79</v>
      </c>
      <c r="C6" s="46"/>
      <c r="D6" s="132">
        <v>203.74299999999999</v>
      </c>
      <c r="E6" s="132">
        <v>258.745</v>
      </c>
      <c r="F6" s="132">
        <v>267.02699999999999</v>
      </c>
    </row>
    <row r="7" spans="2:6">
      <c r="B7" s="133" t="s">
        <v>80</v>
      </c>
      <c r="C7" s="133"/>
      <c r="D7" s="134">
        <f>SUM(D5:D6)</f>
        <v>3030.7649999999999</v>
      </c>
      <c r="E7" s="134">
        <f>SUM(E5:E6)</f>
        <v>3473.1549999999997</v>
      </c>
      <c r="F7" s="134">
        <f>SUM(F5:F6)</f>
        <v>3946.2640000000001</v>
      </c>
    </row>
    <row r="8" spans="2:6">
      <c r="B8" s="46" t="s">
        <v>81</v>
      </c>
      <c r="C8" s="46"/>
      <c r="D8" s="127">
        <v>604.09299999999996</v>
      </c>
      <c r="E8" s="127">
        <v>639.68299999999999</v>
      </c>
      <c r="F8" s="127">
        <v>717.07500000000005</v>
      </c>
    </row>
    <row r="9" spans="2:6">
      <c r="B9" s="46" t="s">
        <v>82</v>
      </c>
      <c r="C9" s="46"/>
      <c r="D9" s="127">
        <v>511.93900000000002</v>
      </c>
      <c r="E9" s="127">
        <v>568.90300000000002</v>
      </c>
      <c r="F9" s="127">
        <v>640.22500000000002</v>
      </c>
    </row>
    <row r="10" spans="2:6">
      <c r="B10" s="46" t="s">
        <v>83</v>
      </c>
      <c r="C10" s="46"/>
      <c r="D10" s="132">
        <v>1217.7090000000001</v>
      </c>
      <c r="E10" s="132">
        <v>1399.5609999999999</v>
      </c>
      <c r="F10" s="132">
        <v>1555.6389999999999</v>
      </c>
    </row>
    <row r="11" spans="2:6">
      <c r="B11" s="133" t="s">
        <v>12</v>
      </c>
      <c r="C11" s="133"/>
      <c r="D11" s="134">
        <f>D7-SUM(D8:D10)</f>
        <v>697.02399999999989</v>
      </c>
      <c r="E11" s="134">
        <f>E7-SUM(E8:E10)</f>
        <v>865.00799999999981</v>
      </c>
      <c r="F11" s="134">
        <f>F7-SUM(F8:F10)</f>
        <v>1033.3249999999998</v>
      </c>
    </row>
    <row r="12" spans="2:6">
      <c r="B12" s="46" t="s">
        <v>84</v>
      </c>
      <c r="C12" s="46"/>
      <c r="D12" s="132">
        <v>490.09300000000002</v>
      </c>
      <c r="E12" s="132">
        <v>555.52499999999998</v>
      </c>
      <c r="F12" s="132">
        <v>582.26900000000001</v>
      </c>
    </row>
    <row r="13" spans="2:6">
      <c r="B13" s="133" t="s">
        <v>11</v>
      </c>
      <c r="C13" s="133"/>
      <c r="D13" s="134">
        <f>D11-D12</f>
        <v>206.93099999999987</v>
      </c>
      <c r="E13" s="134">
        <f>E11-E12</f>
        <v>309.48299999999983</v>
      </c>
      <c r="F13" s="134">
        <f>F11-F12</f>
        <v>451.05599999999981</v>
      </c>
    </row>
    <row r="14" spans="2:6">
      <c r="B14" s="46" t="s">
        <v>85</v>
      </c>
      <c r="C14" s="46"/>
      <c r="D14" s="127">
        <v>84.867000000000004</v>
      </c>
      <c r="E14" s="127">
        <v>93.674000000000007</v>
      </c>
      <c r="F14" s="127">
        <v>84.679000000000002</v>
      </c>
    </row>
    <row r="15" spans="2:6">
      <c r="B15" s="46" t="s">
        <v>86</v>
      </c>
      <c r="C15" s="46"/>
      <c r="D15" s="127">
        <v>66.718999999999994</v>
      </c>
      <c r="E15" s="127">
        <v>93.119</v>
      </c>
      <c r="F15" s="127">
        <v>90.033000000000001</v>
      </c>
    </row>
    <row r="16" spans="2:6">
      <c r="B16" s="46" t="s">
        <v>87</v>
      </c>
      <c r="C16" s="46"/>
      <c r="D16" s="127">
        <v>18.062999999999999</v>
      </c>
      <c r="E16" s="127">
        <v>50.84</v>
      </c>
      <c r="F16" s="127">
        <v>83.13</v>
      </c>
    </row>
    <row r="17" spans="2:6">
      <c r="B17" s="46" t="s">
        <v>88</v>
      </c>
      <c r="C17" s="46"/>
      <c r="D17" s="132">
        <v>54.500999999999998</v>
      </c>
      <c r="E17" s="132">
        <v>-46.63</v>
      </c>
      <c r="F17" s="132">
        <v>6.9610000000000003</v>
      </c>
    </row>
    <row r="18" spans="2:6">
      <c r="B18" s="133" t="s">
        <v>89</v>
      </c>
      <c r="C18" s="133"/>
      <c r="D18" s="134">
        <f>D13-D14+D15+D16+D17</f>
        <v>261.34699999999981</v>
      </c>
      <c r="E18" s="134">
        <f>E13-E14+E15+E16+E17</f>
        <v>313.13799999999981</v>
      </c>
      <c r="F18" s="134">
        <f>F13-F14+F15+F16+F17</f>
        <v>546.50099999999986</v>
      </c>
    </row>
    <row r="19" spans="2:6">
      <c r="B19" s="46" t="s">
        <v>90</v>
      </c>
      <c r="C19" s="46"/>
      <c r="D19" s="132">
        <v>95.855999999999995</v>
      </c>
      <c r="E19" s="132">
        <v>120.604</v>
      </c>
      <c r="F19" s="132">
        <v>216.71100000000001</v>
      </c>
    </row>
    <row r="20" spans="2:6">
      <c r="B20" s="133" t="s">
        <v>91</v>
      </c>
      <c r="C20" s="133"/>
      <c r="D20" s="134">
        <f>D18-D19</f>
        <v>165.49099999999981</v>
      </c>
      <c r="E20" s="134">
        <f>E18-E19</f>
        <v>192.53399999999982</v>
      </c>
      <c r="F20" s="134">
        <f>F18-F19</f>
        <v>329.78999999999985</v>
      </c>
    </row>
    <row r="21" spans="2:6">
      <c r="B21" s="46" t="s">
        <v>92</v>
      </c>
      <c r="C21" s="46"/>
      <c r="D21" s="132">
        <v>10.54</v>
      </c>
      <c r="E21" s="132">
        <v>13.044</v>
      </c>
      <c r="F21" s="132">
        <v>15.055999999999999</v>
      </c>
    </row>
    <row r="22" spans="2:6">
      <c r="B22" s="133" t="s">
        <v>93</v>
      </c>
      <c r="C22" s="133"/>
      <c r="D22" s="134">
        <f>D20-D21</f>
        <v>154.95099999999982</v>
      </c>
      <c r="E22" s="134">
        <f>E20-E21</f>
        <v>179.48999999999981</v>
      </c>
      <c r="F22" s="134">
        <f>F20-F21</f>
        <v>314.73399999999987</v>
      </c>
    </row>
    <row r="23" spans="2:6">
      <c r="B23" s="46"/>
      <c r="C23" s="46"/>
      <c r="D23" s="46"/>
      <c r="E23" s="46"/>
      <c r="F23" s="46"/>
    </row>
    <row r="28" spans="2:6">
      <c r="B28" s="126" t="s">
        <v>206</v>
      </c>
    </row>
    <row r="29" spans="2:6">
      <c r="B29" s="126" t="s">
        <v>94</v>
      </c>
      <c r="D29" s="129">
        <v>2005</v>
      </c>
      <c r="E29" s="130">
        <f>D29+1</f>
        <v>2006</v>
      </c>
      <c r="F29" s="131">
        <f>E29+1</f>
        <v>2007</v>
      </c>
    </row>
    <row r="30" spans="2:6">
      <c r="B30" s="126" t="s">
        <v>95</v>
      </c>
      <c r="D30" s="126">
        <v>29.003</v>
      </c>
      <c r="E30" s="126">
        <v>32.911999999999999</v>
      </c>
      <c r="F30" s="126">
        <v>204.53299999999999</v>
      </c>
    </row>
    <row r="31" spans="2:6">
      <c r="B31" s="126" t="s">
        <v>96</v>
      </c>
      <c r="D31" s="126">
        <v>0</v>
      </c>
      <c r="E31" s="126">
        <v>249.03899999999999</v>
      </c>
      <c r="F31" s="126">
        <v>16.352</v>
      </c>
    </row>
    <row r="32" spans="2:6">
      <c r="B32" s="126" t="s">
        <v>97</v>
      </c>
      <c r="D32" s="126">
        <v>362.35899999999998</v>
      </c>
      <c r="E32" s="126">
        <v>407.43799999999999</v>
      </c>
      <c r="F32" s="126">
        <v>435.49700000000001</v>
      </c>
    </row>
    <row r="33" spans="2:6">
      <c r="B33" s="126" t="s">
        <v>98</v>
      </c>
      <c r="D33" s="126">
        <v>92.748000000000005</v>
      </c>
      <c r="E33" s="126">
        <v>117.18899999999999</v>
      </c>
      <c r="F33" s="126">
        <v>100.99</v>
      </c>
    </row>
    <row r="34" spans="2:6">
      <c r="B34" s="126" t="s">
        <v>99</v>
      </c>
      <c r="D34" s="126">
        <v>32.067999999999998</v>
      </c>
      <c r="E34" s="126">
        <v>34.954999999999998</v>
      </c>
      <c r="F34" s="126">
        <v>41.588000000000001</v>
      </c>
    </row>
    <row r="35" spans="2:6">
      <c r="B35" s="126" t="s">
        <v>100</v>
      </c>
      <c r="D35" s="126">
        <v>8.218</v>
      </c>
      <c r="E35" s="126">
        <v>0</v>
      </c>
      <c r="F35" s="126">
        <v>18.565999999999999</v>
      </c>
    </row>
    <row r="36" spans="2:6">
      <c r="B36" s="126" t="s">
        <v>101</v>
      </c>
      <c r="D36" s="126">
        <v>15.489000000000001</v>
      </c>
      <c r="E36" s="126">
        <v>13.385</v>
      </c>
      <c r="F36" s="126">
        <v>16.227</v>
      </c>
    </row>
    <row r="37" spans="2:6">
      <c r="B37" s="126" t="s">
        <v>102</v>
      </c>
      <c r="D37" s="126">
        <v>539.88499999999999</v>
      </c>
      <c r="E37" s="126">
        <v>854.91799999999989</v>
      </c>
      <c r="F37" s="126">
        <v>833.75300000000004</v>
      </c>
    </row>
    <row r="39" spans="2:6">
      <c r="B39" s="126" t="s">
        <v>103</v>
      </c>
      <c r="D39" s="126">
        <v>2553.029</v>
      </c>
      <c r="E39" s="126">
        <v>2628.848</v>
      </c>
      <c r="F39" s="126">
        <v>2595.096</v>
      </c>
    </row>
    <row r="40" spans="2:6">
      <c r="B40" s="126" t="s">
        <v>104</v>
      </c>
      <c r="D40" s="126">
        <v>1362.2629999999999</v>
      </c>
      <c r="E40" s="126">
        <v>1494.327</v>
      </c>
      <c r="F40" s="126">
        <v>1482.4459999999999</v>
      </c>
    </row>
    <row r="41" spans="2:6">
      <c r="B41" s="126" t="s">
        <v>105</v>
      </c>
      <c r="D41" s="126">
        <v>47.649000000000001</v>
      </c>
      <c r="E41" s="126">
        <v>26.196000000000002</v>
      </c>
      <c r="F41" s="126">
        <v>15.375</v>
      </c>
    </row>
    <row r="42" spans="2:6">
      <c r="B42" s="126" t="s">
        <v>106</v>
      </c>
      <c r="D42" s="126">
        <v>225.387</v>
      </c>
      <c r="E42" s="126">
        <v>4.8730000000000002</v>
      </c>
      <c r="F42" s="126">
        <v>0</v>
      </c>
    </row>
    <row r="43" spans="2:6" ht="12" customHeight="1">
      <c r="B43" s="126" t="s">
        <v>107</v>
      </c>
      <c r="D43" s="126">
        <v>172.09299999999999</v>
      </c>
      <c r="E43" s="126">
        <v>150.32499999999999</v>
      </c>
      <c r="F43" s="126">
        <v>157.69300000000001</v>
      </c>
    </row>
    <row r="44" spans="2:6">
      <c r="B44" s="126" t="s">
        <v>108</v>
      </c>
      <c r="D44" s="126">
        <v>4.7069999999999999</v>
      </c>
      <c r="E44" s="126">
        <v>4.5410000000000004</v>
      </c>
      <c r="F44" s="126">
        <v>4.4219999999999997</v>
      </c>
    </row>
    <row r="45" spans="2:6">
      <c r="B45" s="126" t="s">
        <v>109</v>
      </c>
      <c r="D45" s="126">
        <v>481.23500000000001</v>
      </c>
      <c r="E45" s="126">
        <v>485.452</v>
      </c>
      <c r="F45" s="126">
        <v>491.31599999999997</v>
      </c>
    </row>
    <row r="46" spans="2:6">
      <c r="B46" s="126" t="s">
        <v>110</v>
      </c>
      <c r="D46" s="126">
        <v>29.984999999999999</v>
      </c>
      <c r="E46" s="126">
        <v>31.135999999999999</v>
      </c>
      <c r="F46" s="126">
        <v>31.773</v>
      </c>
    </row>
    <row r="47" spans="2:6">
      <c r="B47" s="126" t="s">
        <v>111</v>
      </c>
      <c r="D47" s="126">
        <v>5416.2329999999993</v>
      </c>
      <c r="E47" s="126">
        <v>5680.616</v>
      </c>
      <c r="F47" s="126">
        <v>5611.8739999999989</v>
      </c>
    </row>
    <row r="49" spans="2:6">
      <c r="B49" s="126" t="s">
        <v>112</v>
      </c>
    </row>
    <row r="50" spans="2:6">
      <c r="B50" s="126" t="s">
        <v>113</v>
      </c>
      <c r="D50" s="126">
        <v>254.11600000000001</v>
      </c>
      <c r="E50" s="126">
        <v>254.87100000000001</v>
      </c>
      <c r="F50" s="126">
        <v>260.791</v>
      </c>
    </row>
    <row r="51" spans="2:6">
      <c r="B51" s="126" t="s">
        <v>114</v>
      </c>
      <c r="D51" s="126">
        <v>111.407</v>
      </c>
      <c r="E51" s="126">
        <v>123.34399999999999</v>
      </c>
      <c r="F51" s="126">
        <v>143.44499999999999</v>
      </c>
    </row>
    <row r="52" spans="2:6">
      <c r="B52" s="126" t="s">
        <v>115</v>
      </c>
      <c r="D52" s="126">
        <v>42.865000000000002</v>
      </c>
      <c r="E52" s="126">
        <v>47.841999999999999</v>
      </c>
      <c r="F52" s="126">
        <v>59.223999999999997</v>
      </c>
    </row>
    <row r="53" spans="2:6">
      <c r="B53" s="126" t="s">
        <v>116</v>
      </c>
      <c r="D53" s="126">
        <v>36.747999999999998</v>
      </c>
      <c r="E53" s="126">
        <v>26.913</v>
      </c>
      <c r="F53" s="126">
        <v>43.104999999999997</v>
      </c>
    </row>
    <row r="54" spans="2:6">
      <c r="B54" s="126" t="s">
        <v>100</v>
      </c>
      <c r="D54" s="126">
        <v>0</v>
      </c>
      <c r="E54" s="126">
        <v>26.326000000000001</v>
      </c>
      <c r="F54" s="126">
        <v>0</v>
      </c>
    </row>
    <row r="55" spans="2:6">
      <c r="B55" s="126" t="s">
        <v>117</v>
      </c>
      <c r="D55" s="126">
        <v>135</v>
      </c>
      <c r="E55" s="126">
        <v>35</v>
      </c>
      <c r="F55" s="126">
        <v>0</v>
      </c>
    </row>
    <row r="56" spans="2:6">
      <c r="B56" s="126" t="s">
        <v>118</v>
      </c>
      <c r="D56" s="126">
        <v>0</v>
      </c>
      <c r="E56" s="126">
        <v>159.85599999999999</v>
      </c>
      <c r="F56" s="126">
        <v>0</v>
      </c>
    </row>
    <row r="57" spans="2:6">
      <c r="B57" s="126" t="s">
        <v>119</v>
      </c>
      <c r="D57" s="126">
        <v>0</v>
      </c>
      <c r="E57" s="126">
        <v>88.84</v>
      </c>
      <c r="F57" s="126">
        <v>0</v>
      </c>
    </row>
    <row r="58" spans="2:6">
      <c r="B58" s="126" t="s">
        <v>120</v>
      </c>
      <c r="D58" s="126">
        <v>82.584999999999994</v>
      </c>
      <c r="E58" s="126">
        <v>93.718000000000004</v>
      </c>
      <c r="F58" s="126">
        <v>97.677999999999997</v>
      </c>
    </row>
    <row r="59" spans="2:6">
      <c r="B59" s="126" t="s">
        <v>121</v>
      </c>
      <c r="D59" s="126">
        <v>662.721</v>
      </c>
      <c r="E59" s="126">
        <v>856.71</v>
      </c>
      <c r="F59" s="126">
        <v>604.24299999999994</v>
      </c>
    </row>
    <row r="61" spans="2:6">
      <c r="B61" s="126" t="s">
        <v>122</v>
      </c>
      <c r="D61" s="126">
        <v>1001.385</v>
      </c>
      <c r="E61" s="126">
        <v>1001.8390000000001</v>
      </c>
      <c r="F61" s="126">
        <v>1002.293</v>
      </c>
    </row>
    <row r="62" spans="2:6">
      <c r="B62" s="126" t="s">
        <v>123</v>
      </c>
      <c r="D62" s="126">
        <v>159.85599999999999</v>
      </c>
      <c r="E62" s="126">
        <v>0</v>
      </c>
      <c r="F62" s="126">
        <v>0</v>
      </c>
    </row>
    <row r="63" spans="2:6">
      <c r="B63" s="126" t="s">
        <v>119</v>
      </c>
      <c r="D63" s="126">
        <v>25.818000000000001</v>
      </c>
      <c r="E63" s="126">
        <v>0</v>
      </c>
      <c r="F63" s="126">
        <v>0</v>
      </c>
    </row>
    <row r="64" spans="2:6">
      <c r="B64" s="126" t="s">
        <v>124</v>
      </c>
      <c r="D64" s="126">
        <v>647.08600000000001</v>
      </c>
      <c r="E64" s="126">
        <v>601.53499999999997</v>
      </c>
      <c r="F64" s="126">
        <v>554.41200000000003</v>
      </c>
    </row>
    <row r="65" spans="2:6">
      <c r="B65" s="126" t="s">
        <v>125</v>
      </c>
      <c r="D65" s="126">
        <v>90.224000000000004</v>
      </c>
      <c r="E65" s="126">
        <v>127.639</v>
      </c>
      <c r="F65" s="126">
        <v>126.84399999999999</v>
      </c>
    </row>
    <row r="66" spans="2:6">
      <c r="B66" s="126" t="s">
        <v>126</v>
      </c>
      <c r="D66" s="126">
        <v>46.234000000000002</v>
      </c>
      <c r="E66" s="126">
        <v>62.914000000000001</v>
      </c>
      <c r="F66" s="126">
        <v>84.53</v>
      </c>
    </row>
    <row r="68" spans="2:6">
      <c r="B68" s="126" t="s">
        <v>127</v>
      </c>
      <c r="D68" s="126">
        <v>41.871000000000002</v>
      </c>
      <c r="E68" s="126">
        <v>36.700000000000003</v>
      </c>
      <c r="F68" s="126">
        <v>43.396000000000001</v>
      </c>
    </row>
    <row r="70" spans="2:6">
      <c r="B70" s="126" t="s">
        <v>128</v>
      </c>
      <c r="D70" s="126">
        <v>1375.0159999999998</v>
      </c>
      <c r="E70" s="126">
        <v>1378.8809999999999</v>
      </c>
      <c r="F70" s="126">
        <v>1404.0939999999998</v>
      </c>
    </row>
    <row r="71" spans="2:6">
      <c r="B71" s="126" t="s">
        <v>129</v>
      </c>
      <c r="D71" s="126">
        <v>1366.0220000000002</v>
      </c>
      <c r="E71" s="126">
        <v>1614.3980000000001</v>
      </c>
      <c r="F71" s="126">
        <v>1792.0619999999999</v>
      </c>
    </row>
    <row r="72" spans="2:6">
      <c r="B72" s="126" t="s">
        <v>130</v>
      </c>
      <c r="D72" s="126">
        <v>5416.2330000000002</v>
      </c>
      <c r="E72" s="126">
        <v>5680.616</v>
      </c>
      <c r="F72" s="126">
        <v>5611.8739999999998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2FFFE-6559-BC4B-A6CF-39C19FE743BF}">
  <dimension ref="A1:M142"/>
  <sheetViews>
    <sheetView workbookViewId="0"/>
  </sheetViews>
  <sheetFormatPr baseColWidth="10" defaultRowHeight="16"/>
  <cols>
    <col min="1" max="1" width="35.6640625" customWidth="1"/>
    <col min="4" max="4" width="13.1640625" bestFit="1" customWidth="1"/>
    <col min="6" max="6" width="13.1640625" bestFit="1" customWidth="1"/>
  </cols>
  <sheetData>
    <row r="1" spans="1:6" s="272" customFormat="1" ht="19" thickBot="1">
      <c r="A1" s="273" t="s">
        <v>131</v>
      </c>
      <c r="B1" s="275"/>
      <c r="C1" s="275"/>
      <c r="D1" s="275"/>
      <c r="E1" s="275"/>
    </row>
    <row r="2" spans="1:6">
      <c r="A2" s="124"/>
      <c r="B2" s="246">
        <v>2008</v>
      </c>
      <c r="C2" s="180">
        <f>B2+1</f>
        <v>2009</v>
      </c>
      <c r="D2" s="180">
        <f t="shared" ref="D2:F2" si="0">C2+1</f>
        <v>2010</v>
      </c>
      <c r="E2" s="180">
        <f t="shared" si="0"/>
        <v>2011</v>
      </c>
      <c r="F2" s="181">
        <f t="shared" si="0"/>
        <v>2012</v>
      </c>
    </row>
    <row r="3" spans="1:6">
      <c r="A3" s="123" t="s">
        <v>78</v>
      </c>
      <c r="B3" s="124"/>
      <c r="C3" s="124"/>
      <c r="D3" s="124"/>
      <c r="E3" s="124"/>
      <c r="F3" s="124"/>
    </row>
    <row r="4" spans="1:6">
      <c r="A4" s="135" t="s">
        <v>132</v>
      </c>
      <c r="B4" s="136">
        <v>0.14000000000000001</v>
      </c>
      <c r="C4" s="136">
        <v>0.14000000000000001</v>
      </c>
      <c r="D4" s="136">
        <v>0.125</v>
      </c>
      <c r="E4" s="136">
        <v>0.1</v>
      </c>
      <c r="F4" s="136">
        <v>7.0000000000000007E-2</v>
      </c>
    </row>
    <row r="5" spans="1:6">
      <c r="A5" s="123" t="s">
        <v>133</v>
      </c>
      <c r="B5" s="124"/>
      <c r="C5" s="124"/>
      <c r="D5" s="124"/>
      <c r="E5" s="124"/>
      <c r="F5" s="124"/>
    </row>
    <row r="6" spans="1:6">
      <c r="A6" s="135" t="s">
        <v>134</v>
      </c>
      <c r="B6" s="136">
        <v>7.5047298789131703E-2</v>
      </c>
      <c r="C6" s="136">
        <v>7.5047298789131703E-2</v>
      </c>
      <c r="D6" s="136">
        <v>7.5047298789131703E-2</v>
      </c>
      <c r="E6" s="136">
        <v>7.5047298789131703E-2</v>
      </c>
      <c r="F6" s="136">
        <v>7.5047298789131703E-2</v>
      </c>
    </row>
    <row r="7" spans="1:6">
      <c r="A7" s="123" t="s">
        <v>135</v>
      </c>
      <c r="B7" s="124"/>
      <c r="C7" s="124"/>
      <c r="D7" s="124"/>
      <c r="E7" s="124"/>
      <c r="F7" s="124"/>
    </row>
    <row r="8" spans="1:6">
      <c r="A8" s="135" t="s">
        <v>136</v>
      </c>
      <c r="B8" s="137">
        <v>0.2</v>
      </c>
      <c r="C8" s="137">
        <v>0.2</v>
      </c>
      <c r="D8" s="137">
        <v>0.2</v>
      </c>
      <c r="E8" s="137">
        <v>0.2</v>
      </c>
      <c r="F8" s="137">
        <v>0.2</v>
      </c>
    </row>
    <row r="9" spans="1:6">
      <c r="A9" s="135" t="s">
        <v>137</v>
      </c>
      <c r="B9" s="137">
        <v>2.4</v>
      </c>
      <c r="C9" s="137">
        <v>2.4</v>
      </c>
      <c r="D9" s="137">
        <v>2.4</v>
      </c>
      <c r="E9" s="137">
        <v>2.4</v>
      </c>
      <c r="F9" s="137">
        <v>2.4</v>
      </c>
    </row>
    <row r="10" spans="1:6">
      <c r="A10" s="135" t="s">
        <v>138</v>
      </c>
      <c r="B10" s="137">
        <v>0.4</v>
      </c>
      <c r="C10" s="137">
        <v>0.4</v>
      </c>
      <c r="D10" s="137">
        <v>0.4</v>
      </c>
      <c r="E10" s="137">
        <v>0.4</v>
      </c>
      <c r="F10" s="137">
        <v>0.4</v>
      </c>
    </row>
    <row r="11" spans="1:6">
      <c r="A11" s="135" t="s">
        <v>43</v>
      </c>
      <c r="B11" s="137">
        <v>0.4</v>
      </c>
      <c r="C11" s="137">
        <v>0.4</v>
      </c>
      <c r="D11" s="137">
        <v>0.4</v>
      </c>
      <c r="E11" s="137">
        <v>0.4</v>
      </c>
      <c r="F11" s="137">
        <v>0.4</v>
      </c>
    </row>
    <row r="12" spans="1:6">
      <c r="A12" s="138" t="s">
        <v>139</v>
      </c>
      <c r="B12" s="139">
        <v>0.156401232817064</v>
      </c>
      <c r="C12" s="139">
        <v>0.156401232817064</v>
      </c>
      <c r="D12" s="139">
        <v>0.15</v>
      </c>
      <c r="E12" s="139">
        <v>0.14499999999999999</v>
      </c>
      <c r="F12" s="139">
        <v>0.14000000000000001</v>
      </c>
    </row>
    <row r="13" spans="1:6">
      <c r="A13" s="140" t="s">
        <v>140</v>
      </c>
      <c r="B13" s="124"/>
      <c r="C13" s="124"/>
      <c r="D13" s="124"/>
      <c r="E13" s="124"/>
      <c r="F13" s="124"/>
    </row>
    <row r="14" spans="1:6">
      <c r="A14" s="135" t="s">
        <v>97</v>
      </c>
      <c r="B14" s="141">
        <v>41.667318688383098</v>
      </c>
      <c r="C14" s="141">
        <v>41.667318688383098</v>
      </c>
      <c r="D14" s="141">
        <v>41.667318688383098</v>
      </c>
      <c r="E14" s="141">
        <v>41.667318688383098</v>
      </c>
      <c r="F14" s="141">
        <v>41.667318688383098</v>
      </c>
    </row>
    <row r="15" spans="1:6">
      <c r="A15" s="135" t="s">
        <v>141</v>
      </c>
      <c r="B15" s="141">
        <v>154.36021230095801</v>
      </c>
      <c r="C15" s="141">
        <v>154.36021230095801</v>
      </c>
      <c r="D15" s="141">
        <v>154.36021230095801</v>
      </c>
      <c r="E15" s="141">
        <v>154.36021230095801</v>
      </c>
      <c r="F15" s="141">
        <v>154.36021230095801</v>
      </c>
    </row>
    <row r="16" spans="1:6">
      <c r="A16" s="135" t="s">
        <v>99</v>
      </c>
      <c r="B16" s="139">
        <v>1.38067509544899E-2</v>
      </c>
      <c r="C16" s="139">
        <v>1.38067509544899E-2</v>
      </c>
      <c r="D16" s="139">
        <v>1.38067509544899E-2</v>
      </c>
      <c r="E16" s="139">
        <v>1.38067509544899E-2</v>
      </c>
      <c r="F16" s="139">
        <v>1.38067509544899E-2</v>
      </c>
    </row>
    <row r="17" spans="1:12">
      <c r="A17" s="135" t="s">
        <v>113</v>
      </c>
      <c r="B17" s="141">
        <v>35.536489789823698</v>
      </c>
      <c r="C17" s="141">
        <v>35.536489789823698</v>
      </c>
      <c r="D17" s="141">
        <v>35.536489789823698</v>
      </c>
      <c r="E17" s="141">
        <v>35.536489789823698</v>
      </c>
      <c r="F17" s="141">
        <v>35.536489789823698</v>
      </c>
    </row>
    <row r="18" spans="1:12">
      <c r="A18" s="135" t="s">
        <v>142</v>
      </c>
      <c r="B18" s="141">
        <v>14.0121369868444</v>
      </c>
      <c r="C18" s="141">
        <v>14.0121369868444</v>
      </c>
      <c r="D18" s="141">
        <v>14.0121369868444</v>
      </c>
      <c r="E18" s="141">
        <v>14.0121369868444</v>
      </c>
      <c r="F18" s="141">
        <v>14.0121369868444</v>
      </c>
    </row>
    <row r="19" spans="1:12">
      <c r="A19" s="135" t="s">
        <v>115</v>
      </c>
      <c r="B19" s="141">
        <v>6.84505830201274</v>
      </c>
      <c r="C19" s="141">
        <v>6.84505830201274</v>
      </c>
      <c r="D19" s="141">
        <v>6.84505830201274</v>
      </c>
      <c r="E19" s="141">
        <v>6.84505830201274</v>
      </c>
      <c r="F19" s="141">
        <v>6.84505830201274</v>
      </c>
    </row>
    <row r="20" spans="1:12">
      <c r="A20" s="135" t="s">
        <v>143</v>
      </c>
      <c r="B20" s="142">
        <v>360</v>
      </c>
      <c r="C20" s="142">
        <v>360</v>
      </c>
      <c r="D20" s="142">
        <v>360</v>
      </c>
      <c r="E20" s="142">
        <v>360</v>
      </c>
      <c r="F20" s="142">
        <v>360</v>
      </c>
    </row>
    <row r="21" spans="1:12">
      <c r="A21" s="143" t="s">
        <v>144</v>
      </c>
      <c r="B21" s="124"/>
      <c r="C21" s="124"/>
      <c r="D21" s="124"/>
      <c r="E21" s="124"/>
      <c r="F21" s="124"/>
    </row>
    <row r="22" spans="1:12">
      <c r="A22" s="138" t="s">
        <v>145</v>
      </c>
      <c r="B22" s="136">
        <v>0.14000000000000001</v>
      </c>
      <c r="C22" s="136">
        <v>0.14000000000000001</v>
      </c>
      <c r="D22" s="136">
        <v>0.15</v>
      </c>
      <c r="E22" s="136">
        <v>0.1525</v>
      </c>
      <c r="F22" s="136">
        <v>0.155</v>
      </c>
    </row>
    <row r="24" spans="1:12" ht="17" thickBot="1"/>
    <row r="25" spans="1:12" s="272" customFormat="1" ht="19" thickBot="1">
      <c r="A25" s="273" t="s">
        <v>208</v>
      </c>
      <c r="B25" s="274"/>
      <c r="C25" s="274"/>
      <c r="D25" s="274"/>
      <c r="E25" s="274"/>
    </row>
    <row r="26" spans="1:12">
      <c r="A26" s="142"/>
      <c r="B26" s="142"/>
      <c r="C26" s="142"/>
      <c r="D26" s="283" t="s">
        <v>156</v>
      </c>
      <c r="E26" s="283"/>
      <c r="F26" t="s">
        <v>157</v>
      </c>
      <c r="H26" s="284" t="s">
        <v>158</v>
      </c>
      <c r="I26" s="284"/>
      <c r="J26" s="284"/>
      <c r="K26" s="284"/>
      <c r="L26" s="284"/>
    </row>
    <row r="27" spans="1:12">
      <c r="A27" s="144" t="s">
        <v>77</v>
      </c>
      <c r="B27" s="142"/>
      <c r="C27" s="142"/>
      <c r="D27" s="177">
        <v>2005</v>
      </c>
      <c r="E27" s="178">
        <f>D27+1</f>
        <v>2006</v>
      </c>
      <c r="F27" s="179">
        <f>E27+1</f>
        <v>2007</v>
      </c>
      <c r="H27" s="180">
        <f>F27+1</f>
        <v>2008</v>
      </c>
      <c r="I27" s="180">
        <f>H27+1</f>
        <v>2009</v>
      </c>
      <c r="J27" s="180">
        <f>I27+1</f>
        <v>2010</v>
      </c>
      <c r="K27" s="180">
        <f>J27+1</f>
        <v>2011</v>
      </c>
      <c r="L27" s="181">
        <f>K27+1</f>
        <v>2012</v>
      </c>
    </row>
    <row r="28" spans="1:12">
      <c r="A28" s="145" t="s">
        <v>78</v>
      </c>
      <c r="B28" s="142"/>
      <c r="C28" s="142"/>
      <c r="D28" s="146">
        <v>2827.0219999999999</v>
      </c>
      <c r="E28" s="146">
        <v>3214.41</v>
      </c>
      <c r="F28" s="146">
        <v>3679.2370000000001</v>
      </c>
      <c r="H28" s="146">
        <f>F28*(1+B4)</f>
        <v>4194.3301800000008</v>
      </c>
      <c r="I28" s="146">
        <f>H28*(1+C4)</f>
        <v>4781.5364052000014</v>
      </c>
      <c r="J28" s="146">
        <f t="shared" ref="J28:L28" si="1">I28*(1+D4)</f>
        <v>5379.2284558500014</v>
      </c>
      <c r="K28" s="146">
        <f t="shared" si="1"/>
        <v>5917.1513014350021</v>
      </c>
      <c r="L28" s="146">
        <f t="shared" si="1"/>
        <v>6331.3518925354529</v>
      </c>
    </row>
    <row r="29" spans="1:12">
      <c r="A29" s="145" t="s">
        <v>79</v>
      </c>
      <c r="B29" s="142"/>
      <c r="C29" s="142"/>
      <c r="D29" s="147">
        <v>203.74299999999999</v>
      </c>
      <c r="E29" s="147">
        <v>258.745</v>
      </c>
      <c r="F29" s="147">
        <v>267.02699999999999</v>
      </c>
      <c r="H29" s="147">
        <f>H28*B6</f>
        <v>314.77315023873263</v>
      </c>
      <c r="I29" s="147">
        <f t="shared" ref="I29:L29" si="2">I28*C6</f>
        <v>358.84139127215519</v>
      </c>
      <c r="J29" s="147">
        <f t="shared" si="2"/>
        <v>403.69656518117461</v>
      </c>
      <c r="K29" s="147">
        <f t="shared" si="2"/>
        <v>444.0662216992921</v>
      </c>
      <c r="L29" s="147">
        <f t="shared" si="2"/>
        <v>475.15085721824261</v>
      </c>
    </row>
    <row r="30" spans="1:12">
      <c r="A30" s="148" t="s">
        <v>80</v>
      </c>
      <c r="B30" s="142"/>
      <c r="C30" s="142"/>
      <c r="D30" s="149">
        <f>SUM(D28:D29)</f>
        <v>3030.7649999999999</v>
      </c>
      <c r="E30" s="149">
        <f>SUM(E28:E29)</f>
        <v>3473.1549999999997</v>
      </c>
      <c r="F30" s="149">
        <f>SUM(F28:F29)</f>
        <v>3946.2640000000001</v>
      </c>
      <c r="H30" s="149">
        <f>H28+H29</f>
        <v>4509.1033302387332</v>
      </c>
      <c r="I30" s="149">
        <f t="shared" ref="I30:L30" si="3">I28+I29</f>
        <v>5140.3777964721567</v>
      </c>
      <c r="J30" s="149">
        <f t="shared" si="3"/>
        <v>5782.9250210311757</v>
      </c>
      <c r="K30" s="149">
        <f t="shared" si="3"/>
        <v>6361.2175231342944</v>
      </c>
      <c r="L30" s="149">
        <f t="shared" si="3"/>
        <v>6806.5027497536958</v>
      </c>
    </row>
    <row r="31" spans="1:12">
      <c r="A31" s="145" t="s">
        <v>81</v>
      </c>
      <c r="B31" s="142"/>
      <c r="C31" s="142"/>
      <c r="D31" s="146">
        <v>604.09299999999996</v>
      </c>
      <c r="E31" s="146">
        <v>639.68299999999999</v>
      </c>
      <c r="F31" s="146">
        <v>717.07500000000005</v>
      </c>
      <c r="H31" s="147">
        <f>$H$28*B8</f>
        <v>838.86603600000024</v>
      </c>
      <c r="I31" s="147">
        <f t="shared" ref="I31:L31" si="4">I28*C8</f>
        <v>956.30728104000036</v>
      </c>
      <c r="J31" s="147">
        <f t="shared" si="4"/>
        <v>1075.8456911700002</v>
      </c>
      <c r="K31" s="147">
        <f t="shared" si="4"/>
        <v>1183.4302602870005</v>
      </c>
      <c r="L31" s="147">
        <f t="shared" si="4"/>
        <v>1266.2703785070908</v>
      </c>
    </row>
    <row r="32" spans="1:12">
      <c r="A32" s="145" t="s">
        <v>82</v>
      </c>
      <c r="B32" s="142"/>
      <c r="C32" s="142"/>
      <c r="D32" s="146">
        <v>511.93900000000002</v>
      </c>
      <c r="E32" s="146">
        <v>568.90300000000002</v>
      </c>
      <c r="F32" s="146">
        <v>640.22500000000002</v>
      </c>
      <c r="H32" s="147">
        <f>$H$29*B9</f>
        <v>755.45556057295823</v>
      </c>
      <c r="I32" s="147">
        <f>$I$29*C9</f>
        <v>861.21933905317246</v>
      </c>
      <c r="J32" s="147">
        <f>$J$29*D9</f>
        <v>968.87175643481896</v>
      </c>
      <c r="K32" s="147">
        <f>$K$29*E9</f>
        <v>1065.7589320783011</v>
      </c>
      <c r="L32" s="147">
        <f>$L$29*F9</f>
        <v>1140.3620573237822</v>
      </c>
    </row>
    <row r="33" spans="1:12">
      <c r="A33" s="145" t="s">
        <v>83</v>
      </c>
      <c r="B33" s="142"/>
      <c r="C33" s="142"/>
      <c r="D33" s="147">
        <v>1217.7090000000001</v>
      </c>
      <c r="E33" s="147">
        <v>1399.5609999999999</v>
      </c>
      <c r="F33" s="147">
        <v>1555.6389999999999</v>
      </c>
      <c r="H33" s="147">
        <f>H30*B10</f>
        <v>1803.6413320954935</v>
      </c>
      <c r="I33" s="147">
        <f t="shared" ref="I33:L33" si="5">I30*C10</f>
        <v>2056.1511185888626</v>
      </c>
      <c r="J33" s="147">
        <f t="shared" si="5"/>
        <v>2313.1700084124705</v>
      </c>
      <c r="K33" s="147">
        <f t="shared" si="5"/>
        <v>2544.487009253718</v>
      </c>
      <c r="L33" s="147">
        <f t="shared" si="5"/>
        <v>2722.6010999014784</v>
      </c>
    </row>
    <row r="34" spans="1:12">
      <c r="A34" s="148" t="s">
        <v>12</v>
      </c>
      <c r="B34" s="142"/>
      <c r="C34" s="142"/>
      <c r="D34" s="149">
        <f>D30-SUM(D31:D33)</f>
        <v>697.02399999999989</v>
      </c>
      <c r="E34" s="149">
        <f>E30-SUM(E31:E33)</f>
        <v>865.00799999999981</v>
      </c>
      <c r="F34" s="149">
        <f>F30-SUM(F31:F33)</f>
        <v>1033.3249999999998</v>
      </c>
      <c r="H34" s="149">
        <f>H30-H31-H32-H33</f>
        <v>1111.140401570281</v>
      </c>
      <c r="I34" s="149">
        <f t="shared" ref="I34:L34" si="6">I30-I31-I32-I33</f>
        <v>1266.7000577901217</v>
      </c>
      <c r="J34" s="149">
        <f t="shared" si="6"/>
        <v>1425.0375650138858</v>
      </c>
      <c r="K34" s="149">
        <f t="shared" si="6"/>
        <v>1567.5413215152753</v>
      </c>
      <c r="L34" s="149">
        <f t="shared" si="6"/>
        <v>1677.2692140213444</v>
      </c>
    </row>
    <row r="35" spans="1:12">
      <c r="A35" s="145" t="s">
        <v>84</v>
      </c>
      <c r="B35" s="142"/>
      <c r="C35" s="142"/>
      <c r="D35" s="147">
        <v>490.09300000000002</v>
      </c>
      <c r="E35" s="147">
        <v>555.52499999999998</v>
      </c>
      <c r="F35" s="147">
        <v>582.26900000000001</v>
      </c>
      <c r="H35" s="147">
        <f>H30*B12</f>
        <v>705.22931974886671</v>
      </c>
      <c r="I35" s="147">
        <f t="shared" ref="I35:L35" si="7">I30*C12</f>
        <v>803.96142451370815</v>
      </c>
      <c r="J35" s="147">
        <f t="shared" si="7"/>
        <v>867.43875315467631</v>
      </c>
      <c r="K35" s="147">
        <f t="shared" si="7"/>
        <v>922.37654085447264</v>
      </c>
      <c r="L35" s="147">
        <f t="shared" si="7"/>
        <v>952.91038496551755</v>
      </c>
    </row>
    <row r="36" spans="1:12">
      <c r="A36" s="148" t="s">
        <v>11</v>
      </c>
      <c r="B36" s="142"/>
      <c r="C36" s="142"/>
      <c r="D36" s="149">
        <f>D34-D35</f>
        <v>206.93099999999987</v>
      </c>
      <c r="E36" s="149">
        <f>E34-E35</f>
        <v>309.48299999999983</v>
      </c>
      <c r="F36" s="149">
        <f>F34-F35</f>
        <v>451.05599999999981</v>
      </c>
      <c r="H36" s="149">
        <f>H34-H35</f>
        <v>405.91108182141431</v>
      </c>
      <c r="I36" s="149">
        <f t="shared" ref="I36:L36" si="8">I34-I35</f>
        <v>462.73863327641357</v>
      </c>
      <c r="J36" s="149">
        <f t="shared" si="8"/>
        <v>557.59881185920949</v>
      </c>
      <c r="K36" s="149">
        <f t="shared" si="8"/>
        <v>645.16478066080265</v>
      </c>
      <c r="L36" s="149">
        <f t="shared" si="8"/>
        <v>724.35882905582685</v>
      </c>
    </row>
    <row r="37" spans="1:12">
      <c r="A37" s="145" t="s">
        <v>85</v>
      </c>
      <c r="B37" s="142"/>
      <c r="C37" s="142"/>
      <c r="D37" s="146">
        <v>84.867000000000004</v>
      </c>
      <c r="E37" s="146">
        <v>93.674000000000007</v>
      </c>
      <c r="F37" s="146">
        <v>84.679000000000002</v>
      </c>
      <c r="H37" s="146">
        <f>SUM('Loan Amortization'!D9:D20)</f>
        <v>199.42895836493602</v>
      </c>
      <c r="I37" s="146">
        <f>SUM('Loan Amortization'!D21:D32)</f>
        <v>183.07508156706967</v>
      </c>
      <c r="J37" s="146">
        <f>SUM('Loan Amortization'!D33:D44)</f>
        <v>165.79871757002698</v>
      </c>
      <c r="K37" s="146">
        <f>SUM('Loan Amortization'!D45:D56)</f>
        <v>147.54783084466953</v>
      </c>
      <c r="L37" s="146">
        <f>SUM('Loan Amortization'!D57:D68)</f>
        <v>128.26745064899586</v>
      </c>
    </row>
    <row r="38" spans="1:12">
      <c r="A38" s="145" t="s">
        <v>86</v>
      </c>
      <c r="B38" s="142"/>
      <c r="C38" s="142"/>
      <c r="D38" s="146">
        <v>66.718999999999994</v>
      </c>
      <c r="E38" s="146">
        <v>93.119</v>
      </c>
      <c r="F38" s="146">
        <v>90.033000000000001</v>
      </c>
      <c r="H38" s="146">
        <v>0</v>
      </c>
      <c r="I38" s="146">
        <v>0</v>
      </c>
      <c r="J38" s="146">
        <v>0</v>
      </c>
      <c r="K38" s="146">
        <v>0</v>
      </c>
      <c r="L38" s="146">
        <v>0</v>
      </c>
    </row>
    <row r="39" spans="1:12">
      <c r="A39" s="145" t="s">
        <v>87</v>
      </c>
      <c r="B39" s="142"/>
      <c r="C39" s="142"/>
      <c r="D39" s="146">
        <v>18.062999999999999</v>
      </c>
      <c r="E39" s="146">
        <v>50.84</v>
      </c>
      <c r="F39" s="146">
        <v>83.13</v>
      </c>
      <c r="H39" s="146">
        <v>0</v>
      </c>
      <c r="I39" s="146">
        <v>0</v>
      </c>
      <c r="J39" s="146">
        <v>0</v>
      </c>
      <c r="K39" s="146">
        <v>0</v>
      </c>
      <c r="L39" s="146">
        <v>0</v>
      </c>
    </row>
    <row r="40" spans="1:12">
      <c r="A40" s="145" t="s">
        <v>88</v>
      </c>
      <c r="B40" s="142"/>
      <c r="C40" s="142"/>
      <c r="D40" s="147">
        <v>54.500999999999998</v>
      </c>
      <c r="E40" s="147">
        <v>-46.63</v>
      </c>
      <c r="F40" s="147">
        <v>6.9610000000000003</v>
      </c>
      <c r="H40" s="147">
        <v>0</v>
      </c>
      <c r="I40" s="147">
        <v>0</v>
      </c>
      <c r="J40" s="147">
        <v>0</v>
      </c>
      <c r="K40" s="147">
        <v>0</v>
      </c>
      <c r="L40" s="147">
        <v>0</v>
      </c>
    </row>
    <row r="41" spans="1:12">
      <c r="A41" s="148" t="s">
        <v>89</v>
      </c>
      <c r="B41" s="142"/>
      <c r="C41" s="142"/>
      <c r="D41" s="149">
        <f>D36-D37+D38+D39+D40</f>
        <v>261.34699999999981</v>
      </c>
      <c r="E41" s="149">
        <f>E36-E37+E38+E39+E40</f>
        <v>313.13799999999981</v>
      </c>
      <c r="F41" s="149">
        <f>F36-F37+F38+F39+F40</f>
        <v>546.50099999999986</v>
      </c>
      <c r="H41" s="149">
        <f>H36-H37+H38+H39+H40</f>
        <v>206.48212345647829</v>
      </c>
      <c r="I41" s="149">
        <f t="shared" ref="I41:L41" si="9">I36-I37+I38+I39+I40</f>
        <v>279.66355170934389</v>
      </c>
      <c r="J41" s="149">
        <f t="shared" si="9"/>
        <v>391.80009428918254</v>
      </c>
      <c r="K41" s="149">
        <f t="shared" si="9"/>
        <v>497.61694981613311</v>
      </c>
      <c r="L41" s="149">
        <f t="shared" si="9"/>
        <v>596.09137840683093</v>
      </c>
    </row>
    <row r="42" spans="1:12">
      <c r="A42" s="145" t="s">
        <v>90</v>
      </c>
      <c r="B42" s="142"/>
      <c r="C42" s="142"/>
      <c r="D42" s="147">
        <v>95.855999999999995</v>
      </c>
      <c r="E42" s="147">
        <v>120.604</v>
      </c>
      <c r="F42" s="147">
        <v>216.71100000000001</v>
      </c>
      <c r="H42" s="147">
        <f>H41*B11</f>
        <v>82.592849382591325</v>
      </c>
      <c r="I42" s="147">
        <f t="shared" ref="I42:L42" si="10">I41*C11</f>
        <v>111.86542068373757</v>
      </c>
      <c r="J42" s="147">
        <f t="shared" si="10"/>
        <v>156.72003771567302</v>
      </c>
      <c r="K42" s="147">
        <f t="shared" si="10"/>
        <v>199.04677992645327</v>
      </c>
      <c r="L42" s="147">
        <f t="shared" si="10"/>
        <v>238.43655136273239</v>
      </c>
    </row>
    <row r="43" spans="1:12">
      <c r="A43" s="148" t="s">
        <v>91</v>
      </c>
      <c r="D43" s="149">
        <f>D41-D42</f>
        <v>165.49099999999981</v>
      </c>
      <c r="E43" s="149">
        <f>E41-E42</f>
        <v>192.53399999999982</v>
      </c>
      <c r="F43" s="149">
        <f>F41-F42</f>
        <v>329.78999999999985</v>
      </c>
      <c r="G43" s="182"/>
    </row>
    <row r="44" spans="1:12">
      <c r="A44" s="145" t="s">
        <v>92</v>
      </c>
      <c r="D44" s="147">
        <v>10.54</v>
      </c>
      <c r="E44" s="147">
        <v>13.044</v>
      </c>
      <c r="F44" s="147">
        <v>15.055999999999999</v>
      </c>
      <c r="G44" s="124"/>
      <c r="H44" s="124"/>
      <c r="I44" s="124"/>
      <c r="J44" s="124"/>
      <c r="K44" s="124"/>
    </row>
    <row r="45" spans="1:12">
      <c r="A45" s="148" t="s">
        <v>93</v>
      </c>
      <c r="D45" s="149">
        <f>D43-D44</f>
        <v>154.95099999999982</v>
      </c>
      <c r="E45" s="149">
        <f>E43-E44</f>
        <v>179.48999999999981</v>
      </c>
      <c r="F45" s="149">
        <f>F43-F44</f>
        <v>314.73399999999987</v>
      </c>
      <c r="G45" s="124"/>
      <c r="H45" s="149">
        <f>H41-H42</f>
        <v>123.88927407388697</v>
      </c>
      <c r="I45" s="149">
        <f>I41-I42</f>
        <v>167.79813102560632</v>
      </c>
      <c r="J45" s="149">
        <f>J41-J42</f>
        <v>235.08005657350952</v>
      </c>
      <c r="K45" s="149">
        <f>K41-K42</f>
        <v>298.57016988967985</v>
      </c>
      <c r="L45" s="149">
        <f>L41-L42</f>
        <v>357.65482704409851</v>
      </c>
    </row>
    <row r="46" spans="1:12" ht="17" thickBot="1"/>
    <row r="47" spans="1:12" s="272" customFormat="1" ht="19" thickBot="1">
      <c r="A47" s="271" t="s">
        <v>212</v>
      </c>
    </row>
    <row r="48" spans="1:12">
      <c r="A48" s="204"/>
      <c r="B48" s="205" t="s">
        <v>156</v>
      </c>
      <c r="C48" s="206"/>
      <c r="D48" s="207" t="s">
        <v>157</v>
      </c>
      <c r="E48" s="285" t="s">
        <v>165</v>
      </c>
      <c r="F48" s="285"/>
      <c r="G48" s="285"/>
      <c r="H48" s="285"/>
      <c r="I48" s="285"/>
    </row>
    <row r="49" spans="1:9">
      <c r="A49" s="208"/>
      <c r="B49" s="177">
        <v>2005</v>
      </c>
      <c r="C49" s="178">
        <v>2006</v>
      </c>
      <c r="D49" s="179">
        <v>2007</v>
      </c>
      <c r="E49" s="247">
        <v>2008</v>
      </c>
      <c r="F49" s="248">
        <v>2009</v>
      </c>
      <c r="G49" s="248">
        <v>2010</v>
      </c>
      <c r="H49" s="248">
        <v>2011</v>
      </c>
      <c r="I49" s="248">
        <v>2012</v>
      </c>
    </row>
    <row r="50" spans="1:9">
      <c r="A50" s="204" t="s">
        <v>166</v>
      </c>
      <c r="B50" s="209">
        <f>D30</f>
        <v>3030.7649999999999</v>
      </c>
      <c r="C50" s="209">
        <f>E30</f>
        <v>3473.1549999999997</v>
      </c>
      <c r="D50" s="209">
        <f>F30</f>
        <v>3946.2640000000001</v>
      </c>
      <c r="E50" s="210">
        <f>H30</f>
        <v>4509.1033302387332</v>
      </c>
      <c r="F50" s="210">
        <f t="shared" ref="F50:I50" si="11">I30</f>
        <v>5140.3777964721567</v>
      </c>
      <c r="G50" s="210">
        <f t="shared" si="11"/>
        <v>5782.9250210311757</v>
      </c>
      <c r="H50" s="210">
        <f t="shared" si="11"/>
        <v>6361.2175231342944</v>
      </c>
      <c r="I50" s="210">
        <f t="shared" si="11"/>
        <v>6806.5027497536958</v>
      </c>
    </row>
    <row r="51" spans="1:9">
      <c r="A51" s="204" t="s">
        <v>167</v>
      </c>
      <c r="B51" s="211">
        <f>D32</f>
        <v>511.93900000000002</v>
      </c>
      <c r="C51" s="211">
        <f t="shared" ref="C51:D51" si="12">E32</f>
        <v>568.90300000000002</v>
      </c>
      <c r="D51" s="211">
        <f t="shared" si="12"/>
        <v>640.22500000000002</v>
      </c>
      <c r="E51" s="212">
        <f>H32</f>
        <v>755.45556057295823</v>
      </c>
      <c r="F51" s="212">
        <f t="shared" ref="F51:I51" si="13">I32</f>
        <v>861.21933905317246</v>
      </c>
      <c r="G51" s="212">
        <f t="shared" si="13"/>
        <v>968.87175643481896</v>
      </c>
      <c r="H51" s="212">
        <f t="shared" si="13"/>
        <v>1065.7589320783011</v>
      </c>
      <c r="I51" s="212">
        <f t="shared" si="13"/>
        <v>1140.3620573237822</v>
      </c>
    </row>
    <row r="52" spans="1:9">
      <c r="A52" s="204"/>
      <c r="B52" s="213"/>
      <c r="C52" s="213"/>
      <c r="D52" s="213"/>
      <c r="E52" s="214"/>
      <c r="F52" s="213"/>
      <c r="G52" s="213"/>
      <c r="H52" s="213"/>
      <c r="I52" s="213"/>
    </row>
    <row r="53" spans="1:9">
      <c r="A53" s="215" t="s">
        <v>168</v>
      </c>
      <c r="B53" s="216"/>
      <c r="C53" s="216"/>
      <c r="D53" s="216"/>
      <c r="E53" s="217"/>
      <c r="F53" s="216"/>
      <c r="G53" s="216"/>
      <c r="H53" s="216"/>
      <c r="I53" s="216"/>
    </row>
    <row r="54" spans="1:9">
      <c r="A54" s="218" t="s">
        <v>96</v>
      </c>
      <c r="B54" s="219">
        <f>'Financials 2005-2007'!D31</f>
        <v>0</v>
      </c>
      <c r="C54" s="219">
        <f>'Financials 2005-2007'!E31</f>
        <v>249.03899999999999</v>
      </c>
      <c r="D54" s="219">
        <f>'Financials 2005-2007'!F31</f>
        <v>16.352</v>
      </c>
      <c r="E54" s="214">
        <f>D54</f>
        <v>16.352</v>
      </c>
      <c r="F54" s="214">
        <f t="shared" ref="F54:I54" si="14">E54</f>
        <v>16.352</v>
      </c>
      <c r="G54" s="214">
        <f t="shared" si="14"/>
        <v>16.352</v>
      </c>
      <c r="H54" s="214">
        <f t="shared" si="14"/>
        <v>16.352</v>
      </c>
      <c r="I54" s="214">
        <f t="shared" si="14"/>
        <v>16.352</v>
      </c>
    </row>
    <row r="55" spans="1:9">
      <c r="A55" s="218" t="s">
        <v>97</v>
      </c>
      <c r="B55" s="219">
        <f>'Financials 2005-2007'!D32</f>
        <v>362.35899999999998</v>
      </c>
      <c r="C55" s="219">
        <f>'Financials 2005-2007'!E32</f>
        <v>407.43799999999999</v>
      </c>
      <c r="D55" s="219">
        <f>'Financials 2005-2007'!F32</f>
        <v>435.49700000000001</v>
      </c>
      <c r="E55" s="214">
        <f>$H$30/$B$20*$B$14</f>
        <v>521.8951262775189</v>
      </c>
      <c r="F55" s="214">
        <f t="shared" ref="F55:I55" si="15">I30/C20*C14</f>
        <v>594.96044395637171</v>
      </c>
      <c r="G55" s="214">
        <f t="shared" si="15"/>
        <v>669.33049945091818</v>
      </c>
      <c r="H55" s="214">
        <f t="shared" si="15"/>
        <v>736.26354939601003</v>
      </c>
      <c r="I55" s="214">
        <f t="shared" si="15"/>
        <v>787.80199785373088</v>
      </c>
    </row>
    <row r="56" spans="1:9">
      <c r="A56" s="218" t="s">
        <v>169</v>
      </c>
      <c r="B56" s="219">
        <f>'Financials 2005-2007'!D33</f>
        <v>92.748000000000005</v>
      </c>
      <c r="C56" s="219">
        <f>'Financials 2005-2007'!E33</f>
        <v>117.18899999999999</v>
      </c>
      <c r="D56" s="219">
        <f>'Financials 2005-2007'!F33</f>
        <v>100.99</v>
      </c>
      <c r="E56" s="214">
        <f>$H$29/$B$20*$B$15</f>
        <v>134.96791749303367</v>
      </c>
      <c r="F56" s="214">
        <f t="shared" ref="F56:I56" si="16">I29/C20*C15</f>
        <v>153.86342594205837</v>
      </c>
      <c r="G56" s="214">
        <f t="shared" si="16"/>
        <v>173.09635418481568</v>
      </c>
      <c r="H56" s="214">
        <f t="shared" si="16"/>
        <v>190.40598960329726</v>
      </c>
      <c r="I56" s="214">
        <f t="shared" si="16"/>
        <v>203.73440887552812</v>
      </c>
    </row>
    <row r="57" spans="1:9">
      <c r="A57" s="218" t="s">
        <v>170</v>
      </c>
      <c r="B57" s="220">
        <f>'Financials 2005-2007'!D34</f>
        <v>32.067999999999998</v>
      </c>
      <c r="C57" s="220">
        <f>'Financials 2005-2007'!E34</f>
        <v>34.954999999999998</v>
      </c>
      <c r="D57" s="237">
        <f>'Financials 2005-2007'!F34</f>
        <v>41.588000000000001</v>
      </c>
      <c r="E57" s="217">
        <f>($H$31+$H$32+$H$33)*$B$16</f>
        <v>46.91482790871445</v>
      </c>
      <c r="F57" s="217">
        <f t="shared" ref="F57:I57" si="17">(I31+I32+I33)*C16</f>
        <v>53.482903815934471</v>
      </c>
      <c r="G57" s="217">
        <f t="shared" si="17"/>
        <v>60.168266792926282</v>
      </c>
      <c r="H57" s="217">
        <f t="shared" si="17"/>
        <v>66.185093472218909</v>
      </c>
      <c r="I57" s="217">
        <f t="shared" si="17"/>
        <v>70.818050015274252</v>
      </c>
    </row>
    <row r="58" spans="1:9">
      <c r="A58" s="208" t="s">
        <v>171</v>
      </c>
      <c r="B58" s="221">
        <f>SUM(B54:B57)</f>
        <v>487.17499999999995</v>
      </c>
      <c r="C58" s="221">
        <f>SUM(C54:C57)</f>
        <v>808.62099999999998</v>
      </c>
      <c r="D58" s="221">
        <f>SUM(D54:D57)</f>
        <v>594.42699999999991</v>
      </c>
      <c r="E58" s="222">
        <f>SUM(E54:E57)</f>
        <v>720.1298716792669</v>
      </c>
      <c r="F58" s="222">
        <f t="shared" ref="F58:I58" si="18">SUM(F54:F57)</f>
        <v>818.65877371436454</v>
      </c>
      <c r="G58" s="222">
        <f t="shared" si="18"/>
        <v>918.94712042866013</v>
      </c>
      <c r="H58" s="222">
        <f t="shared" si="18"/>
        <v>1009.2066324715262</v>
      </c>
      <c r="I58" s="222">
        <f t="shared" si="18"/>
        <v>1078.7064567445332</v>
      </c>
    </row>
    <row r="59" spans="1:9">
      <c r="A59" s="208"/>
      <c r="B59" s="223"/>
      <c r="C59" s="224"/>
      <c r="D59" s="225"/>
      <c r="E59" s="226"/>
      <c r="F59" s="225"/>
      <c r="G59" s="225"/>
      <c r="H59" s="225"/>
      <c r="I59" s="225"/>
    </row>
    <row r="60" spans="1:9">
      <c r="A60" s="215" t="s">
        <v>172</v>
      </c>
      <c r="B60" s="227"/>
      <c r="C60" s="227"/>
      <c r="D60" s="216"/>
      <c r="E60" s="217"/>
      <c r="F60" s="216"/>
      <c r="G60" s="216"/>
      <c r="H60" s="216"/>
      <c r="I60" s="216"/>
    </row>
    <row r="61" spans="1:9">
      <c r="A61" s="218" t="s">
        <v>113</v>
      </c>
      <c r="B61" s="219">
        <f>'Financials 2005-2007'!D50</f>
        <v>254.11600000000001</v>
      </c>
      <c r="C61" s="219">
        <f>'Financials 2005-2007'!E50</f>
        <v>254.87100000000001</v>
      </c>
      <c r="D61" s="219">
        <f>'Financials 2005-2007'!F50</f>
        <v>260.791</v>
      </c>
      <c r="E61" s="228">
        <f>(H31+H32+H33)/B20*B17</f>
        <v>335.42131922451631</v>
      </c>
      <c r="F61" s="228">
        <f t="shared" ref="F61:I61" si="19">(I31+I32+I33)/C20*C17</f>
        <v>382.38030391594862</v>
      </c>
      <c r="G61" s="228">
        <f t="shared" si="19"/>
        <v>430.17784190544216</v>
      </c>
      <c r="H61" s="228">
        <f t="shared" si="19"/>
        <v>473.19562609598648</v>
      </c>
      <c r="I61" s="228">
        <f t="shared" si="19"/>
        <v>506.31931992270557</v>
      </c>
    </row>
    <row r="62" spans="1:9">
      <c r="A62" s="218" t="s">
        <v>177</v>
      </c>
      <c r="B62" s="219">
        <f>'Financials 2005-2007'!D51</f>
        <v>111.407</v>
      </c>
      <c r="C62" s="219">
        <f>'Financials 2005-2007'!E51</f>
        <v>123.34399999999999</v>
      </c>
      <c r="D62" s="219">
        <f>'Financials 2005-2007'!F51</f>
        <v>143.44499999999999</v>
      </c>
      <c r="E62" s="228">
        <f>H28/B20*B18</f>
        <v>163.25424736171041</v>
      </c>
      <c r="F62" s="228">
        <f t="shared" ref="F62:I62" si="20">I28/C20*C18</f>
        <v>186.10984199234989</v>
      </c>
      <c r="G62" s="228">
        <f t="shared" si="20"/>
        <v>209.37357224139359</v>
      </c>
      <c r="H62" s="228">
        <f t="shared" si="20"/>
        <v>230.31092946553295</v>
      </c>
      <c r="I62" s="228">
        <f t="shared" si="20"/>
        <v>246.43269452812029</v>
      </c>
    </row>
    <row r="63" spans="1:9">
      <c r="A63" s="218" t="s">
        <v>115</v>
      </c>
      <c r="B63" s="219">
        <f>'Financials 2005-2007'!D52</f>
        <v>42.865000000000002</v>
      </c>
      <c r="C63" s="219">
        <f>'Financials 2005-2007'!E52</f>
        <v>47.841999999999999</v>
      </c>
      <c r="D63" s="219">
        <f>'Financials 2005-2007'!F52</f>
        <v>59.223999999999997</v>
      </c>
      <c r="E63" s="228">
        <f>(H31+H32+H33)/B20*B19</f>
        <v>64.609039874481979</v>
      </c>
      <c r="F63" s="228">
        <f>($I$31+$I$32+$I$33)/$C$20*$C$19</f>
        <v>73.654305456909455</v>
      </c>
      <c r="G63" s="228">
        <f>(J31+J32+J33)/D20*D19</f>
        <v>82.861093639023139</v>
      </c>
      <c r="H63" s="228">
        <f>(K31+K32+K33)/E20*E19</f>
        <v>91.147203002925465</v>
      </c>
      <c r="I63" s="228">
        <f>(L31+L32+L33)/F20*F19</f>
        <v>97.527507213130264</v>
      </c>
    </row>
    <row r="64" spans="1:9">
      <c r="A64" s="218" t="s">
        <v>116</v>
      </c>
      <c r="B64" s="219">
        <f>'Financials 2005-2007'!D53</f>
        <v>36.747999999999998</v>
      </c>
      <c r="C64" s="219">
        <f>'Financials 2005-2007'!E53</f>
        <v>26.913</v>
      </c>
      <c r="D64" s="219">
        <f>'Financials 2005-2007'!F53</f>
        <v>43.104999999999997</v>
      </c>
      <c r="E64" s="228">
        <f>D64</f>
        <v>43.104999999999997</v>
      </c>
      <c r="F64" s="228">
        <f t="shared" ref="F64:I64" si="21">E64</f>
        <v>43.104999999999997</v>
      </c>
      <c r="G64" s="228">
        <f t="shared" si="21"/>
        <v>43.104999999999997</v>
      </c>
      <c r="H64" s="228">
        <f t="shared" si="21"/>
        <v>43.104999999999997</v>
      </c>
      <c r="I64" s="228">
        <f t="shared" si="21"/>
        <v>43.104999999999997</v>
      </c>
    </row>
    <row r="65" spans="1:9">
      <c r="A65" s="218" t="s">
        <v>120</v>
      </c>
      <c r="B65" s="220">
        <f>'Financials 2005-2007'!D58</f>
        <v>82.584999999999994</v>
      </c>
      <c r="C65" s="220">
        <f>'Financials 2005-2007'!E58</f>
        <v>93.718000000000004</v>
      </c>
      <c r="D65" s="220">
        <f>'Financials 2005-2007'!F58</f>
        <v>97.677999999999997</v>
      </c>
      <c r="E65" s="217">
        <f>D65</f>
        <v>97.677999999999997</v>
      </c>
      <c r="F65" s="217">
        <f t="shared" ref="F65:I65" si="22">E65</f>
        <v>97.677999999999997</v>
      </c>
      <c r="G65" s="217">
        <f t="shared" si="22"/>
        <v>97.677999999999997</v>
      </c>
      <c r="H65" s="217">
        <f t="shared" si="22"/>
        <v>97.677999999999997</v>
      </c>
      <c r="I65" s="217">
        <f t="shared" si="22"/>
        <v>97.677999999999997</v>
      </c>
    </row>
    <row r="66" spans="1:9">
      <c r="A66" s="208" t="s">
        <v>173</v>
      </c>
      <c r="B66" s="221">
        <f t="shared" ref="B66:I66" si="23">SUM(B61:B65)</f>
        <v>527.721</v>
      </c>
      <c r="C66" s="221">
        <f t="shared" si="23"/>
        <v>546.68799999999999</v>
      </c>
      <c r="D66" s="221">
        <f t="shared" si="23"/>
        <v>604.24299999999994</v>
      </c>
      <c r="E66" s="222">
        <f>SUM(E61:E65)</f>
        <v>704.0676064607087</v>
      </c>
      <c r="F66" s="221">
        <f t="shared" si="23"/>
        <v>782.92745136520796</v>
      </c>
      <c r="G66" s="221">
        <f t="shared" si="23"/>
        <v>863.19550778585892</v>
      </c>
      <c r="H66" s="221">
        <f t="shared" si="23"/>
        <v>935.43675856444497</v>
      </c>
      <c r="I66" s="221">
        <f t="shared" si="23"/>
        <v>991.06252166395609</v>
      </c>
    </row>
    <row r="67" spans="1:9">
      <c r="A67" s="204"/>
      <c r="B67" s="229"/>
      <c r="C67" s="229"/>
      <c r="D67" s="230"/>
      <c r="E67" s="231"/>
      <c r="F67" s="230"/>
      <c r="G67" s="230"/>
      <c r="H67" s="230"/>
      <c r="I67" s="230"/>
    </row>
    <row r="68" spans="1:9">
      <c r="A68" s="208" t="s">
        <v>174</v>
      </c>
      <c r="B68" s="221">
        <f t="shared" ref="B68:I68" si="24">+B58-B66</f>
        <v>-40.546000000000049</v>
      </c>
      <c r="C68" s="221">
        <f t="shared" si="24"/>
        <v>261.93299999999999</v>
      </c>
      <c r="D68" s="221">
        <f t="shared" si="24"/>
        <v>-9.8160000000000309</v>
      </c>
      <c r="E68" s="222">
        <f>+E58-E66</f>
        <v>16.062265218558196</v>
      </c>
      <c r="F68" s="221">
        <f t="shared" si="24"/>
        <v>35.731322349156585</v>
      </c>
      <c r="G68" s="221">
        <f t="shared" si="24"/>
        <v>55.751612642801206</v>
      </c>
      <c r="H68" s="221">
        <f t="shared" si="24"/>
        <v>73.769873907081205</v>
      </c>
      <c r="I68" s="221">
        <f t="shared" si="24"/>
        <v>87.64393508057708</v>
      </c>
    </row>
    <row r="69" spans="1:9">
      <c r="A69" s="232" t="s">
        <v>175</v>
      </c>
      <c r="B69" s="233">
        <f t="shared" ref="B69:I69" si="25">+IF(ISERROR(B68/B50),0,B68/B50)</f>
        <v>-1.3378140502480413E-2</v>
      </c>
      <c r="C69" s="233">
        <f t="shared" si="25"/>
        <v>7.5416444126449877E-2</v>
      </c>
      <c r="D69" s="233">
        <f t="shared" si="25"/>
        <v>-2.487415945816101E-3</v>
      </c>
      <c r="E69" s="234">
        <f>+IF(ISERROR(E68/E50),0,E68/E50)</f>
        <v>3.5621861026874681E-3</v>
      </c>
      <c r="F69" s="233">
        <f t="shared" si="25"/>
        <v>6.9511082188704115E-3</v>
      </c>
      <c r="G69" s="233">
        <f t="shared" si="25"/>
        <v>9.6407289459997051E-3</v>
      </c>
      <c r="H69" s="233">
        <f t="shared" si="25"/>
        <v>1.1596816747548254E-2</v>
      </c>
      <c r="I69" s="233">
        <f t="shared" si="25"/>
        <v>1.2876500356037998E-2</v>
      </c>
    </row>
    <row r="70" spans="1:9">
      <c r="A70" s="204"/>
      <c r="B70" s="213"/>
      <c r="C70" s="213"/>
      <c r="D70" s="213"/>
      <c r="E70" s="214"/>
      <c r="F70" s="213"/>
      <c r="G70" s="213"/>
      <c r="H70" s="213"/>
      <c r="I70" s="213"/>
    </row>
    <row r="71" spans="1:9">
      <c r="A71" s="238" t="s">
        <v>176</v>
      </c>
      <c r="B71" s="239"/>
      <c r="C71" s="239">
        <f t="shared" ref="C71:I71" si="26">+B68-C68</f>
        <v>-302.47900000000004</v>
      </c>
      <c r="D71" s="239">
        <f t="shared" si="26"/>
        <v>271.74900000000002</v>
      </c>
      <c r="E71" s="240">
        <f>+D68-E68</f>
        <v>-25.878265218558226</v>
      </c>
      <c r="F71" s="239">
        <f t="shared" si="26"/>
        <v>-19.669057130598389</v>
      </c>
      <c r="G71" s="239">
        <f t="shared" si="26"/>
        <v>-20.020290293644621</v>
      </c>
      <c r="H71" s="239">
        <f t="shared" si="26"/>
        <v>-18.01826126428</v>
      </c>
      <c r="I71" s="239">
        <f t="shared" si="26"/>
        <v>-13.874061173495875</v>
      </c>
    </row>
    <row r="72" spans="1:9" ht="17" thickBot="1">
      <c r="A72" s="235"/>
      <c r="B72" s="236"/>
      <c r="C72" s="236"/>
      <c r="D72" s="236"/>
      <c r="E72" s="236"/>
      <c r="F72" s="236"/>
      <c r="G72" s="236"/>
      <c r="H72" s="236"/>
      <c r="I72" s="236"/>
    </row>
    <row r="73" spans="1:9" s="272" customFormat="1" ht="19" thickBot="1">
      <c r="A73" s="271" t="s">
        <v>211</v>
      </c>
    </row>
    <row r="74" spans="1:9">
      <c r="D74" s="180">
        <f>2008</f>
        <v>2008</v>
      </c>
      <c r="E74" s="180">
        <f>D74+1</f>
        <v>2009</v>
      </c>
      <c r="F74" s="180">
        <f>E74+1</f>
        <v>2010</v>
      </c>
      <c r="G74" s="180">
        <f>F74+1</f>
        <v>2011</v>
      </c>
      <c r="H74" s="181">
        <f>G74+1</f>
        <v>2012</v>
      </c>
    </row>
    <row r="75" spans="1:9">
      <c r="A75" s="241" t="s">
        <v>179</v>
      </c>
      <c r="D75" s="188">
        <f>H36*(1-B11)</f>
        <v>243.54664909284858</v>
      </c>
      <c r="E75" s="188">
        <f t="shared" ref="E75:H75" si="27">I36*(1-C11)</f>
        <v>277.64317996584811</v>
      </c>
      <c r="F75" s="188">
        <f t="shared" si="27"/>
        <v>334.55928711552571</v>
      </c>
      <c r="G75" s="188">
        <f t="shared" si="27"/>
        <v>387.09886839648158</v>
      </c>
      <c r="H75" s="188">
        <f t="shared" si="27"/>
        <v>434.6152974334961</v>
      </c>
    </row>
    <row r="76" spans="1:9">
      <c r="A76" s="241" t="s">
        <v>180</v>
      </c>
      <c r="D76" s="188">
        <f>H35</f>
        <v>705.22931974886671</v>
      </c>
      <c r="E76" s="188">
        <f t="shared" ref="E76:H76" si="28">I35</f>
        <v>803.96142451370815</v>
      </c>
      <c r="F76" s="188">
        <f t="shared" si="28"/>
        <v>867.43875315467631</v>
      </c>
      <c r="G76" s="188">
        <f t="shared" si="28"/>
        <v>922.37654085447264</v>
      </c>
      <c r="H76" s="188">
        <f t="shared" si="28"/>
        <v>952.91038496551755</v>
      </c>
    </row>
    <row r="77" spans="1:9">
      <c r="A77" s="241" t="s">
        <v>181</v>
      </c>
      <c r="D77" s="188">
        <f>-E71</f>
        <v>25.878265218558226</v>
      </c>
      <c r="E77" s="188">
        <f t="shared" ref="E77:H77" si="29">-F71</f>
        <v>19.669057130598389</v>
      </c>
      <c r="F77" s="188">
        <f t="shared" si="29"/>
        <v>20.020290293644621</v>
      </c>
      <c r="G77" s="188">
        <f t="shared" si="29"/>
        <v>18.01826126428</v>
      </c>
      <c r="H77" s="188">
        <f t="shared" si="29"/>
        <v>13.874061173495875</v>
      </c>
    </row>
    <row r="78" spans="1:9">
      <c r="A78" s="241" t="s">
        <v>182</v>
      </c>
      <c r="D78" s="189">
        <f>H30*B22</f>
        <v>631.27446623342269</v>
      </c>
      <c r="E78" s="189">
        <f t="shared" ref="E78:H78" si="30">I30*C22</f>
        <v>719.65289150610204</v>
      </c>
      <c r="F78" s="189">
        <f t="shared" si="30"/>
        <v>867.43875315467631</v>
      </c>
      <c r="G78" s="189">
        <f t="shared" si="30"/>
        <v>970.08567227797982</v>
      </c>
      <c r="H78" s="189">
        <f t="shared" si="30"/>
        <v>1055.0079262118229</v>
      </c>
    </row>
    <row r="79" spans="1:9">
      <c r="A79" s="242" t="s">
        <v>183</v>
      </c>
      <c r="D79" s="191">
        <f>D75+D76-D77-D78</f>
        <v>291.62323738973441</v>
      </c>
      <c r="E79" s="191">
        <f t="shared" ref="E79:H79" si="31">E75+E76-E77-E78</f>
        <v>342.28265584285566</v>
      </c>
      <c r="F79" s="191">
        <f t="shared" si="31"/>
        <v>314.53899682188103</v>
      </c>
      <c r="G79" s="191">
        <f t="shared" si="31"/>
        <v>321.37147570869445</v>
      </c>
      <c r="H79" s="191">
        <f t="shared" si="31"/>
        <v>318.64369501369492</v>
      </c>
    </row>
    <row r="80" spans="1:9">
      <c r="A80" s="243"/>
    </row>
    <row r="81" spans="1:13" ht="17" thickBot="1"/>
    <row r="82" spans="1:13" s="272" customFormat="1" ht="19" thickBot="1">
      <c r="A82" s="271" t="s">
        <v>210</v>
      </c>
    </row>
    <row r="83" spans="1:13">
      <c r="C83" s="180">
        <f>2008</f>
        <v>2008</v>
      </c>
      <c r="D83" s="180">
        <f>C83+1</f>
        <v>2009</v>
      </c>
      <c r="E83" s="180">
        <f>D83+1</f>
        <v>2010</v>
      </c>
      <c r="F83" s="180">
        <f>E83+1</f>
        <v>2011</v>
      </c>
      <c r="G83" s="181">
        <f>F83+1</f>
        <v>2012</v>
      </c>
    </row>
    <row r="84" spans="1:13">
      <c r="A84" s="244" t="s">
        <v>185</v>
      </c>
      <c r="C84" s="188">
        <f>H37</f>
        <v>199.42895836493602</v>
      </c>
      <c r="D84" s="188">
        <f t="shared" ref="D84:G84" si="32">I37</f>
        <v>183.07508156706967</v>
      </c>
      <c r="E84" s="188">
        <f t="shared" si="32"/>
        <v>165.79871757002698</v>
      </c>
      <c r="F84" s="188">
        <f t="shared" si="32"/>
        <v>147.54783084466953</v>
      </c>
      <c r="G84" s="188">
        <f t="shared" si="32"/>
        <v>128.26745064899586</v>
      </c>
      <c r="H84" s="188"/>
    </row>
    <row r="85" spans="1:13">
      <c r="A85" s="124" t="s">
        <v>43</v>
      </c>
      <c r="C85" s="245">
        <f>B11</f>
        <v>0.4</v>
      </c>
      <c r="D85" s="245">
        <f t="shared" ref="D85:G85" si="33">C11</f>
        <v>0.4</v>
      </c>
      <c r="E85" s="245">
        <f t="shared" si="33"/>
        <v>0.4</v>
      </c>
      <c r="F85" s="245">
        <f t="shared" si="33"/>
        <v>0.4</v>
      </c>
      <c r="G85" s="245">
        <f t="shared" si="33"/>
        <v>0.4</v>
      </c>
      <c r="H85" s="245"/>
    </row>
    <row r="86" spans="1:13">
      <c r="A86" s="123" t="s">
        <v>186</v>
      </c>
      <c r="C86" s="191">
        <f>C84*C85</f>
        <v>79.77158334597442</v>
      </c>
      <c r="D86" s="191">
        <f t="shared" ref="D86:G86" si="34">D84*D85</f>
        <v>73.230032626827878</v>
      </c>
      <c r="E86" s="191">
        <f t="shared" si="34"/>
        <v>66.319487028010798</v>
      </c>
      <c r="F86" s="191">
        <f t="shared" si="34"/>
        <v>59.019132337867816</v>
      </c>
      <c r="G86" s="191">
        <f t="shared" si="34"/>
        <v>51.306980259598348</v>
      </c>
    </row>
    <row r="89" spans="1:13" ht="17" thickBot="1"/>
    <row r="90" spans="1:13" s="272" customFormat="1" ht="19" thickBot="1">
      <c r="A90" s="271" t="s">
        <v>209</v>
      </c>
    </row>
    <row r="91" spans="1:13">
      <c r="D91" s="283" t="s">
        <v>156</v>
      </c>
      <c r="E91" s="283"/>
      <c r="F91" t="s">
        <v>157</v>
      </c>
      <c r="G91" s="198"/>
      <c r="H91" s="284" t="s">
        <v>158</v>
      </c>
      <c r="I91" s="284"/>
      <c r="J91" s="284"/>
      <c r="K91" s="284"/>
      <c r="L91" s="284"/>
    </row>
    <row r="92" spans="1:13">
      <c r="A92" s="184" t="s">
        <v>94</v>
      </c>
      <c r="B92" s="185"/>
      <c r="C92" s="185"/>
      <c r="D92" s="177">
        <v>2005</v>
      </c>
      <c r="E92" s="178">
        <f>D92+1</f>
        <v>2006</v>
      </c>
      <c r="F92" s="179">
        <f>E92+1</f>
        <v>2007</v>
      </c>
      <c r="G92" s="199"/>
      <c r="H92" s="180">
        <f>F92+1</f>
        <v>2008</v>
      </c>
      <c r="I92" s="180">
        <f>H92+1</f>
        <v>2009</v>
      </c>
      <c r="J92" s="180">
        <f>I92+1</f>
        <v>2010</v>
      </c>
      <c r="K92" s="180">
        <f>J92+1</f>
        <v>2011</v>
      </c>
      <c r="L92" s="181">
        <f>K92+1</f>
        <v>2012</v>
      </c>
    </row>
    <row r="93" spans="1:13">
      <c r="A93" s="185" t="s">
        <v>95</v>
      </c>
      <c r="B93" s="185"/>
      <c r="C93" s="185"/>
      <c r="D93" s="188">
        <v>29.003</v>
      </c>
      <c r="E93" s="188">
        <v>32.911999999999999</v>
      </c>
      <c r="F93" s="188">
        <v>204.53299999999999</v>
      </c>
      <c r="G93" s="200"/>
      <c r="H93" s="188">
        <f>IF(D142&gt;0,D142,0)</f>
        <v>86.576913796740826</v>
      </c>
      <c r="I93" s="188">
        <f t="shared" ref="I93" si="35">IF(E142&gt;0,E142,0)</f>
        <v>12.738695327456355</v>
      </c>
      <c r="J93" s="188">
        <f>IF(F142&gt;0,F142,0)</f>
        <v>0</v>
      </c>
      <c r="K93" s="188">
        <f>IF(G142&gt;0,G142,0)</f>
        <v>0</v>
      </c>
      <c r="L93" s="188">
        <f>IF(H142&gt;0,H142,0)</f>
        <v>0</v>
      </c>
      <c r="M93" s="188"/>
    </row>
    <row r="94" spans="1:13">
      <c r="A94" s="185" t="s">
        <v>96</v>
      </c>
      <c r="B94" s="185"/>
      <c r="C94" s="185"/>
      <c r="D94" s="188">
        <v>0</v>
      </c>
      <c r="E94" s="188">
        <v>249.03899999999999</v>
      </c>
      <c r="F94" s="188">
        <v>16.352</v>
      </c>
      <c r="G94" s="200"/>
      <c r="H94" s="188">
        <f>F94</f>
        <v>16.352</v>
      </c>
      <c r="I94" s="188">
        <f>H94</f>
        <v>16.352</v>
      </c>
      <c r="J94" s="188">
        <f>I94</f>
        <v>16.352</v>
      </c>
      <c r="K94" s="188">
        <f t="shared" ref="K94:L94" si="36">J94</f>
        <v>16.352</v>
      </c>
      <c r="L94" s="188">
        <f t="shared" si="36"/>
        <v>16.352</v>
      </c>
      <c r="M94" s="188"/>
    </row>
    <row r="95" spans="1:13">
      <c r="A95" s="185" t="s">
        <v>97</v>
      </c>
      <c r="B95" s="185"/>
      <c r="C95" s="185"/>
      <c r="D95" s="188">
        <v>362.35899999999998</v>
      </c>
      <c r="E95" s="188">
        <v>407.43799999999999</v>
      </c>
      <c r="F95" s="188">
        <v>435.49700000000001</v>
      </c>
      <c r="G95" s="200"/>
      <c r="H95" s="214">
        <f>H30/B20*B14</f>
        <v>521.8951262775189</v>
      </c>
      <c r="I95" s="214">
        <f t="shared" ref="I95:L95" si="37">I30/C20*C14</f>
        <v>594.96044395637171</v>
      </c>
      <c r="J95" s="214">
        <f t="shared" si="37"/>
        <v>669.33049945091818</v>
      </c>
      <c r="K95" s="214">
        <f t="shared" si="37"/>
        <v>736.26354939601003</v>
      </c>
      <c r="L95" s="214">
        <f t="shared" si="37"/>
        <v>787.80199785373088</v>
      </c>
      <c r="M95" s="188"/>
    </row>
    <row r="96" spans="1:13">
      <c r="A96" s="185" t="s">
        <v>98</v>
      </c>
      <c r="B96" s="185"/>
      <c r="C96" s="185"/>
      <c r="D96" s="188">
        <v>92.748000000000005</v>
      </c>
      <c r="E96" s="188">
        <v>117.18899999999999</v>
      </c>
      <c r="F96" s="188">
        <v>100.99</v>
      </c>
      <c r="G96" s="200"/>
      <c r="H96" s="214">
        <f>H29/B20*B15</f>
        <v>134.96791749303367</v>
      </c>
      <c r="I96" s="214">
        <f t="shared" ref="I96:L96" si="38">I29/C20*C15</f>
        <v>153.86342594205837</v>
      </c>
      <c r="J96" s="214">
        <f t="shared" si="38"/>
        <v>173.09635418481568</v>
      </c>
      <c r="K96" s="214">
        <f t="shared" si="38"/>
        <v>190.40598960329726</v>
      </c>
      <c r="L96" s="214">
        <f t="shared" si="38"/>
        <v>203.73440887552812</v>
      </c>
      <c r="M96" s="188"/>
    </row>
    <row r="97" spans="1:13">
      <c r="A97" s="185" t="s">
        <v>99</v>
      </c>
      <c r="B97" s="185"/>
      <c r="C97" s="185"/>
      <c r="D97" s="188">
        <v>32.067999999999998</v>
      </c>
      <c r="E97" s="188">
        <v>34.954999999999998</v>
      </c>
      <c r="F97" s="188">
        <v>41.588000000000001</v>
      </c>
      <c r="G97" s="200"/>
      <c r="H97" s="217">
        <f>(H31+H32+H33)*B16</f>
        <v>46.91482790871445</v>
      </c>
      <c r="I97" s="217">
        <f t="shared" ref="I97:L97" si="39">(I31+I32+I33)*C16</f>
        <v>53.482903815934471</v>
      </c>
      <c r="J97" s="217">
        <f t="shared" si="39"/>
        <v>60.168266792926282</v>
      </c>
      <c r="K97" s="217">
        <f t="shared" si="39"/>
        <v>66.185093472218909</v>
      </c>
      <c r="L97" s="217">
        <f t="shared" si="39"/>
        <v>70.818050015274252</v>
      </c>
      <c r="M97" s="188"/>
    </row>
    <row r="98" spans="1:13">
      <c r="A98" s="185" t="s">
        <v>100</v>
      </c>
      <c r="B98" s="185"/>
      <c r="C98" s="185"/>
      <c r="D98" s="188">
        <v>8.218</v>
      </c>
      <c r="E98" s="188">
        <v>0</v>
      </c>
      <c r="F98" s="188">
        <v>18.565999999999999</v>
      </c>
      <c r="G98" s="200"/>
      <c r="H98" s="188">
        <f>F98</f>
        <v>18.565999999999999</v>
      </c>
      <c r="I98" s="188">
        <f>H98</f>
        <v>18.565999999999999</v>
      </c>
      <c r="J98" s="188">
        <f>I98</f>
        <v>18.565999999999999</v>
      </c>
      <c r="K98" s="188">
        <f t="shared" ref="K98:L99" si="40">J98</f>
        <v>18.565999999999999</v>
      </c>
      <c r="L98" s="188">
        <f t="shared" si="40"/>
        <v>18.565999999999999</v>
      </c>
      <c r="M98" s="188"/>
    </row>
    <row r="99" spans="1:13">
      <c r="A99" s="185" t="s">
        <v>101</v>
      </c>
      <c r="B99" s="185"/>
      <c r="C99" s="185"/>
      <c r="D99" s="189">
        <v>15.489000000000001</v>
      </c>
      <c r="E99" s="189">
        <v>13.385</v>
      </c>
      <c r="F99" s="189">
        <v>16.227</v>
      </c>
      <c r="G99" s="201"/>
      <c r="H99" s="189">
        <f>F99</f>
        <v>16.227</v>
      </c>
      <c r="I99" s="189">
        <f>H99</f>
        <v>16.227</v>
      </c>
      <c r="J99" s="189">
        <f>I99</f>
        <v>16.227</v>
      </c>
      <c r="K99" s="189">
        <f t="shared" si="40"/>
        <v>16.227</v>
      </c>
      <c r="L99" s="189">
        <f t="shared" si="40"/>
        <v>16.227</v>
      </c>
      <c r="M99" s="189"/>
    </row>
    <row r="100" spans="1:13">
      <c r="A100" s="190" t="s">
        <v>102</v>
      </c>
      <c r="B100" s="185"/>
      <c r="C100" s="185"/>
      <c r="D100" s="191">
        <v>539.88499999999999</v>
      </c>
      <c r="E100" s="191">
        <v>854.91799999999989</v>
      </c>
      <c r="F100" s="191">
        <v>833.75300000000004</v>
      </c>
      <c r="G100" s="202"/>
      <c r="H100" s="191">
        <f>SUM(H93:H99)</f>
        <v>841.49978547600779</v>
      </c>
      <c r="I100" s="191">
        <f t="shared" ref="I100:L100" si="41">SUM(I93:I99)</f>
        <v>866.19046904182096</v>
      </c>
      <c r="J100" s="191">
        <f t="shared" si="41"/>
        <v>953.74012042866013</v>
      </c>
      <c r="K100" s="191">
        <f t="shared" si="41"/>
        <v>1043.9996324715262</v>
      </c>
      <c r="L100" s="191">
        <f t="shared" si="41"/>
        <v>1113.4994567445333</v>
      </c>
      <c r="M100" s="191"/>
    </row>
    <row r="101" spans="1:13">
      <c r="A101" s="185"/>
      <c r="B101" s="185"/>
      <c r="C101" s="185"/>
      <c r="D101" s="188"/>
      <c r="E101" s="188"/>
      <c r="F101" s="188"/>
      <c r="G101" s="200"/>
    </row>
    <row r="102" spans="1:13">
      <c r="A102" s="185" t="s">
        <v>103</v>
      </c>
      <c r="B102" s="185"/>
      <c r="C102" s="185"/>
      <c r="D102" s="188">
        <v>2553.029</v>
      </c>
      <c r="E102" s="188">
        <v>2628.848</v>
      </c>
      <c r="F102" s="188">
        <v>2595.096</v>
      </c>
      <c r="G102" s="200"/>
      <c r="H102" s="188">
        <f>D78+F102-H35</f>
        <v>2521.141146484556</v>
      </c>
      <c r="I102" s="188">
        <f>E78+H102-I35</f>
        <v>2436.83261347695</v>
      </c>
      <c r="J102" s="188">
        <f t="shared" ref="J102:L102" si="42">F78+I102-J35</f>
        <v>2436.83261347695</v>
      </c>
      <c r="K102" s="188">
        <f t="shared" si="42"/>
        <v>2484.5417449004572</v>
      </c>
      <c r="L102" s="188">
        <f t="shared" si="42"/>
        <v>2586.6392861467625</v>
      </c>
      <c r="M102" s="188"/>
    </row>
    <row r="103" spans="1:13">
      <c r="A103" s="185" t="s">
        <v>104</v>
      </c>
      <c r="B103" s="185"/>
      <c r="C103" s="185"/>
      <c r="D103" s="188">
        <v>1362.2629999999999</v>
      </c>
      <c r="E103" s="188">
        <v>1494.327</v>
      </c>
      <c r="F103" s="188">
        <v>1482.4459999999999</v>
      </c>
      <c r="G103" s="200"/>
      <c r="H103" s="188">
        <f t="shared" ref="H103:H109" si="43">F103</f>
        <v>1482.4459999999999</v>
      </c>
      <c r="I103" s="188">
        <f>H103</f>
        <v>1482.4459999999999</v>
      </c>
      <c r="J103" s="188">
        <f t="shared" ref="J103:L103" si="44">I103</f>
        <v>1482.4459999999999</v>
      </c>
      <c r="K103" s="188">
        <f t="shared" si="44"/>
        <v>1482.4459999999999</v>
      </c>
      <c r="L103" s="188">
        <f t="shared" si="44"/>
        <v>1482.4459999999999</v>
      </c>
      <c r="M103" s="188"/>
    </row>
    <row r="104" spans="1:13">
      <c r="A104" s="185" t="s">
        <v>105</v>
      </c>
      <c r="B104" s="185"/>
      <c r="C104" s="185"/>
      <c r="D104" s="188">
        <v>47.649000000000001</v>
      </c>
      <c r="E104" s="188">
        <v>26.196000000000002</v>
      </c>
      <c r="F104" s="188">
        <v>15.375</v>
      </c>
      <c r="G104" s="200"/>
      <c r="H104" s="188">
        <f t="shared" si="43"/>
        <v>15.375</v>
      </c>
      <c r="I104" s="188">
        <f>H104</f>
        <v>15.375</v>
      </c>
      <c r="J104" s="188">
        <f t="shared" ref="J104:L104" si="45">I104</f>
        <v>15.375</v>
      </c>
      <c r="K104" s="188">
        <f t="shared" si="45"/>
        <v>15.375</v>
      </c>
      <c r="L104" s="188">
        <f t="shared" si="45"/>
        <v>15.375</v>
      </c>
      <c r="M104" s="188"/>
    </row>
    <row r="105" spans="1:13">
      <c r="A105" s="185" t="s">
        <v>106</v>
      </c>
      <c r="B105" s="185"/>
      <c r="C105" s="185"/>
      <c r="D105" s="188">
        <v>225.387</v>
      </c>
      <c r="E105" s="188">
        <v>4.8730000000000002</v>
      </c>
      <c r="F105" s="188">
        <v>0</v>
      </c>
      <c r="G105" s="200"/>
      <c r="H105" s="188">
        <f t="shared" si="43"/>
        <v>0</v>
      </c>
      <c r="I105" s="188">
        <f>H105</f>
        <v>0</v>
      </c>
      <c r="J105" s="188">
        <f>I105</f>
        <v>0</v>
      </c>
      <c r="K105" s="188">
        <f t="shared" ref="K105:L106" si="46">J105</f>
        <v>0</v>
      </c>
      <c r="L105" s="188">
        <f>K105</f>
        <v>0</v>
      </c>
      <c r="M105" s="188"/>
    </row>
    <row r="106" spans="1:13">
      <c r="A106" s="185" t="s">
        <v>107</v>
      </c>
      <c r="B106" s="185"/>
      <c r="C106" s="185"/>
      <c r="D106" s="188">
        <v>172.09299999999999</v>
      </c>
      <c r="E106" s="188">
        <v>150.32499999999999</v>
      </c>
      <c r="F106" s="188">
        <v>157.69300000000001</v>
      </c>
      <c r="G106" s="200"/>
      <c r="H106" s="188">
        <f t="shared" si="43"/>
        <v>157.69300000000001</v>
      </c>
      <c r="I106" s="188">
        <f>H106</f>
        <v>157.69300000000001</v>
      </c>
      <c r="J106" s="188">
        <f>I106</f>
        <v>157.69300000000001</v>
      </c>
      <c r="K106" s="188">
        <f t="shared" si="46"/>
        <v>157.69300000000001</v>
      </c>
      <c r="L106" s="188">
        <f t="shared" si="46"/>
        <v>157.69300000000001</v>
      </c>
      <c r="M106" s="188"/>
    </row>
    <row r="107" spans="1:13">
      <c r="A107" s="185" t="s">
        <v>108</v>
      </c>
      <c r="B107" s="185"/>
      <c r="C107" s="185"/>
      <c r="D107" s="188">
        <v>4.7069999999999999</v>
      </c>
      <c r="E107" s="188">
        <v>4.5410000000000004</v>
      </c>
      <c r="F107" s="188">
        <v>4.4219999999999997</v>
      </c>
      <c r="G107" s="200"/>
      <c r="H107" s="188">
        <f t="shared" si="43"/>
        <v>4.4219999999999997</v>
      </c>
      <c r="I107" s="188">
        <f t="shared" ref="I107:L107" si="47">H107</f>
        <v>4.4219999999999997</v>
      </c>
      <c r="J107" s="188">
        <f>I107</f>
        <v>4.4219999999999997</v>
      </c>
      <c r="K107" s="188">
        <f t="shared" si="47"/>
        <v>4.4219999999999997</v>
      </c>
      <c r="L107" s="188">
        <f t="shared" si="47"/>
        <v>4.4219999999999997</v>
      </c>
      <c r="M107" s="188"/>
    </row>
    <row r="108" spans="1:13">
      <c r="A108" s="185" t="s">
        <v>109</v>
      </c>
      <c r="B108" s="185"/>
      <c r="C108" s="185"/>
      <c r="D108" s="188">
        <v>481.23500000000001</v>
      </c>
      <c r="E108" s="188">
        <v>485.452</v>
      </c>
      <c r="F108" s="188">
        <v>491.31599999999997</v>
      </c>
      <c r="G108" s="200"/>
      <c r="H108" s="188">
        <f t="shared" si="43"/>
        <v>491.31599999999997</v>
      </c>
      <c r="I108" s="188">
        <f t="shared" ref="I108:L109" si="48">H108</f>
        <v>491.31599999999997</v>
      </c>
      <c r="J108" s="188">
        <f>I108</f>
        <v>491.31599999999997</v>
      </c>
      <c r="K108" s="188">
        <f t="shared" si="48"/>
        <v>491.31599999999997</v>
      </c>
      <c r="L108" s="188">
        <f t="shared" si="48"/>
        <v>491.31599999999997</v>
      </c>
      <c r="M108" s="188"/>
    </row>
    <row r="109" spans="1:13">
      <c r="A109" s="185" t="s">
        <v>110</v>
      </c>
      <c r="B109" s="185"/>
      <c r="C109" s="185"/>
      <c r="D109" s="189">
        <v>29.984999999999999</v>
      </c>
      <c r="E109" s="189">
        <v>31.135999999999999</v>
      </c>
      <c r="F109" s="189">
        <v>31.773</v>
      </c>
      <c r="G109" s="201"/>
      <c r="H109" s="189">
        <f t="shared" si="43"/>
        <v>31.773</v>
      </c>
      <c r="I109" s="189">
        <f t="shared" si="48"/>
        <v>31.773</v>
      </c>
      <c r="J109" s="189">
        <f>I109</f>
        <v>31.773</v>
      </c>
      <c r="K109" s="189">
        <f t="shared" si="48"/>
        <v>31.773</v>
      </c>
      <c r="L109" s="189">
        <f t="shared" si="48"/>
        <v>31.773</v>
      </c>
      <c r="M109" s="189"/>
    </row>
    <row r="110" spans="1:13">
      <c r="A110" s="190" t="s">
        <v>111</v>
      </c>
      <c r="B110" s="185"/>
      <c r="C110" s="185"/>
      <c r="D110" s="191">
        <v>5416.2329999999993</v>
      </c>
      <c r="E110" s="191">
        <v>5680.616</v>
      </c>
      <c r="F110" s="191">
        <v>5611.8739999999989</v>
      </c>
      <c r="G110" s="202"/>
      <c r="H110" s="191">
        <f>H100+SUM(H102:H109)</f>
        <v>5545.6659319605633</v>
      </c>
      <c r="I110" s="191">
        <f t="shared" ref="I110:L110" si="49">I100+SUM(I102:I109)</f>
        <v>5486.0480825187715</v>
      </c>
      <c r="J110" s="191">
        <f t="shared" si="49"/>
        <v>5573.5977339056099</v>
      </c>
      <c r="K110" s="191">
        <f t="shared" si="49"/>
        <v>5711.5663773719825</v>
      </c>
      <c r="L110" s="191">
        <f t="shared" si="49"/>
        <v>5883.1637428912945</v>
      </c>
      <c r="M110" s="191"/>
    </row>
    <row r="111" spans="1:13">
      <c r="A111" s="185"/>
      <c r="B111" s="185"/>
      <c r="C111" s="185"/>
      <c r="D111" s="188"/>
      <c r="E111" s="188"/>
      <c r="F111" s="188"/>
      <c r="G111" s="200"/>
    </row>
    <row r="112" spans="1:13">
      <c r="A112" s="184" t="s">
        <v>112</v>
      </c>
      <c r="B112" s="185"/>
      <c r="C112" s="185"/>
      <c r="D112" s="186">
        <v>2005</v>
      </c>
      <c r="E112" s="187">
        <f t="shared" ref="E112:F112" si="50">D112+1</f>
        <v>2006</v>
      </c>
      <c r="F112" s="192">
        <f t="shared" si="50"/>
        <v>2007</v>
      </c>
      <c r="G112" s="203"/>
      <c r="H112" s="180">
        <f>F112+1</f>
        <v>2008</v>
      </c>
      <c r="I112" s="180">
        <f>H112+1</f>
        <v>2009</v>
      </c>
      <c r="J112" s="180">
        <f>I112+1</f>
        <v>2010</v>
      </c>
      <c r="K112" s="180">
        <f>J112+1</f>
        <v>2011</v>
      </c>
      <c r="L112" s="181">
        <f>K112+1</f>
        <v>2012</v>
      </c>
    </row>
    <row r="113" spans="1:13">
      <c r="A113" s="185" t="s">
        <v>113</v>
      </c>
      <c r="B113" s="185"/>
      <c r="C113" s="185"/>
      <c r="D113" s="188">
        <v>254.11600000000001</v>
      </c>
      <c r="E113" s="188">
        <v>254.87100000000001</v>
      </c>
      <c r="F113" s="188">
        <v>260.791</v>
      </c>
      <c r="G113" s="200"/>
      <c r="H113" s="228">
        <f>(H31+H32+H33)/B20*B17</f>
        <v>335.42131922451631</v>
      </c>
      <c r="I113" s="228">
        <f t="shared" ref="I113:L113" si="51">(I31+I32+I33)/C20*C17</f>
        <v>382.38030391594862</v>
      </c>
      <c r="J113" s="228">
        <f t="shared" si="51"/>
        <v>430.17784190544216</v>
      </c>
      <c r="K113" s="228">
        <f t="shared" si="51"/>
        <v>473.19562609598648</v>
      </c>
      <c r="L113" s="228">
        <f t="shared" si="51"/>
        <v>506.31931992270557</v>
      </c>
      <c r="M113" s="188"/>
    </row>
    <row r="114" spans="1:13">
      <c r="A114" s="185" t="s">
        <v>114</v>
      </c>
      <c r="B114" s="185"/>
      <c r="C114" s="185"/>
      <c r="D114" s="188">
        <v>111.407</v>
      </c>
      <c r="E114" s="188">
        <v>123.34399999999999</v>
      </c>
      <c r="F114" s="188">
        <v>143.44499999999999</v>
      </c>
      <c r="G114" s="200"/>
      <c r="H114" s="228">
        <f>H28/B20*B18</f>
        <v>163.25424736171041</v>
      </c>
      <c r="I114" s="228">
        <f t="shared" ref="I114:L114" si="52">I28/C20*C18</f>
        <v>186.10984199234989</v>
      </c>
      <c r="J114" s="228">
        <f t="shared" si="52"/>
        <v>209.37357224139359</v>
      </c>
      <c r="K114" s="228">
        <f t="shared" si="52"/>
        <v>230.31092946553295</v>
      </c>
      <c r="L114" s="228">
        <f t="shared" si="52"/>
        <v>246.43269452812029</v>
      </c>
      <c r="M114" s="188"/>
    </row>
    <row r="115" spans="1:13">
      <c r="A115" s="185" t="s">
        <v>115</v>
      </c>
      <c r="B115" s="185"/>
      <c r="C115" s="185"/>
      <c r="D115" s="188">
        <v>42.865000000000002</v>
      </c>
      <c r="E115" s="188">
        <v>47.841999999999999</v>
      </c>
      <c r="F115" s="188">
        <v>59.223999999999997</v>
      </c>
      <c r="G115" s="200"/>
      <c r="H115" s="228">
        <f>(H31+H32+H33)/B20*B19</f>
        <v>64.609039874481979</v>
      </c>
      <c r="I115" s="228">
        <f t="shared" ref="I115:L115" si="53">(I31+I32+I33)/C20*C19</f>
        <v>73.654305456909455</v>
      </c>
      <c r="J115" s="228">
        <f t="shared" si="53"/>
        <v>82.861093639023139</v>
      </c>
      <c r="K115" s="228">
        <f t="shared" si="53"/>
        <v>91.147203002925465</v>
      </c>
      <c r="L115" s="228">
        <f t="shared" si="53"/>
        <v>97.527507213130264</v>
      </c>
      <c r="M115" s="188"/>
    </row>
    <row r="116" spans="1:13">
      <c r="A116" s="185" t="s">
        <v>116</v>
      </c>
      <c r="B116" s="185"/>
      <c r="C116" s="185"/>
      <c r="D116" s="188">
        <v>36.747999999999998</v>
      </c>
      <c r="E116" s="188">
        <v>26.913</v>
      </c>
      <c r="F116" s="188">
        <v>43.104999999999997</v>
      </c>
      <c r="G116" s="200"/>
      <c r="H116" s="188">
        <f t="shared" ref="H116:H121" si="54">F116</f>
        <v>43.104999999999997</v>
      </c>
      <c r="I116" s="188">
        <f>H116</f>
        <v>43.104999999999997</v>
      </c>
      <c r="J116" s="188">
        <f>I116</f>
        <v>43.104999999999997</v>
      </c>
      <c r="K116" s="188">
        <f t="shared" ref="K116:L121" si="55">J116</f>
        <v>43.104999999999997</v>
      </c>
      <c r="L116" s="188">
        <f t="shared" si="55"/>
        <v>43.104999999999997</v>
      </c>
      <c r="M116" s="188"/>
    </row>
    <row r="117" spans="1:13">
      <c r="A117" s="185" t="s">
        <v>100</v>
      </c>
      <c r="B117" s="185"/>
      <c r="C117" s="185"/>
      <c r="D117" s="188">
        <v>0</v>
      </c>
      <c r="E117" s="188">
        <v>26.326000000000001</v>
      </c>
      <c r="F117" s="188">
        <v>0</v>
      </c>
      <c r="G117" s="200"/>
      <c r="H117" s="188">
        <f t="shared" si="54"/>
        <v>0</v>
      </c>
      <c r="I117" s="188">
        <f>H117</f>
        <v>0</v>
      </c>
      <c r="J117" s="188">
        <f>I117</f>
        <v>0</v>
      </c>
      <c r="K117" s="188">
        <f t="shared" si="55"/>
        <v>0</v>
      </c>
      <c r="L117" s="188">
        <f t="shared" si="55"/>
        <v>0</v>
      </c>
      <c r="M117" s="188"/>
    </row>
    <row r="118" spans="1:13">
      <c r="A118" s="185" t="s">
        <v>117</v>
      </c>
      <c r="B118" s="185"/>
      <c r="C118" s="185"/>
      <c r="D118" s="188">
        <v>135</v>
      </c>
      <c r="E118" s="188">
        <v>35</v>
      </c>
      <c r="F118" s="188">
        <v>0</v>
      </c>
      <c r="G118" s="200"/>
      <c r="H118" s="188">
        <f t="shared" si="54"/>
        <v>0</v>
      </c>
      <c r="I118" s="188">
        <f t="shared" ref="I118:I121" si="56">H118</f>
        <v>0</v>
      </c>
      <c r="J118" s="188">
        <f>I118</f>
        <v>0</v>
      </c>
      <c r="K118" s="188">
        <f t="shared" si="55"/>
        <v>0</v>
      </c>
      <c r="L118" s="188">
        <f t="shared" si="55"/>
        <v>0</v>
      </c>
      <c r="M118" s="188"/>
    </row>
    <row r="119" spans="1:13">
      <c r="A119" s="185" t="s">
        <v>118</v>
      </c>
      <c r="B119" s="185"/>
      <c r="C119" s="185"/>
      <c r="D119" s="188">
        <v>0</v>
      </c>
      <c r="E119" s="188">
        <v>159.85599999999999</v>
      </c>
      <c r="F119" s="188">
        <v>0</v>
      </c>
      <c r="G119" s="200"/>
      <c r="H119" s="188">
        <f t="shared" si="54"/>
        <v>0</v>
      </c>
      <c r="I119" s="188">
        <f t="shared" si="56"/>
        <v>0</v>
      </c>
      <c r="J119" s="188">
        <f>I119</f>
        <v>0</v>
      </c>
      <c r="K119" s="188">
        <f t="shared" si="55"/>
        <v>0</v>
      </c>
      <c r="L119" s="188">
        <f t="shared" si="55"/>
        <v>0</v>
      </c>
      <c r="M119" s="188"/>
    </row>
    <row r="120" spans="1:13">
      <c r="A120" s="185" t="s">
        <v>119</v>
      </c>
      <c r="B120" s="185"/>
      <c r="C120" s="185"/>
      <c r="D120" s="188">
        <v>0</v>
      </c>
      <c r="E120" s="188">
        <v>88.84</v>
      </c>
      <c r="F120" s="188">
        <v>0</v>
      </c>
      <c r="G120" s="200"/>
      <c r="H120" s="188">
        <f t="shared" si="54"/>
        <v>0</v>
      </c>
      <c r="I120" s="188">
        <f t="shared" si="56"/>
        <v>0</v>
      </c>
      <c r="J120" s="188">
        <f>I120</f>
        <v>0</v>
      </c>
      <c r="K120" s="188">
        <f t="shared" si="55"/>
        <v>0</v>
      </c>
      <c r="L120" s="188">
        <f t="shared" si="55"/>
        <v>0</v>
      </c>
      <c r="M120" s="188"/>
    </row>
    <row r="121" spans="1:13">
      <c r="A121" s="185" t="s">
        <v>120</v>
      </c>
      <c r="B121" s="185"/>
      <c r="C121" s="185"/>
      <c r="D121" s="189">
        <v>82.584999999999994</v>
      </c>
      <c r="E121" s="189">
        <v>93.718000000000004</v>
      </c>
      <c r="F121" s="189">
        <v>97.677999999999997</v>
      </c>
      <c r="G121" s="201"/>
      <c r="H121" s="189">
        <f t="shared" si="54"/>
        <v>97.677999999999997</v>
      </c>
      <c r="I121" s="189">
        <f t="shared" si="56"/>
        <v>97.677999999999997</v>
      </c>
      <c r="J121" s="189">
        <f>I121</f>
        <v>97.677999999999997</v>
      </c>
      <c r="K121" s="189">
        <f t="shared" si="55"/>
        <v>97.677999999999997</v>
      </c>
      <c r="L121" s="189">
        <f t="shared" si="55"/>
        <v>97.677999999999997</v>
      </c>
      <c r="M121" s="189"/>
    </row>
    <row r="122" spans="1:13">
      <c r="A122" s="190" t="s">
        <v>121</v>
      </c>
      <c r="B122" s="185"/>
      <c r="C122" s="185"/>
      <c r="D122" s="191">
        <v>662.721</v>
      </c>
      <c r="E122" s="191">
        <v>856.71</v>
      </c>
      <c r="F122" s="191">
        <v>604.24299999999994</v>
      </c>
      <c r="G122" s="202"/>
      <c r="H122" s="191">
        <f>SUM(H113:H121)</f>
        <v>704.0676064607087</v>
      </c>
      <c r="I122" s="191">
        <f t="shared" ref="I122:K122" si="57">SUM(I113:I121)</f>
        <v>782.92745136520796</v>
      </c>
      <c r="J122" s="191">
        <f t="shared" si="57"/>
        <v>863.19550778585892</v>
      </c>
      <c r="K122" s="191">
        <f t="shared" si="57"/>
        <v>935.43675856444497</v>
      </c>
      <c r="L122" s="191">
        <f>SUM(L113:L121)</f>
        <v>991.06252166395609</v>
      </c>
      <c r="M122" s="191"/>
    </row>
    <row r="123" spans="1:13">
      <c r="A123" s="185"/>
      <c r="B123" s="185"/>
      <c r="C123" s="185"/>
      <c r="D123" s="188"/>
      <c r="E123" s="188"/>
      <c r="F123" s="188"/>
      <c r="G123" s="200"/>
    </row>
    <row r="124" spans="1:13">
      <c r="A124" s="185" t="s">
        <v>122</v>
      </c>
      <c r="B124" s="185"/>
      <c r="C124" s="185"/>
      <c r="D124" s="188">
        <v>1001.385</v>
      </c>
      <c r="E124" s="188">
        <v>1001.8390000000001</v>
      </c>
      <c r="F124" s="188">
        <v>1002.293</v>
      </c>
      <c r="G124" s="200"/>
      <c r="H124" s="188">
        <f>'Loan Amortization'!F20</f>
        <v>3467.6235059714181</v>
      </c>
      <c r="I124" s="188">
        <f>'Loan Amortization'!F32</f>
        <v>3161.3476805995197</v>
      </c>
      <c r="J124" s="188">
        <f>'Loan Amortization'!F44</f>
        <v>2837.795491230579</v>
      </c>
      <c r="K124" s="188">
        <f>'Loan Amortization'!F56</f>
        <v>2495.9924151362811</v>
      </c>
      <c r="L124" s="193">
        <f>H142</f>
        <v>-2459.0232171660091</v>
      </c>
      <c r="M124" s="194"/>
    </row>
    <row r="125" spans="1:13">
      <c r="A125" s="185" t="s">
        <v>123</v>
      </c>
      <c r="B125" s="185"/>
      <c r="C125" s="185"/>
      <c r="D125" s="188">
        <v>159.85599999999999</v>
      </c>
      <c r="E125" s="188">
        <v>0</v>
      </c>
      <c r="F125" s="188">
        <v>0</v>
      </c>
      <c r="G125" s="200"/>
      <c r="H125" s="188">
        <f>F125</f>
        <v>0</v>
      </c>
      <c r="I125" s="188">
        <f t="shared" ref="I125:L129" si="58">H125</f>
        <v>0</v>
      </c>
      <c r="J125" s="188">
        <f>I125</f>
        <v>0</v>
      </c>
      <c r="K125" s="188">
        <f t="shared" si="58"/>
        <v>0</v>
      </c>
      <c r="L125" s="188">
        <f t="shared" si="58"/>
        <v>0</v>
      </c>
    </row>
    <row r="126" spans="1:13">
      <c r="A126" s="185" t="s">
        <v>119</v>
      </c>
      <c r="B126" s="185"/>
      <c r="C126" s="185"/>
      <c r="D126" s="188">
        <v>25.818000000000001</v>
      </c>
      <c r="E126" s="188">
        <v>0</v>
      </c>
      <c r="F126" s="188">
        <v>0</v>
      </c>
      <c r="G126" s="200"/>
      <c r="H126" s="188">
        <f>F126</f>
        <v>0</v>
      </c>
      <c r="I126" s="188">
        <f t="shared" si="58"/>
        <v>0</v>
      </c>
      <c r="J126" s="188">
        <f>I126</f>
        <v>0</v>
      </c>
      <c r="K126" s="188">
        <f t="shared" si="58"/>
        <v>0</v>
      </c>
      <c r="L126" s="188">
        <f t="shared" si="58"/>
        <v>0</v>
      </c>
    </row>
    <row r="127" spans="1:13">
      <c r="A127" s="185" t="s">
        <v>124</v>
      </c>
      <c r="B127" s="185"/>
      <c r="C127" s="185"/>
      <c r="D127" s="188">
        <v>647.08600000000001</v>
      </c>
      <c r="E127" s="188">
        <v>601.53499999999997</v>
      </c>
      <c r="F127" s="188">
        <v>554.41200000000003</v>
      </c>
      <c r="G127" s="200"/>
      <c r="H127" s="188">
        <f>F127</f>
        <v>554.41200000000003</v>
      </c>
      <c r="I127" s="188">
        <f t="shared" si="58"/>
        <v>554.41200000000003</v>
      </c>
      <c r="J127" s="188">
        <f>I127</f>
        <v>554.41200000000003</v>
      </c>
      <c r="K127" s="188">
        <f t="shared" si="58"/>
        <v>554.41200000000003</v>
      </c>
      <c r="L127" s="188">
        <f t="shared" si="58"/>
        <v>554.41200000000003</v>
      </c>
    </row>
    <row r="128" spans="1:13">
      <c r="A128" s="185" t="s">
        <v>125</v>
      </c>
      <c r="B128" s="185"/>
      <c r="C128" s="185"/>
      <c r="D128" s="188">
        <v>90.224000000000004</v>
      </c>
      <c r="E128" s="188">
        <v>127.639</v>
      </c>
      <c r="F128" s="188">
        <v>126.84399999999999</v>
      </c>
      <c r="G128" s="200"/>
      <c r="H128" s="188">
        <f>F128</f>
        <v>126.84399999999999</v>
      </c>
      <c r="I128" s="188">
        <f t="shared" si="58"/>
        <v>126.84399999999999</v>
      </c>
      <c r="J128" s="188">
        <f>I128</f>
        <v>126.84399999999999</v>
      </c>
      <c r="K128" s="188">
        <f t="shared" si="58"/>
        <v>126.84399999999999</v>
      </c>
      <c r="L128" s="188">
        <f t="shared" si="58"/>
        <v>126.84399999999999</v>
      </c>
    </row>
    <row r="129" spans="1:13">
      <c r="A129" s="185" t="s">
        <v>126</v>
      </c>
      <c r="B129" s="185"/>
      <c r="C129" s="185"/>
      <c r="D129" s="188">
        <v>46.234000000000002</v>
      </c>
      <c r="E129" s="188">
        <v>62.914000000000001</v>
      </c>
      <c r="F129" s="188">
        <v>84.53</v>
      </c>
      <c r="G129" s="200"/>
      <c r="H129" s="188">
        <f>F129</f>
        <v>84.53</v>
      </c>
      <c r="I129" s="188">
        <f t="shared" si="58"/>
        <v>84.53</v>
      </c>
      <c r="J129" s="188">
        <f>I129</f>
        <v>84.53</v>
      </c>
      <c r="K129" s="188">
        <f t="shared" si="58"/>
        <v>84.53</v>
      </c>
      <c r="L129" s="188">
        <f t="shared" si="58"/>
        <v>84.53</v>
      </c>
    </row>
    <row r="130" spans="1:13">
      <c r="A130" s="185"/>
      <c r="B130" s="185"/>
      <c r="C130" s="185"/>
      <c r="D130" s="188"/>
      <c r="E130" s="188"/>
      <c r="F130" s="188"/>
      <c r="G130" s="200"/>
    </row>
    <row r="131" spans="1:13">
      <c r="A131" s="185" t="s">
        <v>127</v>
      </c>
      <c r="B131" s="185"/>
      <c r="C131" s="185"/>
      <c r="D131" s="188">
        <v>41.871000000000002</v>
      </c>
      <c r="E131" s="188">
        <v>36.700000000000003</v>
      </c>
      <c r="F131" s="188">
        <v>43.396000000000001</v>
      </c>
      <c r="G131" s="200"/>
      <c r="H131" s="188">
        <f>F131</f>
        <v>43.396000000000001</v>
      </c>
      <c r="I131" s="188">
        <f>H131</f>
        <v>43.396000000000001</v>
      </c>
      <c r="J131" s="188">
        <f>I131</f>
        <v>43.396000000000001</v>
      </c>
      <c r="K131" s="188">
        <f t="shared" ref="K131:L131" si="59">J131</f>
        <v>43.396000000000001</v>
      </c>
      <c r="L131" s="188">
        <f t="shared" si="59"/>
        <v>43.396000000000001</v>
      </c>
      <c r="M131" s="188"/>
    </row>
    <row r="132" spans="1:13">
      <c r="A132" s="185"/>
      <c r="B132" s="185"/>
      <c r="C132" s="185"/>
      <c r="D132" s="188"/>
      <c r="E132" s="188"/>
      <c r="F132" s="188"/>
      <c r="G132" s="188"/>
    </row>
    <row r="133" spans="1:13">
      <c r="A133" s="190" t="s">
        <v>159</v>
      </c>
      <c r="B133" s="185"/>
      <c r="C133" s="185"/>
      <c r="D133" s="195">
        <f>D134-D122-SUM(D124:D129,D131)</f>
        <v>2741.0380000000005</v>
      </c>
      <c r="E133" s="195">
        <f t="shared" ref="E133:L133" si="60">E134-E122-SUM(E124:E129,E131)</f>
        <v>2993.279</v>
      </c>
      <c r="F133" s="195">
        <f t="shared" si="60"/>
        <v>3196.1559999999995</v>
      </c>
      <c r="G133" s="195"/>
      <c r="H133" s="195">
        <f t="shared" si="60"/>
        <v>564.79281952843667</v>
      </c>
      <c r="I133" s="195">
        <f t="shared" si="60"/>
        <v>732.59095055404305</v>
      </c>
      <c r="J133" s="195">
        <f t="shared" si="60"/>
        <v>1063.4247348891713</v>
      </c>
      <c r="K133" s="195">
        <f t="shared" si="60"/>
        <v>1470.9552036712557</v>
      </c>
      <c r="L133" s="195">
        <f t="shared" si="60"/>
        <v>6541.9424383933474</v>
      </c>
    </row>
    <row r="134" spans="1:13">
      <c r="A134" s="190" t="s">
        <v>130</v>
      </c>
      <c r="B134" s="185"/>
      <c r="C134" s="185"/>
      <c r="D134" s="191">
        <v>5416.2330000000002</v>
      </c>
      <c r="E134" s="191">
        <v>5680.616</v>
      </c>
      <c r="F134" s="191">
        <v>5611.8739999999998</v>
      </c>
      <c r="G134" s="191"/>
      <c r="H134" s="191">
        <f>H110</f>
        <v>5545.6659319605633</v>
      </c>
      <c r="I134" s="191">
        <f>I110</f>
        <v>5486.0480825187715</v>
      </c>
      <c r="J134" s="191">
        <f>J110</f>
        <v>5573.5977339056099</v>
      </c>
      <c r="K134" s="191">
        <f>K110</f>
        <v>5711.5663773719825</v>
      </c>
      <c r="L134" s="191">
        <f>L110</f>
        <v>5883.1637428912945</v>
      </c>
    </row>
    <row r="135" spans="1:13" ht="17" thickBot="1"/>
    <row r="136" spans="1:13" s="272" customFormat="1" ht="19" thickBot="1">
      <c r="A136" s="271" t="s">
        <v>213</v>
      </c>
    </row>
    <row r="137" spans="1:13">
      <c r="D137" s="180">
        <v>2008</v>
      </c>
      <c r="E137" s="180">
        <v>2009</v>
      </c>
      <c r="F137" s="180">
        <v>2010</v>
      </c>
      <c r="G137" s="180">
        <v>2011</v>
      </c>
      <c r="H137" s="181">
        <v>2012</v>
      </c>
    </row>
    <row r="138" spans="1:13">
      <c r="A138" s="142" t="s">
        <v>160</v>
      </c>
      <c r="D138" s="188">
        <f>F93</f>
        <v>204.53299999999999</v>
      </c>
      <c r="E138" s="188">
        <f>D142</f>
        <v>86.576913796740826</v>
      </c>
      <c r="F138" s="188">
        <f>E142</f>
        <v>12.738695327456355</v>
      </c>
      <c r="G138" s="196">
        <f>F142</f>
        <v>-95.753727761619814</v>
      </c>
      <c r="H138" s="196">
        <f>G142</f>
        <v>-204.71402665402559</v>
      </c>
    </row>
    <row r="139" spans="1:13">
      <c r="A139" s="142" t="s">
        <v>161</v>
      </c>
      <c r="D139" s="188">
        <f>D79</f>
        <v>291.62323738973441</v>
      </c>
      <c r="E139" s="188">
        <f t="shared" ref="E139:H139" si="61">E79</f>
        <v>342.28265584285566</v>
      </c>
      <c r="F139" s="188">
        <f t="shared" si="61"/>
        <v>314.53899682188103</v>
      </c>
      <c r="G139" s="188">
        <f t="shared" si="61"/>
        <v>321.37147570869445</v>
      </c>
      <c r="H139" s="188">
        <f t="shared" si="61"/>
        <v>318.64369501369492</v>
      </c>
    </row>
    <row r="140" spans="1:13">
      <c r="A140" s="142" t="s">
        <v>162</v>
      </c>
      <c r="D140" s="188">
        <f>C84*(1-C85)</f>
        <v>119.6573750189616</v>
      </c>
      <c r="E140" s="188">
        <f t="shared" ref="E140:H140" si="62">D84*(1-D85)</f>
        <v>109.8450489402418</v>
      </c>
      <c r="F140" s="188">
        <f t="shared" si="62"/>
        <v>99.479230542016182</v>
      </c>
      <c r="G140" s="188">
        <f t="shared" si="62"/>
        <v>88.528698506801717</v>
      </c>
      <c r="H140" s="188">
        <f t="shared" si="62"/>
        <v>76.960470389397514</v>
      </c>
    </row>
    <row r="141" spans="1:13">
      <c r="A141" s="142" t="s">
        <v>163</v>
      </c>
      <c r="D141" s="189">
        <f>SUM('Loan Amortization'!E9:E20)</f>
        <v>289.921948574032</v>
      </c>
      <c r="E141" s="189">
        <f>SUM('Loan Amortization'!E21:E32)</f>
        <v>306.27582537189835</v>
      </c>
      <c r="F141" s="189">
        <f>SUM('Loan Amortization'!E33:E44)</f>
        <v>323.55218936894101</v>
      </c>
      <c r="G141" s="189">
        <f>SUM('Loan Amortization'!E45:E56)</f>
        <v>341.80307609429849</v>
      </c>
      <c r="H141" s="189">
        <f>SUM('Loan Amortization'!E57:E68)</f>
        <v>2495.9924151362811</v>
      </c>
    </row>
    <row r="142" spans="1:13">
      <c r="A142" s="140" t="s">
        <v>164</v>
      </c>
      <c r="D142" s="197">
        <f>D138+D139-D140-D141</f>
        <v>86.576913796740826</v>
      </c>
      <c r="E142" s="197">
        <f t="shared" ref="E142:H142" si="63">E138+E139-E140-E141</f>
        <v>12.738695327456355</v>
      </c>
      <c r="F142" s="197">
        <f t="shared" si="63"/>
        <v>-95.753727761619814</v>
      </c>
      <c r="G142" s="197">
        <f t="shared" si="63"/>
        <v>-204.71402665402559</v>
      </c>
      <c r="H142" s="197">
        <f t="shared" si="63"/>
        <v>-2459.0232171660091</v>
      </c>
    </row>
  </sheetData>
  <mergeCells count="5">
    <mergeCell ref="D26:E26"/>
    <mergeCell ref="H26:L26"/>
    <mergeCell ref="D91:E91"/>
    <mergeCell ref="H91:L91"/>
    <mergeCell ref="E48:I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CA67-3FA7-704C-A11B-0A15FF2C2AB5}">
  <dimension ref="A1:R129"/>
  <sheetViews>
    <sheetView zoomScale="140" zoomScaleNormal="140" workbookViewId="0"/>
  </sheetViews>
  <sheetFormatPr baseColWidth="10" defaultColWidth="6.1640625" defaultRowHeight="11"/>
  <cols>
    <col min="1" max="1" width="10.33203125" style="156" customWidth="1"/>
    <col min="2" max="2" width="3.1640625" style="156" customWidth="1"/>
    <col min="3" max="7" width="6.33203125" style="156" bestFit="1" customWidth="1"/>
    <col min="8" max="8" width="3.1640625" style="156" customWidth="1"/>
    <col min="9" max="9" width="10.1640625" style="156" customWidth="1"/>
    <col min="10" max="10" width="3.1640625" style="156" customWidth="1"/>
    <col min="11" max="15" width="6.33203125" style="156" bestFit="1" customWidth="1"/>
    <col min="16" max="17" width="6.1640625" style="156"/>
    <col min="18" max="18" width="6.6640625" style="156" bestFit="1" customWidth="1"/>
    <col min="19" max="16384" width="6.1640625" style="156"/>
  </cols>
  <sheetData>
    <row r="1" spans="1:18" ht="18">
      <c r="A1" s="150" t="s">
        <v>0</v>
      </c>
      <c r="B1" s="150"/>
      <c r="C1" s="150"/>
      <c r="D1" s="150"/>
      <c r="E1" s="150"/>
      <c r="F1" s="150"/>
      <c r="G1" s="150"/>
      <c r="H1" s="150"/>
      <c r="I1" s="150" t="s">
        <v>1</v>
      </c>
      <c r="J1" s="150"/>
      <c r="K1" s="150"/>
      <c r="L1" s="150"/>
      <c r="M1" s="150"/>
      <c r="N1" s="150"/>
      <c r="O1" s="150"/>
      <c r="P1" s="150"/>
      <c r="Q1" s="150"/>
      <c r="R1" s="151" t="s">
        <v>146</v>
      </c>
    </row>
    <row r="2" spans="1:18" ht="4" customHeight="1">
      <c r="A2" s="152"/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3"/>
    </row>
    <row r="3" spans="1:18" ht="16">
      <c r="A3" s="154" t="s">
        <v>147</v>
      </c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  <c r="Q3" s="154"/>
      <c r="R3" s="155"/>
    </row>
    <row r="4" spans="1:18" s="159" customFormat="1" ht="15"/>
    <row r="5" spans="1:18" s="159" customFormat="1" ht="15">
      <c r="I5" s="167"/>
      <c r="J5" s="167"/>
      <c r="K5" s="167"/>
      <c r="L5" s="167"/>
      <c r="M5" s="167"/>
      <c r="N5" s="167"/>
      <c r="O5" s="167"/>
      <c r="P5" s="167"/>
    </row>
    <row r="6" spans="1:18" s="159" customFormat="1" ht="15">
      <c r="D6" s="160" t="s">
        <v>148</v>
      </c>
      <c r="G6" s="160" t="s">
        <v>149</v>
      </c>
      <c r="I6" s="167"/>
      <c r="J6" s="167"/>
      <c r="K6" s="167"/>
      <c r="L6" s="170"/>
      <c r="M6" s="167"/>
      <c r="N6" s="167"/>
      <c r="O6" s="170"/>
      <c r="P6" s="167"/>
    </row>
    <row r="7" spans="1:18" s="159" customFormat="1" ht="15">
      <c r="B7" s="161"/>
      <c r="C7" s="160" t="s">
        <v>150</v>
      </c>
      <c r="D7" s="160" t="s">
        <v>151</v>
      </c>
      <c r="E7" s="160" t="s">
        <v>152</v>
      </c>
      <c r="F7" s="160" t="s">
        <v>153</v>
      </c>
      <c r="G7" s="160" t="s">
        <v>154</v>
      </c>
      <c r="I7" s="167"/>
      <c r="J7" s="171"/>
      <c r="K7" s="170"/>
      <c r="L7" s="170"/>
      <c r="M7" s="170"/>
      <c r="N7" s="170"/>
      <c r="O7" s="170"/>
      <c r="P7" s="167"/>
    </row>
    <row r="8" spans="1:18" s="159" customFormat="1" ht="15">
      <c r="A8" s="160" t="s">
        <v>155</v>
      </c>
      <c r="C8" s="157">
        <v>40.779242244914002</v>
      </c>
      <c r="D8" s="158">
        <v>5.5E-2</v>
      </c>
      <c r="E8" s="157"/>
      <c r="F8" s="157">
        <v>3757.54545454545</v>
      </c>
      <c r="G8" s="157">
        <v>120</v>
      </c>
      <c r="I8" s="170"/>
      <c r="J8" s="167"/>
      <c r="K8" s="172"/>
      <c r="L8" s="173"/>
      <c r="M8" s="172"/>
      <c r="N8" s="172"/>
      <c r="O8" s="172"/>
      <c r="P8" s="167"/>
    </row>
    <row r="9" spans="1:18" s="159" customFormat="1" ht="15">
      <c r="A9" s="162">
        <v>39478</v>
      </c>
      <c r="C9" s="159">
        <f>C8</f>
        <v>40.779242244914002</v>
      </c>
      <c r="D9" s="159">
        <f>($D$8/12)*F8</f>
        <v>17.222083333333313</v>
      </c>
      <c r="E9" s="159">
        <f t="shared" ref="E9:E49" si="0">C9-D9</f>
        <v>23.557158911580689</v>
      </c>
      <c r="F9" s="159">
        <f t="shared" ref="F9:F49" si="1">F8-E9</f>
        <v>3733.9882956338693</v>
      </c>
      <c r="G9" s="159">
        <v>1</v>
      </c>
      <c r="I9" s="174"/>
      <c r="J9" s="167"/>
      <c r="K9" s="167"/>
      <c r="L9" s="167"/>
      <c r="M9" s="167"/>
      <c r="N9" s="167"/>
      <c r="O9" s="167"/>
      <c r="P9" s="167"/>
    </row>
    <row r="10" spans="1:18" s="159" customFormat="1" ht="15">
      <c r="A10" s="162">
        <v>39506</v>
      </c>
      <c r="C10" s="159">
        <f>C8</f>
        <v>40.779242244914002</v>
      </c>
      <c r="D10" s="159">
        <f t="shared" ref="D10:D49" si="2">($D$8/12)*F9</f>
        <v>17.114113021655236</v>
      </c>
      <c r="E10" s="159">
        <f t="shared" si="0"/>
        <v>23.665129223258766</v>
      </c>
      <c r="F10" s="159">
        <f t="shared" si="1"/>
        <v>3710.3231664106106</v>
      </c>
      <c r="G10" s="159">
        <f>G9+1</f>
        <v>2</v>
      </c>
      <c r="I10" s="174"/>
      <c r="J10" s="167"/>
      <c r="K10" s="167"/>
      <c r="L10" s="167"/>
      <c r="M10" s="167"/>
      <c r="N10" s="167"/>
      <c r="O10" s="167"/>
      <c r="P10" s="167"/>
    </row>
    <row r="11" spans="1:18" s="159" customFormat="1" ht="15">
      <c r="A11" s="162">
        <v>39538</v>
      </c>
      <c r="C11" s="159">
        <f>C10</f>
        <v>40.779242244914002</v>
      </c>
      <c r="D11" s="159">
        <f t="shared" si="2"/>
        <v>17.005647846048632</v>
      </c>
      <c r="E11" s="159">
        <f t="shared" si="0"/>
        <v>23.77359439886537</v>
      </c>
      <c r="F11" s="159">
        <f t="shared" si="1"/>
        <v>3686.5495720117451</v>
      </c>
      <c r="G11" s="159">
        <f>G10+1</f>
        <v>3</v>
      </c>
      <c r="I11" s="174"/>
      <c r="J11" s="167"/>
      <c r="K11" s="167"/>
      <c r="L11" s="167"/>
      <c r="M11" s="167"/>
      <c r="N11" s="167"/>
      <c r="O11" s="167"/>
      <c r="P11" s="167"/>
    </row>
    <row r="12" spans="1:18" s="159" customFormat="1" ht="15">
      <c r="A12" s="162">
        <v>39568</v>
      </c>
      <c r="C12" s="159">
        <f>C11</f>
        <v>40.779242244914002</v>
      </c>
      <c r="D12" s="159">
        <f t="shared" si="2"/>
        <v>16.896685538387164</v>
      </c>
      <c r="E12" s="159">
        <f t="shared" si="0"/>
        <v>23.882556706526838</v>
      </c>
      <c r="F12" s="159">
        <f t="shared" si="1"/>
        <v>3662.6670153052182</v>
      </c>
      <c r="G12" s="159">
        <f t="shared" ref="G12:G50" si="3">G11+1</f>
        <v>4</v>
      </c>
      <c r="I12" s="174"/>
      <c r="J12" s="167"/>
      <c r="K12" s="167"/>
      <c r="L12" s="167"/>
      <c r="M12" s="167"/>
      <c r="N12" s="167"/>
      <c r="O12" s="167"/>
      <c r="P12" s="167"/>
    </row>
    <row r="13" spans="1:18" s="159" customFormat="1" ht="15">
      <c r="A13" s="162">
        <v>39599</v>
      </c>
      <c r="C13" s="159">
        <f>C12</f>
        <v>40.779242244914002</v>
      </c>
      <c r="D13" s="159">
        <f t="shared" si="2"/>
        <v>16.787223820148917</v>
      </c>
      <c r="E13" s="159">
        <f t="shared" si="0"/>
        <v>23.992018424765085</v>
      </c>
      <c r="F13" s="159">
        <f t="shared" si="1"/>
        <v>3638.6749968804534</v>
      </c>
      <c r="G13" s="159">
        <f t="shared" si="3"/>
        <v>5</v>
      </c>
      <c r="I13" s="174"/>
      <c r="J13" s="167"/>
      <c r="K13" s="167"/>
      <c r="L13" s="167"/>
      <c r="M13" s="167"/>
      <c r="N13" s="167"/>
      <c r="O13" s="167"/>
      <c r="P13" s="167"/>
    </row>
    <row r="14" spans="1:18" s="159" customFormat="1" ht="15">
      <c r="A14" s="162">
        <v>39629</v>
      </c>
      <c r="C14" s="159">
        <f>C13</f>
        <v>40.779242244914002</v>
      </c>
      <c r="D14" s="159">
        <f t="shared" si="2"/>
        <v>16.677260402368745</v>
      </c>
      <c r="E14" s="159">
        <f t="shared" si="0"/>
        <v>24.101981842545257</v>
      </c>
      <c r="F14" s="159">
        <f t="shared" si="1"/>
        <v>3614.5730150379081</v>
      </c>
      <c r="G14" s="159">
        <f t="shared" si="3"/>
        <v>6</v>
      </c>
      <c r="I14" s="174"/>
      <c r="J14" s="167"/>
      <c r="K14" s="167"/>
      <c r="L14" s="167"/>
      <c r="M14" s="167"/>
      <c r="N14" s="167"/>
      <c r="O14" s="167"/>
      <c r="P14" s="167"/>
    </row>
    <row r="15" spans="1:18" s="159" customFormat="1" ht="15">
      <c r="A15" s="162">
        <v>39660</v>
      </c>
      <c r="C15" s="159">
        <f>C14</f>
        <v>40.779242244914002</v>
      </c>
      <c r="D15" s="159">
        <f t="shared" si="2"/>
        <v>16.566792985590414</v>
      </c>
      <c r="E15" s="159">
        <f t="shared" si="0"/>
        <v>24.212449259323588</v>
      </c>
      <c r="F15" s="159">
        <f t="shared" si="1"/>
        <v>3590.3605657785847</v>
      </c>
      <c r="G15" s="159">
        <f t="shared" si="3"/>
        <v>7</v>
      </c>
      <c r="I15" s="175"/>
      <c r="J15" s="176"/>
      <c r="K15" s="176"/>
      <c r="L15" s="176"/>
      <c r="M15" s="176"/>
      <c r="N15" s="176"/>
      <c r="O15" s="176"/>
      <c r="P15" s="167"/>
    </row>
    <row r="16" spans="1:18" s="159" customFormat="1" ht="15">
      <c r="A16" s="162">
        <v>39691</v>
      </c>
      <c r="C16" s="159">
        <f t="shared" ref="C16:C50" si="4">C15</f>
        <v>40.779242244914002</v>
      </c>
      <c r="D16" s="159">
        <f t="shared" si="2"/>
        <v>16.455819259818515</v>
      </c>
      <c r="E16" s="159">
        <f t="shared" si="0"/>
        <v>24.323422985095487</v>
      </c>
      <c r="F16" s="159">
        <f t="shared" si="1"/>
        <v>3566.0371427934892</v>
      </c>
      <c r="G16" s="159">
        <f t="shared" si="3"/>
        <v>8</v>
      </c>
      <c r="I16" s="174"/>
      <c r="J16" s="167"/>
      <c r="K16" s="167"/>
      <c r="L16" s="167"/>
      <c r="M16" s="167"/>
      <c r="N16" s="167"/>
      <c r="O16" s="167"/>
      <c r="P16" s="167"/>
    </row>
    <row r="17" spans="1:16" s="159" customFormat="1" ht="15">
      <c r="A17" s="162">
        <v>39721</v>
      </c>
      <c r="C17" s="159">
        <f t="shared" si="4"/>
        <v>40.779242244914002</v>
      </c>
      <c r="D17" s="159">
        <f t="shared" si="2"/>
        <v>16.344336904470158</v>
      </c>
      <c r="E17" s="159">
        <f t="shared" si="0"/>
        <v>24.434905340443844</v>
      </c>
      <c r="F17" s="159">
        <f t="shared" si="1"/>
        <v>3541.6022374530453</v>
      </c>
      <c r="G17" s="159">
        <f t="shared" si="3"/>
        <v>9</v>
      </c>
      <c r="I17" s="174"/>
      <c r="J17" s="167"/>
      <c r="K17" s="167"/>
      <c r="L17" s="167"/>
      <c r="M17" s="167"/>
      <c r="N17" s="167"/>
      <c r="O17" s="167"/>
      <c r="P17" s="167"/>
    </row>
    <row r="18" spans="1:16" s="159" customFormat="1" ht="15">
      <c r="A18" s="162">
        <v>39752</v>
      </c>
      <c r="C18" s="159">
        <f t="shared" si="4"/>
        <v>40.779242244914002</v>
      </c>
      <c r="D18" s="159">
        <f t="shared" si="2"/>
        <v>16.232343588326458</v>
      </c>
      <c r="E18" s="159">
        <f t="shared" si="0"/>
        <v>24.546898656587544</v>
      </c>
      <c r="F18" s="159">
        <f t="shared" si="1"/>
        <v>3517.0553387964578</v>
      </c>
      <c r="G18" s="159">
        <f t="shared" si="3"/>
        <v>10</v>
      </c>
      <c r="I18" s="174"/>
      <c r="J18" s="167"/>
      <c r="K18" s="167"/>
      <c r="L18" s="167"/>
      <c r="M18" s="167"/>
      <c r="N18" s="167"/>
      <c r="O18" s="167"/>
      <c r="P18" s="167"/>
    </row>
    <row r="19" spans="1:16" s="159" customFormat="1" ht="15">
      <c r="A19" s="162">
        <v>39782</v>
      </c>
      <c r="C19" s="159">
        <f t="shared" si="4"/>
        <v>40.779242244914002</v>
      </c>
      <c r="D19" s="159">
        <f t="shared" si="2"/>
        <v>16.119836969483764</v>
      </c>
      <c r="E19" s="159">
        <f t="shared" si="0"/>
        <v>24.659405275430238</v>
      </c>
      <c r="F19" s="159">
        <f t="shared" si="1"/>
        <v>3492.3959335210275</v>
      </c>
      <c r="G19" s="159">
        <f t="shared" si="3"/>
        <v>11</v>
      </c>
      <c r="I19" s="174"/>
      <c r="J19" s="167"/>
      <c r="K19" s="167"/>
      <c r="L19" s="167"/>
      <c r="M19" s="167"/>
      <c r="N19" s="167"/>
      <c r="O19" s="167"/>
      <c r="P19" s="167"/>
    </row>
    <row r="20" spans="1:16" s="159" customFormat="1" ht="15">
      <c r="A20" s="163">
        <v>39813</v>
      </c>
      <c r="B20" s="164"/>
      <c r="C20" s="164">
        <f t="shared" si="4"/>
        <v>40.779242244914002</v>
      </c>
      <c r="D20" s="164">
        <f t="shared" si="2"/>
        <v>16.006814695304708</v>
      </c>
      <c r="E20" s="164">
        <f t="shared" si="0"/>
        <v>24.772427549609294</v>
      </c>
      <c r="F20" s="164">
        <f t="shared" si="1"/>
        <v>3467.6235059714181</v>
      </c>
      <c r="G20" s="164">
        <f t="shared" si="3"/>
        <v>12</v>
      </c>
      <c r="I20" s="174"/>
      <c r="J20" s="167"/>
      <c r="K20" s="167"/>
      <c r="L20" s="167"/>
      <c r="M20" s="167"/>
      <c r="N20" s="167"/>
      <c r="O20" s="167"/>
      <c r="P20" s="167"/>
    </row>
    <row r="21" spans="1:16" s="159" customFormat="1" ht="15">
      <c r="A21" s="162">
        <v>39844</v>
      </c>
      <c r="C21" s="159">
        <f t="shared" si="4"/>
        <v>40.779242244914002</v>
      </c>
      <c r="D21" s="159">
        <f t="shared" si="2"/>
        <v>15.893274402369</v>
      </c>
      <c r="E21" s="159">
        <f t="shared" si="0"/>
        <v>24.885967842545</v>
      </c>
      <c r="F21" s="159">
        <f t="shared" si="1"/>
        <v>3442.737538128873</v>
      </c>
      <c r="G21" s="159">
        <f t="shared" si="3"/>
        <v>13</v>
      </c>
      <c r="I21" s="174"/>
      <c r="J21" s="167"/>
      <c r="K21" s="167"/>
      <c r="L21" s="167"/>
      <c r="M21" s="167"/>
      <c r="N21" s="167"/>
      <c r="O21" s="167"/>
      <c r="P21" s="167"/>
    </row>
    <row r="22" spans="1:16" s="159" customFormat="1" ht="15">
      <c r="A22" s="162">
        <v>39872</v>
      </c>
      <c r="C22" s="159">
        <f t="shared" si="4"/>
        <v>40.779242244914002</v>
      </c>
      <c r="D22" s="159">
        <f t="shared" si="2"/>
        <v>15.779213716424001</v>
      </c>
      <c r="E22" s="159">
        <f t="shared" si="0"/>
        <v>25.000028528489999</v>
      </c>
      <c r="F22" s="159">
        <f t="shared" si="1"/>
        <v>3417.737509600383</v>
      </c>
      <c r="G22" s="159">
        <f t="shared" si="3"/>
        <v>14</v>
      </c>
      <c r="I22" s="174"/>
      <c r="J22" s="167"/>
      <c r="K22" s="167"/>
      <c r="L22" s="167"/>
      <c r="M22" s="167"/>
      <c r="N22" s="167"/>
      <c r="O22" s="167"/>
      <c r="P22" s="167"/>
    </row>
    <row r="23" spans="1:16" s="159" customFormat="1" ht="15">
      <c r="A23" s="162">
        <v>39903</v>
      </c>
      <c r="C23" s="159">
        <f t="shared" si="4"/>
        <v>40.779242244914002</v>
      </c>
      <c r="D23" s="159">
        <f t="shared" si="2"/>
        <v>15.664630252335089</v>
      </c>
      <c r="E23" s="159">
        <f t="shared" si="0"/>
        <v>25.114611992578915</v>
      </c>
      <c r="F23" s="159">
        <f t="shared" si="1"/>
        <v>3392.6228976078041</v>
      </c>
      <c r="G23" s="159">
        <f t="shared" si="3"/>
        <v>15</v>
      </c>
      <c r="I23" s="174"/>
      <c r="J23" s="167"/>
      <c r="K23" s="167"/>
      <c r="L23" s="167"/>
      <c r="M23" s="167"/>
      <c r="N23" s="167"/>
      <c r="O23" s="167"/>
      <c r="P23" s="167"/>
    </row>
    <row r="24" spans="1:16" s="159" customFormat="1" ht="15">
      <c r="A24" s="162">
        <v>39933</v>
      </c>
      <c r="C24" s="159">
        <f t="shared" si="4"/>
        <v>40.779242244914002</v>
      </c>
      <c r="D24" s="159">
        <f t="shared" si="2"/>
        <v>15.549521614035768</v>
      </c>
      <c r="E24" s="159">
        <f t="shared" si="0"/>
        <v>25.229720630878234</v>
      </c>
      <c r="F24" s="159">
        <f t="shared" si="1"/>
        <v>3367.393176976926</v>
      </c>
      <c r="G24" s="159">
        <f t="shared" si="3"/>
        <v>16</v>
      </c>
      <c r="I24" s="174"/>
      <c r="J24" s="167"/>
      <c r="K24" s="167"/>
      <c r="L24" s="167"/>
      <c r="M24" s="167"/>
      <c r="N24" s="167"/>
      <c r="O24" s="167"/>
      <c r="P24" s="167"/>
    </row>
    <row r="25" spans="1:16" s="159" customFormat="1" ht="15">
      <c r="A25" s="162">
        <v>39964</v>
      </c>
      <c r="C25" s="159">
        <f t="shared" si="4"/>
        <v>40.779242244914002</v>
      </c>
      <c r="D25" s="159">
        <f t="shared" si="2"/>
        <v>15.433885394477578</v>
      </c>
      <c r="E25" s="159">
        <f t="shared" si="0"/>
        <v>25.345356850436424</v>
      </c>
      <c r="F25" s="159">
        <f t="shared" si="1"/>
        <v>3342.0478201264896</v>
      </c>
      <c r="G25" s="159">
        <f t="shared" si="3"/>
        <v>17</v>
      </c>
      <c r="I25" s="174"/>
      <c r="J25" s="167"/>
      <c r="K25" s="167"/>
      <c r="L25" s="167"/>
      <c r="M25" s="167"/>
      <c r="N25" s="167"/>
      <c r="O25" s="167"/>
      <c r="P25" s="167"/>
    </row>
    <row r="26" spans="1:16" s="159" customFormat="1" ht="15">
      <c r="A26" s="162">
        <v>39994</v>
      </c>
      <c r="C26" s="159">
        <f t="shared" si="4"/>
        <v>40.779242244914002</v>
      </c>
      <c r="D26" s="159">
        <f t="shared" si="2"/>
        <v>15.317719175579743</v>
      </c>
      <c r="E26" s="159">
        <f t="shared" si="0"/>
        <v>25.461523069334259</v>
      </c>
      <c r="F26" s="159">
        <f t="shared" si="1"/>
        <v>3316.5862970571552</v>
      </c>
      <c r="G26" s="159">
        <f t="shared" si="3"/>
        <v>18</v>
      </c>
      <c r="I26" s="174"/>
      <c r="J26" s="167"/>
      <c r="K26" s="167"/>
      <c r="L26" s="167"/>
      <c r="M26" s="167"/>
      <c r="N26" s="167"/>
      <c r="O26" s="167"/>
      <c r="P26" s="167"/>
    </row>
    <row r="27" spans="1:16" s="159" customFormat="1" ht="15">
      <c r="A27" s="162">
        <v>40025</v>
      </c>
      <c r="C27" s="159">
        <f t="shared" si="4"/>
        <v>40.779242244914002</v>
      </c>
      <c r="D27" s="159">
        <f t="shared" si="2"/>
        <v>15.201020528178628</v>
      </c>
      <c r="E27" s="159">
        <f t="shared" si="0"/>
        <v>25.578221716735374</v>
      </c>
      <c r="F27" s="159">
        <f t="shared" si="1"/>
        <v>3291.00807534042</v>
      </c>
      <c r="G27" s="159">
        <f t="shared" si="3"/>
        <v>19</v>
      </c>
      <c r="I27" s="175"/>
      <c r="J27" s="172"/>
      <c r="K27" s="172"/>
      <c r="L27" s="172"/>
      <c r="M27" s="172"/>
      <c r="N27" s="172"/>
      <c r="O27" s="172"/>
      <c r="P27" s="167"/>
    </row>
    <row r="28" spans="1:16" s="159" customFormat="1" ht="15">
      <c r="A28" s="162">
        <v>40056</v>
      </c>
      <c r="C28" s="159">
        <f t="shared" si="4"/>
        <v>40.779242244914002</v>
      </c>
      <c r="D28" s="159">
        <f t="shared" si="2"/>
        <v>15.083787011976925</v>
      </c>
      <c r="E28" s="159">
        <f t="shared" si="0"/>
        <v>25.695455232937078</v>
      </c>
      <c r="F28" s="159">
        <f t="shared" si="1"/>
        <v>3265.3126201074829</v>
      </c>
      <c r="G28" s="159">
        <f t="shared" si="3"/>
        <v>20</v>
      </c>
      <c r="I28" s="162"/>
    </row>
    <row r="29" spans="1:16" s="159" customFormat="1" ht="15">
      <c r="A29" s="162">
        <v>40086</v>
      </c>
      <c r="C29" s="159">
        <f t="shared" si="4"/>
        <v>40.779242244914002</v>
      </c>
      <c r="D29" s="159">
        <f t="shared" si="2"/>
        <v>14.96601617549263</v>
      </c>
      <c r="E29" s="159">
        <f t="shared" si="0"/>
        <v>25.813226069421372</v>
      </c>
      <c r="F29" s="159">
        <f t="shared" si="1"/>
        <v>3239.4993940380614</v>
      </c>
      <c r="G29" s="159">
        <f t="shared" si="3"/>
        <v>21</v>
      </c>
      <c r="I29" s="162"/>
    </row>
    <row r="30" spans="1:16" s="159" customFormat="1" ht="15">
      <c r="A30" s="162">
        <v>40117</v>
      </c>
      <c r="C30" s="159">
        <f t="shared" si="4"/>
        <v>40.779242244914002</v>
      </c>
      <c r="D30" s="159">
        <f t="shared" si="2"/>
        <v>14.847705556007782</v>
      </c>
      <c r="E30" s="159">
        <f t="shared" si="0"/>
        <v>25.93153668890622</v>
      </c>
      <c r="F30" s="159">
        <f t="shared" si="1"/>
        <v>3213.567857349155</v>
      </c>
      <c r="G30" s="159">
        <f t="shared" si="3"/>
        <v>22</v>
      </c>
      <c r="I30" s="162"/>
    </row>
    <row r="31" spans="1:16" s="159" customFormat="1" ht="15">
      <c r="A31" s="162">
        <v>40147</v>
      </c>
      <c r="C31" s="159">
        <f t="shared" si="4"/>
        <v>40.779242244914002</v>
      </c>
      <c r="D31" s="159">
        <f t="shared" si="2"/>
        <v>14.72885267951696</v>
      </c>
      <c r="E31" s="159">
        <f t="shared" si="0"/>
        <v>26.05038956539704</v>
      </c>
      <c r="F31" s="159">
        <f t="shared" si="1"/>
        <v>3187.5174677837581</v>
      </c>
      <c r="G31" s="159">
        <f t="shared" si="3"/>
        <v>23</v>
      </c>
      <c r="I31" s="162"/>
    </row>
    <row r="32" spans="1:16" s="159" customFormat="1" ht="15">
      <c r="A32" s="163">
        <v>40178</v>
      </c>
      <c r="B32" s="164"/>
      <c r="C32" s="164">
        <f t="shared" si="4"/>
        <v>40.779242244914002</v>
      </c>
      <c r="D32" s="164">
        <f t="shared" si="2"/>
        <v>14.609455060675558</v>
      </c>
      <c r="E32" s="164">
        <f t="shared" si="0"/>
        <v>26.169787184238444</v>
      </c>
      <c r="F32" s="164">
        <f t="shared" si="1"/>
        <v>3161.3476805995197</v>
      </c>
      <c r="G32" s="164">
        <f t="shared" si="3"/>
        <v>24</v>
      </c>
      <c r="I32" s="162"/>
    </row>
    <row r="33" spans="1:9" s="159" customFormat="1" ht="15">
      <c r="A33" s="162">
        <v>40209</v>
      </c>
      <c r="C33" s="159">
        <f t="shared" si="4"/>
        <v>40.779242244914002</v>
      </c>
      <c r="D33" s="159">
        <f t="shared" si="2"/>
        <v>14.489510202747798</v>
      </c>
      <c r="E33" s="159">
        <f t="shared" si="0"/>
        <v>26.289732042166204</v>
      </c>
      <c r="F33" s="159">
        <f t="shared" si="1"/>
        <v>3135.0579485573535</v>
      </c>
      <c r="G33" s="159">
        <f t="shared" si="3"/>
        <v>25</v>
      </c>
      <c r="I33" s="162"/>
    </row>
    <row r="34" spans="1:9" s="159" customFormat="1" ht="15">
      <c r="A34" s="162">
        <v>40237</v>
      </c>
      <c r="C34" s="159">
        <f t="shared" si="4"/>
        <v>40.779242244914002</v>
      </c>
      <c r="D34" s="159">
        <f t="shared" si="2"/>
        <v>14.369015597554537</v>
      </c>
      <c r="E34" s="159">
        <f t="shared" si="0"/>
        <v>26.410226647359465</v>
      </c>
      <c r="F34" s="159">
        <f t="shared" si="1"/>
        <v>3108.6477219099938</v>
      </c>
      <c r="G34" s="159">
        <f t="shared" si="3"/>
        <v>26</v>
      </c>
      <c r="I34" s="162"/>
    </row>
    <row r="35" spans="1:9" s="159" customFormat="1" ht="15">
      <c r="A35" s="162">
        <v>40268</v>
      </c>
      <c r="C35" s="159">
        <f t="shared" si="4"/>
        <v>40.779242244914002</v>
      </c>
      <c r="D35" s="159">
        <f t="shared" si="2"/>
        <v>14.247968725420805</v>
      </c>
      <c r="E35" s="159">
        <f t="shared" si="0"/>
        <v>26.531273519493197</v>
      </c>
      <c r="F35" s="159">
        <f t="shared" si="1"/>
        <v>3082.1164483905004</v>
      </c>
      <c r="G35" s="159">
        <f t="shared" si="3"/>
        <v>27</v>
      </c>
      <c r="I35" s="162"/>
    </row>
    <row r="36" spans="1:9" s="159" customFormat="1" ht="15">
      <c r="A36" s="162">
        <v>40298</v>
      </c>
      <c r="C36" s="159">
        <f t="shared" si="4"/>
        <v>40.779242244914002</v>
      </c>
      <c r="D36" s="159">
        <f t="shared" si="2"/>
        <v>14.126367055123128</v>
      </c>
      <c r="E36" s="159">
        <f t="shared" si="0"/>
        <v>26.652875189790876</v>
      </c>
      <c r="F36" s="159">
        <f t="shared" si="1"/>
        <v>3055.4635732007096</v>
      </c>
      <c r="G36" s="159">
        <f t="shared" si="3"/>
        <v>28</v>
      </c>
      <c r="I36" s="162"/>
    </row>
    <row r="37" spans="1:9" s="159" customFormat="1" ht="15">
      <c r="A37" s="162">
        <v>40329</v>
      </c>
      <c r="C37" s="159">
        <f t="shared" si="4"/>
        <v>40.779242244914002</v>
      </c>
      <c r="D37" s="159">
        <f t="shared" si="2"/>
        <v>14.004208043836586</v>
      </c>
      <c r="E37" s="159">
        <f t="shared" si="0"/>
        <v>26.775034201077418</v>
      </c>
      <c r="F37" s="159">
        <f t="shared" si="1"/>
        <v>3028.6885389996323</v>
      </c>
      <c r="G37" s="159">
        <f t="shared" si="3"/>
        <v>29</v>
      </c>
      <c r="I37" s="162"/>
    </row>
    <row r="38" spans="1:9" s="159" customFormat="1" ht="15">
      <c r="A38" s="162">
        <v>40359</v>
      </c>
      <c r="C38" s="159">
        <f t="shared" si="4"/>
        <v>40.779242244914002</v>
      </c>
      <c r="D38" s="159">
        <f t="shared" si="2"/>
        <v>13.881489137081648</v>
      </c>
      <c r="E38" s="159">
        <f t="shared" si="0"/>
        <v>26.897753107832354</v>
      </c>
      <c r="F38" s="159">
        <f t="shared" si="1"/>
        <v>3001.7907858918002</v>
      </c>
      <c r="G38" s="159">
        <f t="shared" si="3"/>
        <v>30</v>
      </c>
      <c r="I38" s="162"/>
    </row>
    <row r="39" spans="1:9" s="159" customFormat="1" ht="15">
      <c r="A39" s="162">
        <v>40390</v>
      </c>
      <c r="C39" s="159">
        <f t="shared" si="4"/>
        <v>40.779242244914002</v>
      </c>
      <c r="D39" s="159">
        <f t="shared" si="2"/>
        <v>13.758207768670751</v>
      </c>
      <c r="E39" s="159">
        <f t="shared" si="0"/>
        <v>27.021034476243251</v>
      </c>
      <c r="F39" s="159">
        <f t="shared" si="1"/>
        <v>2974.769751415557</v>
      </c>
      <c r="G39" s="159">
        <f t="shared" si="3"/>
        <v>31</v>
      </c>
      <c r="I39" s="162"/>
    </row>
    <row r="40" spans="1:9" s="159" customFormat="1" ht="15">
      <c r="A40" s="162">
        <v>40421</v>
      </c>
      <c r="C40" s="159">
        <f t="shared" si="4"/>
        <v>40.779242244914002</v>
      </c>
      <c r="D40" s="159">
        <f t="shared" si="2"/>
        <v>13.634361360654637</v>
      </c>
      <c r="E40" s="159">
        <f t="shared" si="0"/>
        <v>27.144880884259365</v>
      </c>
      <c r="F40" s="159">
        <f t="shared" si="1"/>
        <v>2947.6248705312978</v>
      </c>
      <c r="G40" s="159">
        <f t="shared" si="3"/>
        <v>32</v>
      </c>
      <c r="I40" s="162"/>
    </row>
    <row r="41" spans="1:9" s="159" customFormat="1" ht="15">
      <c r="A41" s="162">
        <v>40451</v>
      </c>
      <c r="C41" s="159">
        <f t="shared" si="4"/>
        <v>40.779242244914002</v>
      </c>
      <c r="D41" s="159">
        <f t="shared" si="2"/>
        <v>13.509947323268449</v>
      </c>
      <c r="E41" s="159">
        <f t="shared" si="0"/>
        <v>27.269294921645553</v>
      </c>
      <c r="F41" s="159">
        <f t="shared" si="1"/>
        <v>2920.3555756096521</v>
      </c>
      <c r="G41" s="159">
        <f t="shared" si="3"/>
        <v>33</v>
      </c>
      <c r="I41" s="162"/>
    </row>
    <row r="42" spans="1:9" s="159" customFormat="1" ht="15">
      <c r="A42" s="162">
        <v>40482</v>
      </c>
      <c r="C42" s="159">
        <f t="shared" si="4"/>
        <v>40.779242244914002</v>
      </c>
      <c r="D42" s="159">
        <f t="shared" si="2"/>
        <v>13.384963054877572</v>
      </c>
      <c r="E42" s="159">
        <f t="shared" si="0"/>
        <v>27.394279190036428</v>
      </c>
      <c r="F42" s="159">
        <f t="shared" si="1"/>
        <v>2892.9612964196158</v>
      </c>
      <c r="G42" s="159">
        <f t="shared" si="3"/>
        <v>34</v>
      </c>
      <c r="I42" s="162"/>
    </row>
    <row r="43" spans="1:9" s="159" customFormat="1" ht="15">
      <c r="A43" s="162">
        <v>40512</v>
      </c>
      <c r="C43" s="159">
        <f t="shared" si="4"/>
        <v>40.779242244914002</v>
      </c>
      <c r="D43" s="159">
        <f t="shared" si="2"/>
        <v>13.259405941923239</v>
      </c>
      <c r="E43" s="159">
        <f t="shared" si="0"/>
        <v>27.519836302990761</v>
      </c>
      <c r="F43" s="159">
        <f t="shared" si="1"/>
        <v>2865.441460116625</v>
      </c>
      <c r="G43" s="159">
        <f t="shared" si="3"/>
        <v>35</v>
      </c>
      <c r="I43" s="162"/>
    </row>
    <row r="44" spans="1:9" s="159" customFormat="1" ht="15">
      <c r="A44" s="163">
        <v>40543</v>
      </c>
      <c r="B44" s="164"/>
      <c r="C44" s="164">
        <f t="shared" si="4"/>
        <v>40.779242244914002</v>
      </c>
      <c r="D44" s="164">
        <f t="shared" si="2"/>
        <v>13.133273358867864</v>
      </c>
      <c r="E44" s="164">
        <f t="shared" si="0"/>
        <v>27.645968886046138</v>
      </c>
      <c r="F44" s="164">
        <f t="shared" si="1"/>
        <v>2837.795491230579</v>
      </c>
      <c r="G44" s="164">
        <f t="shared" si="3"/>
        <v>36</v>
      </c>
      <c r="I44" s="162"/>
    </row>
    <row r="45" spans="1:9" s="159" customFormat="1" ht="15">
      <c r="A45" s="162">
        <v>40574</v>
      </c>
      <c r="C45" s="159">
        <f t="shared" si="4"/>
        <v>40.779242244914002</v>
      </c>
      <c r="D45" s="159">
        <f t="shared" si="2"/>
        <v>13.006562668140154</v>
      </c>
      <c r="E45" s="159">
        <f t="shared" si="0"/>
        <v>27.772679576773847</v>
      </c>
      <c r="F45" s="159">
        <f t="shared" si="1"/>
        <v>2810.0228116538051</v>
      </c>
      <c r="G45" s="159">
        <f t="shared" si="3"/>
        <v>37</v>
      </c>
      <c r="I45" s="162"/>
    </row>
    <row r="46" spans="1:9" s="159" customFormat="1" ht="15">
      <c r="A46" s="162">
        <v>40602</v>
      </c>
      <c r="C46" s="159">
        <f t="shared" si="4"/>
        <v>40.779242244914002</v>
      </c>
      <c r="D46" s="159">
        <f t="shared" si="2"/>
        <v>12.879271220079939</v>
      </c>
      <c r="E46" s="159">
        <f t="shared" si="0"/>
        <v>27.899971024834063</v>
      </c>
      <c r="F46" s="159">
        <f t="shared" si="1"/>
        <v>2782.1228406289711</v>
      </c>
      <c r="G46" s="159">
        <f t="shared" si="3"/>
        <v>38</v>
      </c>
      <c r="I46" s="162"/>
    </row>
    <row r="47" spans="1:9" s="159" customFormat="1" ht="15">
      <c r="A47" s="162">
        <v>40633</v>
      </c>
      <c r="C47" s="159">
        <f t="shared" si="4"/>
        <v>40.779242244914002</v>
      </c>
      <c r="D47" s="159">
        <f t="shared" si="2"/>
        <v>12.751396352882784</v>
      </c>
      <c r="E47" s="159">
        <f t="shared" si="0"/>
        <v>28.027845892031216</v>
      </c>
      <c r="F47" s="159">
        <f t="shared" si="1"/>
        <v>2754.09499473694</v>
      </c>
      <c r="G47" s="159">
        <f t="shared" si="3"/>
        <v>39</v>
      </c>
      <c r="I47" s="162"/>
    </row>
    <row r="48" spans="1:9" s="159" customFormat="1" ht="15">
      <c r="A48" s="162">
        <v>40663</v>
      </c>
      <c r="C48" s="159">
        <f t="shared" si="4"/>
        <v>40.779242244914002</v>
      </c>
      <c r="D48" s="159">
        <f t="shared" si="2"/>
        <v>12.622935392544308</v>
      </c>
      <c r="E48" s="159">
        <f t="shared" si="0"/>
        <v>28.156306852369696</v>
      </c>
      <c r="F48" s="159">
        <f t="shared" si="1"/>
        <v>2725.9386878845703</v>
      </c>
      <c r="G48" s="159">
        <f t="shared" si="3"/>
        <v>40</v>
      </c>
      <c r="I48" s="162"/>
    </row>
    <row r="49" spans="1:18" s="159" customFormat="1" ht="15">
      <c r="A49" s="162">
        <v>40694</v>
      </c>
      <c r="C49" s="159">
        <f t="shared" si="4"/>
        <v>40.779242244914002</v>
      </c>
      <c r="D49" s="159">
        <f t="shared" si="2"/>
        <v>12.493885652804281</v>
      </c>
      <c r="E49" s="159">
        <f t="shared" si="0"/>
        <v>28.285356592109721</v>
      </c>
      <c r="F49" s="159">
        <f t="shared" si="1"/>
        <v>2697.6533312924607</v>
      </c>
      <c r="G49" s="159">
        <f t="shared" si="3"/>
        <v>41</v>
      </c>
      <c r="I49" s="162"/>
    </row>
    <row r="50" spans="1:18" s="159" customFormat="1" ht="15">
      <c r="A50" s="162">
        <v>40724</v>
      </c>
      <c r="C50" s="159">
        <f t="shared" si="4"/>
        <v>40.779242244914002</v>
      </c>
      <c r="D50" s="159">
        <f>($D$8/12)*F49</f>
        <v>12.364244435090445</v>
      </c>
      <c r="E50" s="159">
        <f t="shared" ref="E50" si="5">C50-D50</f>
        <v>28.414997809823557</v>
      </c>
      <c r="F50" s="159">
        <f t="shared" ref="F50" si="6">F49-E50</f>
        <v>2669.2383334826372</v>
      </c>
      <c r="G50" s="159">
        <f t="shared" si="3"/>
        <v>42</v>
      </c>
    </row>
    <row r="51" spans="1:18" s="167" customFormat="1" ht="15">
      <c r="A51" s="162">
        <v>40755</v>
      </c>
      <c r="B51" s="159"/>
      <c r="C51" s="159">
        <f>C49</f>
        <v>40.779242244914002</v>
      </c>
      <c r="D51" s="159">
        <f>($D$8/12)*F50</f>
        <v>12.234009028462088</v>
      </c>
      <c r="E51" s="159">
        <f t="shared" ref="E51:E68" si="7">C51-D51</f>
        <v>28.545233216451912</v>
      </c>
      <c r="F51" s="159">
        <f t="shared" ref="F51:F68" si="8">F50-E51</f>
        <v>2640.6931002661854</v>
      </c>
      <c r="G51" s="159">
        <f>G50+1</f>
        <v>43</v>
      </c>
      <c r="R51" s="168"/>
    </row>
    <row r="52" spans="1:18" s="167" customFormat="1" ht="15">
      <c r="A52" s="162">
        <v>40786</v>
      </c>
      <c r="B52" s="159"/>
      <c r="C52" s="159">
        <f t="shared" ref="C52:C67" si="9">C51</f>
        <v>40.779242244914002</v>
      </c>
      <c r="D52" s="159">
        <f t="shared" ref="D52:D68" si="10">($D$8/12)*F51</f>
        <v>12.103176709553351</v>
      </c>
      <c r="E52" s="159">
        <f t="shared" si="7"/>
        <v>28.67606553536065</v>
      </c>
      <c r="F52" s="159">
        <f t="shared" si="8"/>
        <v>2612.0170347308249</v>
      </c>
      <c r="G52" s="159">
        <f t="shared" ref="G52:G68" si="11">G51+1</f>
        <v>44</v>
      </c>
    </row>
    <row r="53" spans="1:18" s="159" customFormat="1" ht="15">
      <c r="A53" s="162">
        <v>40816</v>
      </c>
      <c r="C53" s="159">
        <f t="shared" si="9"/>
        <v>40.779242244914002</v>
      </c>
      <c r="D53" s="159">
        <f t="shared" si="10"/>
        <v>11.971744742516281</v>
      </c>
      <c r="E53" s="159">
        <f t="shared" si="7"/>
        <v>28.807497502397723</v>
      </c>
      <c r="F53" s="159">
        <f t="shared" si="8"/>
        <v>2583.2095372284271</v>
      </c>
      <c r="G53" s="159">
        <f t="shared" si="11"/>
        <v>45</v>
      </c>
    </row>
    <row r="54" spans="1:18" s="159" customFormat="1" ht="15">
      <c r="A54" s="162">
        <v>40847</v>
      </c>
      <c r="C54" s="159">
        <f t="shared" si="9"/>
        <v>40.779242244914002</v>
      </c>
      <c r="D54" s="159">
        <f t="shared" si="10"/>
        <v>11.839710378963623</v>
      </c>
      <c r="E54" s="159">
        <f t="shared" si="7"/>
        <v>28.939531865950379</v>
      </c>
      <c r="F54" s="159">
        <f t="shared" si="8"/>
        <v>2554.2700053624767</v>
      </c>
      <c r="G54" s="159">
        <f t="shared" si="11"/>
        <v>46</v>
      </c>
    </row>
    <row r="55" spans="1:18" s="159" customFormat="1" ht="15">
      <c r="A55" s="162">
        <v>40877</v>
      </c>
      <c r="C55" s="159">
        <f t="shared" si="9"/>
        <v>40.779242244914002</v>
      </c>
      <c r="D55" s="159">
        <f t="shared" si="10"/>
        <v>11.707070857911351</v>
      </c>
      <c r="E55" s="159">
        <f t="shared" si="7"/>
        <v>29.072171387002651</v>
      </c>
      <c r="F55" s="159">
        <f t="shared" si="8"/>
        <v>2525.1978339754742</v>
      </c>
      <c r="G55" s="159">
        <f t="shared" si="11"/>
        <v>47</v>
      </c>
    </row>
    <row r="56" spans="1:18" s="159" customFormat="1" ht="15">
      <c r="A56" s="163">
        <v>40908</v>
      </c>
      <c r="B56" s="164"/>
      <c r="C56" s="164">
        <f t="shared" si="9"/>
        <v>40.779242244914002</v>
      </c>
      <c r="D56" s="159">
        <f t="shared" si="10"/>
        <v>11.573823405720923</v>
      </c>
      <c r="E56" s="164">
        <f t="shared" si="7"/>
        <v>29.205418839193079</v>
      </c>
      <c r="F56" s="164">
        <f t="shared" si="8"/>
        <v>2495.9924151362811</v>
      </c>
      <c r="G56" s="164">
        <f t="shared" si="11"/>
        <v>48</v>
      </c>
    </row>
    <row r="57" spans="1:18" s="159" customFormat="1" ht="15">
      <c r="A57" s="162">
        <v>40939</v>
      </c>
      <c r="C57" s="159">
        <f t="shared" si="9"/>
        <v>40.779242244914002</v>
      </c>
      <c r="D57" s="159">
        <f t="shared" si="10"/>
        <v>11.439965236041289</v>
      </c>
      <c r="E57" s="159">
        <f t="shared" si="7"/>
        <v>29.339277008872713</v>
      </c>
      <c r="F57" s="159">
        <f t="shared" si="8"/>
        <v>2466.6531381274085</v>
      </c>
      <c r="G57" s="159">
        <f t="shared" si="11"/>
        <v>49</v>
      </c>
    </row>
    <row r="58" spans="1:18" s="159" customFormat="1" ht="15">
      <c r="A58" s="162">
        <v>40967</v>
      </c>
      <c r="C58" s="159">
        <f t="shared" si="9"/>
        <v>40.779242244914002</v>
      </c>
      <c r="D58" s="159">
        <f t="shared" si="10"/>
        <v>11.305493549750622</v>
      </c>
      <c r="E58" s="159">
        <f t="shared" si="7"/>
        <v>29.47374869516338</v>
      </c>
      <c r="F58" s="159">
        <f t="shared" si="8"/>
        <v>2437.179389432245</v>
      </c>
      <c r="G58" s="159">
        <f t="shared" si="11"/>
        <v>50</v>
      </c>
    </row>
    <row r="59" spans="1:18" s="159" customFormat="1" ht="15">
      <c r="A59" s="162">
        <v>40999</v>
      </c>
      <c r="C59" s="159">
        <f t="shared" si="9"/>
        <v>40.779242244914002</v>
      </c>
      <c r="D59" s="159">
        <f t="shared" si="10"/>
        <v>11.170405534897789</v>
      </c>
      <c r="E59" s="159">
        <f t="shared" si="7"/>
        <v>29.608836710016213</v>
      </c>
      <c r="F59" s="159">
        <f t="shared" si="8"/>
        <v>2407.570552722229</v>
      </c>
      <c r="G59" s="159">
        <f t="shared" si="11"/>
        <v>51</v>
      </c>
    </row>
    <row r="60" spans="1:18" s="159" customFormat="1" ht="15">
      <c r="A60" s="162">
        <v>41029</v>
      </c>
      <c r="C60" s="159">
        <f t="shared" si="9"/>
        <v>40.779242244914002</v>
      </c>
      <c r="D60" s="159">
        <f t="shared" si="10"/>
        <v>11.03469836664355</v>
      </c>
      <c r="E60" s="159">
        <f t="shared" si="7"/>
        <v>29.744543878270452</v>
      </c>
      <c r="F60" s="159">
        <f t="shared" si="8"/>
        <v>2377.8260088439583</v>
      </c>
      <c r="G60" s="159">
        <f t="shared" si="11"/>
        <v>52</v>
      </c>
    </row>
    <row r="61" spans="1:18" s="159" customFormat="1" ht="15">
      <c r="A61" s="162">
        <v>41060</v>
      </c>
      <c r="C61" s="159">
        <f t="shared" si="9"/>
        <v>40.779242244914002</v>
      </c>
      <c r="D61" s="159">
        <f t="shared" si="10"/>
        <v>10.898369207201476</v>
      </c>
      <c r="E61" s="159">
        <f t="shared" si="7"/>
        <v>29.880873037712526</v>
      </c>
      <c r="F61" s="159">
        <f t="shared" si="8"/>
        <v>2347.9451358062456</v>
      </c>
      <c r="G61" s="159">
        <f t="shared" si="11"/>
        <v>53</v>
      </c>
    </row>
    <row r="62" spans="1:18" s="159" customFormat="1" ht="15">
      <c r="A62" s="162">
        <v>41090</v>
      </c>
      <c r="C62" s="159">
        <f t="shared" si="9"/>
        <v>40.779242244914002</v>
      </c>
      <c r="D62" s="159">
        <f t="shared" si="10"/>
        <v>10.761415205778626</v>
      </c>
      <c r="E62" s="159">
        <f t="shared" si="7"/>
        <v>30.017827039135376</v>
      </c>
      <c r="F62" s="159">
        <f t="shared" si="8"/>
        <v>2317.9273087671104</v>
      </c>
      <c r="G62" s="159">
        <f t="shared" si="11"/>
        <v>54</v>
      </c>
    </row>
    <row r="63" spans="1:18" s="159" customFormat="1" ht="15">
      <c r="A63" s="162">
        <v>41121</v>
      </c>
      <c r="C63" s="159">
        <f t="shared" si="9"/>
        <v>40.779242244914002</v>
      </c>
      <c r="D63" s="159">
        <f t="shared" si="10"/>
        <v>10.623833498515923</v>
      </c>
      <c r="E63" s="159">
        <f t="shared" si="7"/>
        <v>30.155408746398081</v>
      </c>
      <c r="F63" s="159">
        <f t="shared" si="8"/>
        <v>2287.7719000207121</v>
      </c>
      <c r="G63" s="159">
        <f t="shared" si="11"/>
        <v>55</v>
      </c>
    </row>
    <row r="64" spans="1:18" s="159" customFormat="1" ht="15">
      <c r="A64" s="162">
        <v>41152</v>
      </c>
      <c r="C64" s="159">
        <f t="shared" si="9"/>
        <v>40.779242244914002</v>
      </c>
      <c r="D64" s="159">
        <f t="shared" si="10"/>
        <v>10.485621208428263</v>
      </c>
      <c r="E64" s="159">
        <f t="shared" si="7"/>
        <v>30.293621036485739</v>
      </c>
      <c r="F64" s="159">
        <f t="shared" si="8"/>
        <v>2257.4782789842266</v>
      </c>
      <c r="G64" s="159">
        <f t="shared" si="11"/>
        <v>56</v>
      </c>
    </row>
    <row r="65" spans="1:7" s="159" customFormat="1" ht="15">
      <c r="A65" s="162">
        <v>41182</v>
      </c>
      <c r="C65" s="159">
        <f t="shared" si="9"/>
        <v>40.779242244914002</v>
      </c>
      <c r="D65" s="159">
        <f t="shared" si="10"/>
        <v>10.346775445344372</v>
      </c>
      <c r="E65" s="159">
        <f t="shared" si="7"/>
        <v>30.432466799569632</v>
      </c>
      <c r="F65" s="159">
        <f t="shared" si="8"/>
        <v>2227.0458121846568</v>
      </c>
      <c r="G65" s="159">
        <f t="shared" si="11"/>
        <v>57</v>
      </c>
    </row>
    <row r="66" spans="1:7" s="159" customFormat="1" ht="15">
      <c r="A66" s="162">
        <v>41213</v>
      </c>
      <c r="C66" s="159">
        <f t="shared" si="9"/>
        <v>40.779242244914002</v>
      </c>
      <c r="D66" s="159">
        <f t="shared" si="10"/>
        <v>10.207293305846344</v>
      </c>
      <c r="E66" s="159">
        <f t="shared" si="7"/>
        <v>30.57194893906766</v>
      </c>
      <c r="F66" s="159">
        <f t="shared" si="8"/>
        <v>2196.4738632455892</v>
      </c>
      <c r="G66" s="159">
        <f t="shared" si="11"/>
        <v>58</v>
      </c>
    </row>
    <row r="67" spans="1:7" s="159" customFormat="1" ht="15">
      <c r="A67" s="162">
        <v>41243</v>
      </c>
      <c r="C67" s="159">
        <f t="shared" si="9"/>
        <v>40.779242244914002</v>
      </c>
      <c r="D67" s="159">
        <f t="shared" si="10"/>
        <v>10.067171873208951</v>
      </c>
      <c r="E67" s="159">
        <f t="shared" si="7"/>
        <v>30.712070371705053</v>
      </c>
      <c r="F67" s="159">
        <f t="shared" si="8"/>
        <v>2165.7617928738841</v>
      </c>
      <c r="G67" s="159">
        <f t="shared" si="11"/>
        <v>59</v>
      </c>
    </row>
    <row r="68" spans="1:7" s="159" customFormat="1" ht="15">
      <c r="A68" s="163">
        <v>41274</v>
      </c>
      <c r="B68" s="169"/>
      <c r="C68" s="169">
        <f>F67+D68</f>
        <v>2175.6882010912227</v>
      </c>
      <c r="D68" s="159">
        <f t="shared" si="10"/>
        <v>9.9264082173386363</v>
      </c>
      <c r="E68" s="169">
        <f t="shared" si="7"/>
        <v>2165.7617928738841</v>
      </c>
      <c r="F68" s="169">
        <f t="shared" si="8"/>
        <v>0</v>
      </c>
      <c r="G68" s="169">
        <f t="shared" si="11"/>
        <v>60</v>
      </c>
    </row>
    <row r="69" spans="1:7" s="159" customFormat="1" ht="15"/>
    <row r="70" spans="1:7" s="159" customFormat="1" ht="15"/>
    <row r="71" spans="1:7" s="159" customFormat="1" ht="15"/>
    <row r="72" spans="1:7" s="159" customFormat="1" ht="15"/>
    <row r="73" spans="1:7" s="159" customFormat="1" ht="15"/>
    <row r="74" spans="1:7" s="159" customFormat="1" ht="15"/>
    <row r="75" spans="1:7" s="159" customFormat="1" ht="15"/>
    <row r="76" spans="1:7" s="159" customFormat="1" ht="15"/>
    <row r="77" spans="1:7" s="159" customFormat="1" ht="15"/>
    <row r="78" spans="1:7" s="159" customFormat="1" ht="15"/>
    <row r="79" spans="1:7" s="159" customFormat="1" ht="15"/>
    <row r="80" spans="1:7" s="159" customFormat="1" ht="15"/>
    <row r="81" s="159" customFormat="1" ht="15"/>
    <row r="82" s="159" customFormat="1" ht="15"/>
    <row r="83" s="159" customFormat="1" ht="15"/>
    <row r="84" s="159" customFormat="1" ht="15"/>
    <row r="85" s="159" customFormat="1" ht="15"/>
    <row r="86" s="159" customFormat="1" ht="15"/>
    <row r="87" s="159" customFormat="1" ht="15"/>
    <row r="88" s="159" customFormat="1" ht="15"/>
    <row r="89" s="159" customFormat="1" ht="15"/>
    <row r="90" s="159" customFormat="1" ht="15"/>
    <row r="91" s="159" customFormat="1" ht="15"/>
    <row r="92" s="159" customFormat="1" ht="15"/>
    <row r="93" s="159" customFormat="1" ht="15"/>
    <row r="94" s="159" customFormat="1" ht="15"/>
    <row r="95" s="159" customFormat="1" ht="15"/>
    <row r="96" s="159" customFormat="1" ht="15"/>
    <row r="97" spans="1:18" s="159" customFormat="1" ht="15"/>
    <row r="98" spans="1:18" s="159" customFormat="1" ht="15"/>
    <row r="99" spans="1:18" s="159" customFormat="1" ht="15"/>
    <row r="100" spans="1:18" s="159" customFormat="1" ht="15"/>
    <row r="101" spans="1:18" s="159" customFormat="1" ht="15"/>
    <row r="102" spans="1:18" s="159" customFormat="1" ht="15">
      <c r="A102" s="165"/>
      <c r="B102" s="165"/>
      <c r="C102" s="165"/>
      <c r="D102" s="165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6" t="e">
        <f>#REF!</f>
        <v>#REF!</v>
      </c>
    </row>
    <row r="103" spans="1:18" s="159" customFormat="1" ht="15"/>
    <row r="104" spans="1:18" s="159" customFormat="1" ht="15"/>
    <row r="105" spans="1:18" s="159" customFormat="1" ht="15"/>
    <row r="106" spans="1:18" s="159" customFormat="1" ht="15"/>
    <row r="107" spans="1:18" s="159" customFormat="1" ht="15"/>
    <row r="108" spans="1:18" s="159" customFormat="1" ht="15"/>
    <row r="109" spans="1:18" s="159" customFormat="1" ht="15"/>
    <row r="110" spans="1:18" s="159" customFormat="1" ht="15"/>
    <row r="111" spans="1:18" s="159" customFormat="1" ht="15"/>
    <row r="112" spans="1:18" s="159" customFormat="1" ht="15"/>
    <row r="113" s="159" customFormat="1" ht="15"/>
    <row r="114" s="159" customFormat="1" ht="15"/>
    <row r="115" s="159" customFormat="1" ht="15"/>
    <row r="116" s="159" customFormat="1" ht="15"/>
    <row r="117" s="159" customFormat="1" ht="15"/>
    <row r="118" s="159" customFormat="1" ht="15"/>
    <row r="119" s="159" customFormat="1" ht="15"/>
    <row r="120" s="159" customFormat="1" ht="15"/>
    <row r="121" s="159" customFormat="1" ht="15"/>
    <row r="122" s="159" customFormat="1" ht="15"/>
    <row r="123" s="159" customFormat="1" ht="15"/>
    <row r="124" s="159" customFormat="1" ht="15"/>
    <row r="125" s="159" customFormat="1" ht="15"/>
    <row r="126" s="159" customFormat="1" ht="15"/>
    <row r="127" s="159" customFormat="1" ht="15"/>
    <row r="128" s="159" customFormat="1" ht="15"/>
    <row r="129" s="159" customFormat="1" ht="15"/>
  </sheetData>
  <pageMargins left="0.7" right="0.7" top="0.75" bottom="0.75" header="0.3" footer="0.3"/>
  <ignoredErrors>
    <ignoredError sqref="C10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FCB3E-91F0-5045-9936-541CC9B2B8C9}">
  <dimension ref="A1:N45"/>
  <sheetViews>
    <sheetView tabSelected="1" workbookViewId="0">
      <selection activeCell="B2" sqref="B2"/>
    </sheetView>
  </sheetViews>
  <sheetFormatPr baseColWidth="10" defaultRowHeight="16"/>
  <cols>
    <col min="1" max="1" width="7" customWidth="1"/>
    <col min="2" max="2" width="32.6640625" customWidth="1"/>
    <col min="3" max="7" width="11.6640625" customWidth="1"/>
    <col min="8" max="8" width="25.1640625" bestFit="1" customWidth="1"/>
    <col min="9" max="9" width="11.5" bestFit="1" customWidth="1"/>
  </cols>
  <sheetData>
    <row r="1" spans="2:7" ht="17" thickBot="1"/>
    <row r="2" spans="2:7" s="272" customFormat="1" ht="19" thickBot="1">
      <c r="B2" s="276" t="s">
        <v>200</v>
      </c>
      <c r="C2" s="277"/>
      <c r="D2" s="278"/>
      <c r="E2" s="278"/>
      <c r="F2" s="278"/>
      <c r="G2" s="278"/>
    </row>
    <row r="3" spans="2:7">
      <c r="B3" s="250"/>
      <c r="C3" s="250"/>
      <c r="D3" s="250"/>
      <c r="E3" s="250"/>
      <c r="F3" s="250"/>
      <c r="G3" s="250"/>
    </row>
    <row r="4" spans="2:7">
      <c r="B4" s="249" t="s">
        <v>199</v>
      </c>
      <c r="C4" s="249"/>
      <c r="D4" s="251">
        <f>WACC!D60</f>
        <v>8.0694140813156234E-2</v>
      </c>
      <c r="E4" s="250"/>
      <c r="F4" s="250"/>
      <c r="G4" s="250"/>
    </row>
    <row r="5" spans="2:7">
      <c r="B5" s="249" t="s">
        <v>46</v>
      </c>
      <c r="C5" s="249"/>
      <c r="D5" s="251">
        <f>WACC!D52</f>
        <v>5.5E-2</v>
      </c>
      <c r="E5" s="250"/>
      <c r="F5" s="250"/>
      <c r="G5" s="250"/>
    </row>
    <row r="6" spans="2:7">
      <c r="B6" s="249" t="s">
        <v>187</v>
      </c>
      <c r="C6" s="250"/>
      <c r="D6" s="252">
        <f>WACC!D65</f>
        <v>7.3884971851829642E-2</v>
      </c>
      <c r="E6" s="250"/>
      <c r="F6" s="250"/>
      <c r="G6" s="250"/>
    </row>
    <row r="7" spans="2:7">
      <c r="B7" s="249" t="s">
        <v>188</v>
      </c>
      <c r="C7" s="250"/>
      <c r="D7" s="252">
        <v>2.87E-2</v>
      </c>
      <c r="E7" s="250" t="s">
        <v>74</v>
      </c>
      <c r="F7" s="250"/>
      <c r="G7" s="250"/>
    </row>
    <row r="8" spans="2:7">
      <c r="B8" s="250"/>
      <c r="C8" s="250"/>
      <c r="D8" s="250"/>
      <c r="E8" s="250"/>
      <c r="F8" s="250"/>
      <c r="G8" s="250"/>
    </row>
    <row r="9" spans="2:7">
      <c r="B9" s="250"/>
      <c r="C9" s="257">
        <v>2008</v>
      </c>
      <c r="D9" s="257">
        <v>2009</v>
      </c>
      <c r="E9" s="257">
        <v>2010</v>
      </c>
      <c r="F9" s="257">
        <v>2011</v>
      </c>
      <c r="G9" s="258">
        <v>2012</v>
      </c>
    </row>
    <row r="10" spans="2:7">
      <c r="B10" s="249" t="s">
        <v>178</v>
      </c>
      <c r="C10" s="253">
        <f>'Financials Projection 2008-2012'!D79</f>
        <v>291.62323738973441</v>
      </c>
      <c r="D10" s="253">
        <f>'Financials Projection 2008-2012'!E79</f>
        <v>342.28265584285566</v>
      </c>
      <c r="E10" s="253">
        <f>'Financials Projection 2008-2012'!F79</f>
        <v>314.53899682188103</v>
      </c>
      <c r="F10" s="253">
        <f>'Financials Projection 2008-2012'!G79</f>
        <v>321.37147570869445</v>
      </c>
      <c r="G10" s="253">
        <f>'Financials Projection 2008-2012'!H79</f>
        <v>318.64369501369492</v>
      </c>
    </row>
    <row r="11" spans="2:7">
      <c r="B11" s="249" t="s">
        <v>184</v>
      </c>
      <c r="C11" s="253">
        <f>'Financials Projection 2008-2012'!C86</f>
        <v>79.77158334597442</v>
      </c>
      <c r="D11" s="253">
        <f>'Financials Projection 2008-2012'!D86</f>
        <v>73.230032626827878</v>
      </c>
      <c r="E11" s="253">
        <f>'Financials Projection 2008-2012'!E86</f>
        <v>66.319487028010798</v>
      </c>
      <c r="F11" s="253">
        <f>'Financials Projection 2008-2012'!F86</f>
        <v>59.019132337867816</v>
      </c>
      <c r="G11" s="253">
        <f>'Financials Projection 2008-2012'!G86</f>
        <v>51.306980259598348</v>
      </c>
    </row>
    <row r="12" spans="2:7">
      <c r="B12" s="249" t="s">
        <v>189</v>
      </c>
      <c r="C12" s="254">
        <v>1</v>
      </c>
      <c r="D12" s="254">
        <v>2</v>
      </c>
      <c r="E12" s="254">
        <v>3</v>
      </c>
      <c r="F12" s="254">
        <v>4</v>
      </c>
      <c r="G12" s="254">
        <v>5</v>
      </c>
    </row>
    <row r="13" spans="2:7">
      <c r="B13" s="249" t="s">
        <v>190</v>
      </c>
      <c r="C13" s="188">
        <f>PV($D$4,C12,,-C10)+PV($D$5,C12,,-C11)</f>
        <v>345.46095375118296</v>
      </c>
      <c r="D13" s="188">
        <f t="shared" ref="D13:G13" si="0">PV($D$4,D12,,-D10)+PV($D$5,D12,,-D11)</f>
        <v>358.86905449120826</v>
      </c>
      <c r="E13" s="188">
        <f t="shared" si="0"/>
        <v>305.68894949511156</v>
      </c>
      <c r="F13" s="188">
        <f t="shared" si="0"/>
        <v>283.25254483873783</v>
      </c>
      <c r="G13" s="188">
        <f t="shared" si="0"/>
        <v>255.42470370134066</v>
      </c>
    </row>
    <row r="14" spans="2:7">
      <c r="B14" s="250"/>
      <c r="C14" s="250"/>
      <c r="D14" s="250"/>
      <c r="E14" s="250"/>
      <c r="F14" s="250"/>
      <c r="G14" s="250"/>
    </row>
    <row r="15" spans="2:7">
      <c r="B15" s="249" t="s">
        <v>191</v>
      </c>
      <c r="C15" s="188">
        <f>(G10*(1+D7))/(D6-D7)</f>
        <v>7254.3758605288376</v>
      </c>
      <c r="D15" s="250"/>
      <c r="E15" s="250"/>
      <c r="F15" s="250"/>
      <c r="G15" s="250"/>
    </row>
    <row r="16" spans="2:7">
      <c r="B16" s="249" t="s">
        <v>192</v>
      </c>
      <c r="C16" s="188">
        <f>PV(D6,G12,,-C15)</f>
        <v>5079.3861354123846</v>
      </c>
      <c r="D16" s="250"/>
      <c r="E16" s="250"/>
      <c r="F16" s="250"/>
      <c r="G16" s="250"/>
    </row>
    <row r="17" spans="2:11">
      <c r="B17" s="250"/>
      <c r="C17" s="253"/>
      <c r="D17" s="250"/>
      <c r="E17" s="250"/>
      <c r="F17" s="250"/>
      <c r="G17" s="250"/>
    </row>
    <row r="18" spans="2:11">
      <c r="B18" s="255" t="s">
        <v>202</v>
      </c>
      <c r="C18" s="191">
        <f>SUM(C13:G13,C16)</f>
        <v>6628.0823416899657</v>
      </c>
      <c r="D18" s="250"/>
      <c r="E18" s="250"/>
      <c r="F18" s="250"/>
      <c r="G18" s="250"/>
    </row>
    <row r="19" spans="2:11">
      <c r="B19" s="250"/>
      <c r="C19" s="250"/>
      <c r="D19" s="250"/>
      <c r="E19" s="250"/>
      <c r="F19" s="250"/>
      <c r="G19" s="250"/>
    </row>
    <row r="20" spans="2:11" ht="18">
      <c r="B20" s="250"/>
      <c r="C20" s="250"/>
      <c r="D20" s="250"/>
      <c r="E20" s="250"/>
      <c r="F20" s="250"/>
      <c r="G20" s="250"/>
      <c r="H20" s="183"/>
    </row>
    <row r="21" spans="2:11" ht="17" thickBot="1">
      <c r="B21" s="250"/>
      <c r="C21" s="250"/>
      <c r="D21" s="250"/>
      <c r="E21" s="250"/>
      <c r="F21" s="250"/>
      <c r="G21" s="250"/>
    </row>
    <row r="22" spans="2:11" s="272" customFormat="1" ht="19" thickBot="1">
      <c r="B22" s="276" t="s">
        <v>201</v>
      </c>
      <c r="C22" s="277"/>
      <c r="D22" s="278"/>
      <c r="E22" s="278"/>
      <c r="F22" s="278"/>
      <c r="G22" s="278"/>
    </row>
    <row r="23" spans="2:11">
      <c r="B23" s="256"/>
      <c r="C23" s="250"/>
      <c r="D23" s="250"/>
      <c r="E23" s="250"/>
      <c r="F23" s="250"/>
      <c r="G23" s="250"/>
    </row>
    <row r="24" spans="2:11">
      <c r="B24" s="250"/>
      <c r="C24" s="250"/>
      <c r="D24" s="250"/>
      <c r="E24" s="250"/>
      <c r="F24" s="250"/>
      <c r="G24" s="250"/>
    </row>
    <row r="25" spans="2:11">
      <c r="B25" s="249" t="s">
        <v>2</v>
      </c>
      <c r="C25" s="253">
        <f>'Financials 2005-2007'!F15</f>
        <v>90.033000000000001</v>
      </c>
      <c r="D25" s="250"/>
      <c r="E25" s="250"/>
      <c r="F25" s="250"/>
      <c r="G25" s="250"/>
      <c r="H25" s="260" t="s">
        <v>204</v>
      </c>
      <c r="I25" s="261"/>
      <c r="J25" s="261"/>
      <c r="K25" s="262"/>
    </row>
    <row r="26" spans="2:11">
      <c r="B26" s="249" t="s">
        <v>194</v>
      </c>
      <c r="C26" s="253">
        <v>19.100000000000001</v>
      </c>
      <c r="D26" s="250" t="s">
        <v>203</v>
      </c>
      <c r="E26" s="250"/>
      <c r="F26" s="250"/>
      <c r="G26" s="250"/>
      <c r="H26" s="263" t="str">
        <f>+B29</f>
        <v>Enterprise Value</v>
      </c>
      <c r="I26" s="264"/>
      <c r="J26" s="264"/>
      <c r="K26" s="263">
        <f>C29</f>
        <v>8347.7126416899664</v>
      </c>
    </row>
    <row r="27" spans="2:11">
      <c r="B27" s="249" t="s">
        <v>195</v>
      </c>
      <c r="C27" s="188">
        <f>C26*C25</f>
        <v>1719.6303000000003</v>
      </c>
      <c r="D27" s="250"/>
      <c r="E27" s="250"/>
      <c r="F27" s="250"/>
      <c r="G27" s="250"/>
      <c r="H27" s="264" t="s">
        <v>205</v>
      </c>
      <c r="I27" s="264"/>
      <c r="J27" s="264"/>
      <c r="K27" s="265">
        <f>'Financials Projection 2008-2012'!F34</f>
        <v>1033.3249999999998</v>
      </c>
    </row>
    <row r="28" spans="2:11">
      <c r="B28" s="249"/>
      <c r="C28" s="253"/>
      <c r="D28" s="250"/>
      <c r="E28" s="250"/>
      <c r="F28" s="250"/>
      <c r="G28" s="250"/>
      <c r="H28" s="264"/>
      <c r="I28" s="264"/>
      <c r="J28" s="264"/>
      <c r="K28" s="264"/>
    </row>
    <row r="29" spans="2:11">
      <c r="B29" s="255" t="s">
        <v>193</v>
      </c>
      <c r="C29" s="191">
        <f>C27+C18</f>
        <v>8347.7126416899664</v>
      </c>
      <c r="D29" s="250"/>
      <c r="E29" s="250"/>
      <c r="F29" s="250"/>
      <c r="G29" s="250"/>
      <c r="H29" s="266" t="s">
        <v>204</v>
      </c>
      <c r="I29" s="264"/>
      <c r="J29" s="264"/>
      <c r="K29" s="267">
        <f>+IF(ISERROR(K26/K27),"- x",K26/K27)</f>
        <v>8.078496737899469</v>
      </c>
    </row>
    <row r="30" spans="2:11">
      <c r="B30" s="249" t="s">
        <v>196</v>
      </c>
      <c r="C30" s="253">
        <f>'Financials Projection 2008-2012'!F134-'Financials Projection 2008-2012'!F133-'Financials Projection 2008-2012'!F93</f>
        <v>2211.1850000000004</v>
      </c>
      <c r="D30" s="250" t="s">
        <v>197</v>
      </c>
      <c r="E30" s="250"/>
      <c r="F30" s="250"/>
      <c r="G30" s="250"/>
      <c r="H30" s="268"/>
      <c r="I30" s="269"/>
      <c r="J30" s="269"/>
      <c r="K30" s="269"/>
    </row>
    <row r="31" spans="2:11">
      <c r="B31" s="255" t="s">
        <v>198</v>
      </c>
      <c r="C31" s="191">
        <f>C29-C30</f>
        <v>6136.527641689966</v>
      </c>
      <c r="D31" s="250"/>
      <c r="E31" s="250"/>
      <c r="F31" s="250"/>
      <c r="G31" s="250"/>
      <c r="H31" s="270"/>
      <c r="I31" s="259"/>
      <c r="J31" s="259"/>
      <c r="K31" s="259"/>
    </row>
    <row r="34" spans="1:14" ht="21">
      <c r="A34" s="286" t="s">
        <v>214</v>
      </c>
      <c r="B34" s="287"/>
      <c r="C34" s="287"/>
      <c r="D34" s="287"/>
      <c r="E34" s="287"/>
      <c r="F34" s="287"/>
      <c r="G34" s="287"/>
      <c r="H34" s="287"/>
      <c r="I34" s="287"/>
      <c r="J34" s="287"/>
      <c r="K34" s="287"/>
      <c r="L34" s="287"/>
      <c r="M34" s="287"/>
      <c r="N34" s="287"/>
    </row>
    <row r="35" spans="1:14" ht="17" thickBot="1">
      <c r="A35" s="288" t="s">
        <v>215</v>
      </c>
      <c r="B35" s="289"/>
      <c r="C35" s="289"/>
      <c r="D35" s="289"/>
      <c r="E35" s="289"/>
      <c r="F35" s="289"/>
      <c r="G35" s="289"/>
      <c r="H35" s="289"/>
      <c r="I35" s="289"/>
      <c r="J35" s="289"/>
      <c r="K35" s="289"/>
      <c r="L35" s="290"/>
      <c r="M35" s="289"/>
      <c r="N35" s="291"/>
    </row>
    <row r="36" spans="1:14">
      <c r="A36" s="292"/>
      <c r="B36" s="292"/>
      <c r="C36" s="292"/>
      <c r="D36" s="292"/>
      <c r="E36" s="292"/>
      <c r="F36" s="292"/>
      <c r="G36" s="292"/>
      <c r="H36" s="292"/>
      <c r="I36" s="292"/>
      <c r="J36" s="292"/>
      <c r="K36" s="292"/>
      <c r="L36" s="292"/>
      <c r="M36" s="292"/>
      <c r="N36" s="292"/>
    </row>
    <row r="37" spans="1:14">
      <c r="A37" s="292"/>
      <c r="B37" s="292"/>
      <c r="C37" s="292"/>
      <c r="D37" s="292"/>
      <c r="E37" s="292"/>
      <c r="F37" s="292"/>
      <c r="G37" s="292"/>
      <c r="H37" s="292"/>
      <c r="I37" s="292"/>
      <c r="J37" s="292"/>
      <c r="K37" s="292"/>
      <c r="L37" s="292"/>
      <c r="M37" s="292"/>
      <c r="N37" s="292"/>
    </row>
    <row r="38" spans="1:14">
      <c r="A38" s="264"/>
      <c r="B38" s="293" t="s">
        <v>193</v>
      </c>
      <c r="C38" s="294"/>
      <c r="D38" s="294"/>
      <c r="E38" s="294"/>
      <c r="F38" s="294"/>
      <c r="G38" s="295"/>
      <c r="H38" s="296"/>
      <c r="I38" s="293" t="s">
        <v>198</v>
      </c>
      <c r="J38" s="294"/>
      <c r="K38" s="294"/>
      <c r="L38" s="294"/>
      <c r="M38" s="294"/>
      <c r="N38" s="295"/>
    </row>
    <row r="39" spans="1:14">
      <c r="A39" s="297"/>
      <c r="B39" s="264"/>
      <c r="C39" s="298" t="s">
        <v>216</v>
      </c>
      <c r="D39" s="298"/>
      <c r="E39" s="298"/>
      <c r="F39" s="298"/>
      <c r="G39" s="298"/>
      <c r="H39" s="297"/>
      <c r="I39" s="264"/>
      <c r="J39" s="298" t="s">
        <v>216</v>
      </c>
      <c r="K39" s="298"/>
      <c r="L39" s="298"/>
      <c r="M39" s="298"/>
      <c r="N39" s="298"/>
    </row>
    <row r="40" spans="1:14">
      <c r="A40" s="297"/>
      <c r="B40" s="299">
        <f>C29</f>
        <v>8347.7126416899664</v>
      </c>
      <c r="C40" s="300">
        <f>+D40-0.005</f>
        <v>1.8699999999999998E-2</v>
      </c>
      <c r="D40" s="300">
        <f>+E40-0.005</f>
        <v>2.3699999999999999E-2</v>
      </c>
      <c r="E40" s="300">
        <v>2.87E-2</v>
      </c>
      <c r="F40" s="300">
        <f>+E40+0.005</f>
        <v>3.3700000000000001E-2</v>
      </c>
      <c r="G40" s="300">
        <f>+F40+0.005</f>
        <v>3.8699999999999998E-2</v>
      </c>
      <c r="H40" s="301"/>
      <c r="I40" s="299">
        <f>C31</f>
        <v>6136.527641689966</v>
      </c>
      <c r="J40" s="300">
        <f>+K40-0.005</f>
        <v>1.8699999999999998E-2</v>
      </c>
      <c r="K40" s="300">
        <f>+L40-0.005</f>
        <v>2.3699999999999999E-2</v>
      </c>
      <c r="L40" s="300">
        <v>2.87E-2</v>
      </c>
      <c r="M40" s="300">
        <f>+L40+0.005</f>
        <v>3.3700000000000001E-2</v>
      </c>
      <c r="N40" s="300">
        <f>+M40+0.005</f>
        <v>3.8699999999999998E-2</v>
      </c>
    </row>
    <row r="41" spans="1:14">
      <c r="A41" s="302" t="s">
        <v>187</v>
      </c>
      <c r="B41" s="303">
        <f>+B42-0.005</f>
        <v>6.3884971851829633E-2</v>
      </c>
      <c r="C41" s="304">
        <f t="dataTable" ref="C41:G45" dt2D="1" dtr="1" r1="D7" r2="D6" ca="1"/>
        <v>8539.220095252791</v>
      </c>
      <c r="D41" s="305">
        <v>9224.1386829833864</v>
      </c>
      <c r="E41" s="305">
        <v>10103.719523284453</v>
      </c>
      <c r="F41" s="305">
        <v>11274.69730263808</v>
      </c>
      <c r="G41" s="305">
        <v>12910.626079849797</v>
      </c>
      <c r="H41" s="302" t="s">
        <v>187</v>
      </c>
      <c r="I41" s="303">
        <f>+I42-0.005</f>
        <v>6.3884971851829633E-2</v>
      </c>
      <c r="J41" s="304">
        <f t="dataTable" ref="J41:N45" dt2D="1" dtr="1" r1="D7" r2="D6" ca="1"/>
        <v>6328.0350952527906</v>
      </c>
      <c r="K41" s="305">
        <v>7012.953682983386</v>
      </c>
      <c r="L41" s="305">
        <v>7892.5345232844529</v>
      </c>
      <c r="M41" s="305">
        <v>9063.5123026380788</v>
      </c>
      <c r="N41" s="305">
        <v>10699.441079849796</v>
      </c>
    </row>
    <row r="42" spans="1:14">
      <c r="A42" s="302"/>
      <c r="B42" s="303">
        <f>+B43-0.005</f>
        <v>6.8884971851829638E-2</v>
      </c>
      <c r="C42" s="306">
        <v>9336.3051548317235</v>
      </c>
      <c r="D42" s="307">
        <v>10232.617377702172</v>
      </c>
      <c r="E42" s="307">
        <v>11425.869490816753</v>
      </c>
      <c r="F42" s="307">
        <v>13092.916897463852</v>
      </c>
      <c r="G42" s="307">
        <v>15585.849729606845</v>
      </c>
      <c r="H42" s="302"/>
      <c r="I42" s="303">
        <f>+I43-0.005</f>
        <v>6.8884971851829638E-2</v>
      </c>
      <c r="J42" s="306">
        <v>7125.1201548317231</v>
      </c>
      <c r="K42" s="307">
        <v>8021.4323777021718</v>
      </c>
      <c r="L42" s="307">
        <v>9214.6844908167513</v>
      </c>
      <c r="M42" s="307">
        <v>10881.731897463851</v>
      </c>
      <c r="N42" s="307">
        <v>13374.664729606844</v>
      </c>
    </row>
    <row r="43" spans="1:14">
      <c r="A43" s="302"/>
      <c r="B43" s="303">
        <f>D6</f>
        <v>7.3884971851829642E-2</v>
      </c>
      <c r="C43" s="306">
        <v>9336.3051548317235</v>
      </c>
      <c r="D43" s="307">
        <v>10232.617377702172</v>
      </c>
      <c r="E43" s="308">
        <v>11425.869490816753</v>
      </c>
      <c r="F43" s="307">
        <v>13092.916897463852</v>
      </c>
      <c r="G43" s="307">
        <v>15585.849729606845</v>
      </c>
      <c r="H43" s="302"/>
      <c r="I43" s="303">
        <f>D6</f>
        <v>7.3884971851829642E-2</v>
      </c>
      <c r="J43" s="306">
        <v>7125.1201548317231</v>
      </c>
      <c r="K43" s="307">
        <v>8021.4323777021718</v>
      </c>
      <c r="L43" s="308">
        <v>9214.6844908167513</v>
      </c>
      <c r="M43" s="307">
        <v>10881.731897463851</v>
      </c>
      <c r="N43" s="307">
        <v>13374.664729606844</v>
      </c>
    </row>
    <row r="44" spans="1:14">
      <c r="A44" s="302"/>
      <c r="B44" s="303">
        <f>+B43+0.005</f>
        <v>7.8884971851829647E-2</v>
      </c>
      <c r="C44" s="306">
        <v>8539.220095252791</v>
      </c>
      <c r="D44" s="307">
        <v>9224.1386829833864</v>
      </c>
      <c r="E44" s="307">
        <v>10103.719523284453</v>
      </c>
      <c r="F44" s="307">
        <v>11274.69730263808</v>
      </c>
      <c r="G44" s="307">
        <v>12910.626079849797</v>
      </c>
      <c r="H44" s="302"/>
      <c r="I44" s="303">
        <f>+I43+0.005</f>
        <v>7.8884971851829647E-2</v>
      </c>
      <c r="J44" s="306">
        <v>6328.0350952527906</v>
      </c>
      <c r="K44" s="307">
        <v>7012.953682983386</v>
      </c>
      <c r="L44" s="307">
        <v>7892.5345232844529</v>
      </c>
      <c r="M44" s="307">
        <v>9063.5123026380788</v>
      </c>
      <c r="N44" s="307">
        <v>10699.441079849796</v>
      </c>
    </row>
    <row r="45" spans="1:14">
      <c r="A45" s="302"/>
      <c r="B45" s="303">
        <f>+B44+0.005</f>
        <v>8.3884971851829651E-2</v>
      </c>
      <c r="C45" s="306">
        <v>7386.8541584209233</v>
      </c>
      <c r="D45" s="307">
        <v>7819.4175525809278</v>
      </c>
      <c r="E45" s="307">
        <v>8347.7126416899664</v>
      </c>
      <c r="F45" s="307">
        <v>9007.47356610106</v>
      </c>
      <c r="G45" s="307">
        <v>9854.746626997432</v>
      </c>
      <c r="H45" s="302"/>
      <c r="I45" s="303">
        <f>+I44+0.005</f>
        <v>8.3884971851829651E-2</v>
      </c>
      <c r="J45" s="306">
        <v>5175.6691584209229</v>
      </c>
      <c r="K45" s="307">
        <v>5608.2325525809274</v>
      </c>
      <c r="L45" s="307">
        <v>6136.527641689966</v>
      </c>
      <c r="M45" s="307">
        <v>6796.2885661010596</v>
      </c>
      <c r="N45" s="307">
        <v>7643.5616269974316</v>
      </c>
    </row>
  </sheetData>
  <mergeCells count="2">
    <mergeCell ref="A41:A45"/>
    <mergeCell ref="H41:H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WACC</vt:lpstr>
      <vt:lpstr>Financials 2005-2007</vt:lpstr>
      <vt:lpstr>Financials Projection 2008-2012</vt:lpstr>
      <vt:lpstr>Loan Amortization</vt:lpstr>
      <vt:lpstr>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Ma</dc:creator>
  <cp:lastModifiedBy>Lina Ma</cp:lastModifiedBy>
  <dcterms:created xsi:type="dcterms:W3CDTF">2020-03-09T01:20:15Z</dcterms:created>
  <dcterms:modified xsi:type="dcterms:W3CDTF">2020-03-09T06:02:28Z</dcterms:modified>
</cp:coreProperties>
</file>