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ydesarrollo\Downloads\"/>
    </mc:Choice>
  </mc:AlternateContent>
  <xr:revisionPtr revIDLastSave="0" documentId="13_ncr:1_{AC2D46F6-A7DC-4E87-8141-F8E444070719}" xr6:coauthVersionLast="36" xr6:coauthVersionMax="36" xr10:uidLastSave="{00000000-0000-0000-0000-000000000000}"/>
  <bookViews>
    <workbookView xWindow="0" yWindow="0" windowWidth="28800" windowHeight="11685" firstSheet="3" activeTab="10" xr2:uid="{D27EA7EE-4DFE-432D-A977-E0C084F71F2E}"/>
  </bookViews>
  <sheets>
    <sheet name="NÓMINA" sheetId="1" r:id="rId1"/>
    <sheet name="FORMULAS" sheetId="6" r:id="rId2"/>
    <sheet name="FORMATOS" sheetId="2" r:id="rId3"/>
    <sheet name="VALIDACION DE DATOS" sheetId="8" r:id="rId4"/>
    <sheet name="ORDENADOR 1" sheetId="9" r:id="rId5"/>
    <sheet name="ORDENADOR 2" sheetId="11" r:id="rId6"/>
    <sheet name="FILTROS" sheetId="10" r:id="rId7"/>
    <sheet name="Funciones logicas " sheetId="13" r:id="rId8"/>
    <sheet name="Contar.si.conjunto" sheetId="14" r:id="rId9"/>
    <sheet name="Tabla de datos" sheetId="15" r:id="rId10"/>
    <sheet name="Buscar v" sheetId="16" r:id="rId11"/>
  </sheets>
  <definedNames>
    <definedName name="_xlnm._FilterDatabase" localSheetId="6" hidden="1">FILTROS!$A$1:$H$11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6" l="1"/>
  <c r="C4" i="16" l="1"/>
  <c r="C5" i="16"/>
  <c r="C6" i="16"/>
  <c r="C7" i="16"/>
  <c r="C8" i="16"/>
  <c r="C9" i="16"/>
  <c r="C3" i="16"/>
  <c r="B4" i="16"/>
  <c r="B5" i="16"/>
  <c r="B6" i="16"/>
  <c r="B7" i="16"/>
  <c r="B8" i="16"/>
  <c r="B9" i="16"/>
  <c r="B3" i="16"/>
  <c r="E4" i="16"/>
  <c r="E5" i="16"/>
  <c r="E6" i="16"/>
  <c r="E7" i="16"/>
  <c r="E3" i="16"/>
  <c r="D4" i="16"/>
  <c r="D5" i="16"/>
  <c r="D6" i="16"/>
  <c r="D7" i="16"/>
  <c r="H13" i="15"/>
  <c r="L13" i="15" s="1"/>
  <c r="H12" i="15"/>
  <c r="H11" i="15"/>
  <c r="I11" i="15" s="1"/>
  <c r="M11" i="15" s="1"/>
  <c r="H10" i="15"/>
  <c r="J10" i="15" s="1"/>
  <c r="H9" i="15"/>
  <c r="H8" i="15"/>
  <c r="H7" i="15"/>
  <c r="L7" i="15" s="1"/>
  <c r="H6" i="15"/>
  <c r="H5" i="15"/>
  <c r="H4" i="15"/>
  <c r="H3" i="15"/>
  <c r="K10" i="15" l="1"/>
  <c r="J5" i="15"/>
  <c r="I13" i="15"/>
  <c r="M13" i="15" s="1"/>
  <c r="L10" i="15"/>
  <c r="J11" i="15"/>
  <c r="K11" i="15"/>
  <c r="L11" i="15"/>
  <c r="I5" i="15"/>
  <c r="M5" i="15" s="1"/>
  <c r="K5" i="15"/>
  <c r="J13" i="15"/>
  <c r="L5" i="15"/>
  <c r="K13" i="15"/>
  <c r="J8" i="15"/>
  <c r="I3" i="15"/>
  <c r="K8" i="15"/>
  <c r="I8" i="15"/>
  <c r="M8" i="15" s="1"/>
  <c r="L8" i="15"/>
  <c r="J3" i="15"/>
  <c r="I6" i="15"/>
  <c r="M6" i="15" s="1"/>
  <c r="K3" i="15"/>
  <c r="L3" i="15"/>
  <c r="J6" i="15"/>
  <c r="K6" i="15"/>
  <c r="I9" i="15"/>
  <c r="M9" i="15" s="1"/>
  <c r="L6" i="15"/>
  <c r="J9" i="15"/>
  <c r="I4" i="15"/>
  <c r="M4" i="15" s="1"/>
  <c r="K9" i="15"/>
  <c r="I12" i="15"/>
  <c r="M12" i="15" s="1"/>
  <c r="J4" i="15"/>
  <c r="L9" i="15"/>
  <c r="J12" i="15"/>
  <c r="K4" i="15"/>
  <c r="I7" i="15"/>
  <c r="M7" i="15" s="1"/>
  <c r="K12" i="15"/>
  <c r="L4" i="15"/>
  <c r="J7" i="15"/>
  <c r="L12" i="15"/>
  <c r="K7" i="15"/>
  <c r="I10" i="15"/>
  <c r="M10" i="15" s="1"/>
  <c r="B15" i="14"/>
  <c r="B29" i="13"/>
  <c r="B27" i="13"/>
  <c r="B25" i="13"/>
  <c r="B23" i="13"/>
  <c r="B21" i="13"/>
  <c r="B19" i="13"/>
  <c r="H16" i="13"/>
  <c r="K16" i="13" s="1"/>
  <c r="H15" i="13"/>
  <c r="L15" i="13" s="1"/>
  <c r="H14" i="13"/>
  <c r="H13" i="13"/>
  <c r="J13" i="13" s="1"/>
  <c r="H12" i="13"/>
  <c r="H11" i="13"/>
  <c r="I11" i="13" s="1"/>
  <c r="M11" i="13" s="1"/>
  <c r="H10" i="13"/>
  <c r="J10" i="13" s="1"/>
  <c r="H9" i="13"/>
  <c r="H8" i="13"/>
  <c r="K8" i="13" s="1"/>
  <c r="H7" i="13"/>
  <c r="H6" i="13"/>
  <c r="M3" i="15" l="1"/>
  <c r="L16" i="13"/>
  <c r="J16" i="13"/>
  <c r="L11" i="13"/>
  <c r="J8" i="13"/>
  <c r="L8" i="13"/>
  <c r="J11" i="13"/>
  <c r="K11" i="13"/>
  <c r="I10" i="13"/>
  <c r="K10" i="13"/>
  <c r="L10" i="13"/>
  <c r="I8" i="13"/>
  <c r="M8" i="13" s="1"/>
  <c r="M10" i="13"/>
  <c r="K13" i="13"/>
  <c r="I16" i="13"/>
  <c r="M16" i="13" s="1"/>
  <c r="I6" i="13"/>
  <c r="I14" i="13"/>
  <c r="M14" i="13" s="1"/>
  <c r="J6" i="13"/>
  <c r="J14" i="13"/>
  <c r="K6" i="13"/>
  <c r="I9" i="13"/>
  <c r="M9" i="13" s="1"/>
  <c r="K14" i="13"/>
  <c r="L6" i="13"/>
  <c r="J9" i="13"/>
  <c r="L14" i="13"/>
  <c r="K9" i="13"/>
  <c r="I12" i="13"/>
  <c r="M12" i="13" s="1"/>
  <c r="L9" i="13"/>
  <c r="J12" i="13"/>
  <c r="I7" i="13"/>
  <c r="M7" i="13" s="1"/>
  <c r="K12" i="13"/>
  <c r="I15" i="13"/>
  <c r="M15" i="13" s="1"/>
  <c r="J7" i="13"/>
  <c r="L12" i="13"/>
  <c r="J15" i="13"/>
  <c r="K7" i="13"/>
  <c r="K15" i="13"/>
  <c r="L13" i="13"/>
  <c r="L7" i="13"/>
  <c r="I13" i="13"/>
  <c r="M13" i="13" s="1"/>
  <c r="L7" i="1"/>
  <c r="L8" i="1"/>
  <c r="L9" i="1"/>
  <c r="L10" i="1"/>
  <c r="L11" i="1"/>
  <c r="L12" i="1"/>
  <c r="L13" i="1"/>
  <c r="L14" i="1"/>
  <c r="L15" i="1"/>
  <c r="L16" i="1"/>
  <c r="L6" i="1"/>
  <c r="K7" i="1"/>
  <c r="K8" i="1"/>
  <c r="K9" i="1"/>
  <c r="K10" i="1"/>
  <c r="K11" i="1"/>
  <c r="K12" i="1"/>
  <c r="K13" i="1"/>
  <c r="K14" i="1"/>
  <c r="K15" i="1"/>
  <c r="K16" i="1"/>
  <c r="K6" i="1"/>
  <c r="C22" i="1"/>
  <c r="M6" i="13" l="1"/>
  <c r="F11" i="9"/>
  <c r="G10" i="9"/>
  <c r="F10" i="9"/>
  <c r="H10" i="9" s="1"/>
  <c r="F9" i="9"/>
  <c r="F8" i="9"/>
  <c r="G8" i="9" s="1"/>
  <c r="G7" i="9"/>
  <c r="H7" i="9" s="1"/>
  <c r="F7" i="9"/>
  <c r="F6" i="9"/>
  <c r="G6" i="9" s="1"/>
  <c r="F5" i="9"/>
  <c r="G5" i="9" s="1"/>
  <c r="F4" i="9"/>
  <c r="G4" i="9" s="1"/>
  <c r="H4" i="9" s="1"/>
  <c r="F3" i="9"/>
  <c r="G3" i="9" s="1"/>
  <c r="F2" i="9"/>
  <c r="G11" i="11"/>
  <c r="H11" i="11" s="1"/>
  <c r="F11" i="11"/>
  <c r="F10" i="11"/>
  <c r="F9" i="11"/>
  <c r="F8" i="11"/>
  <c r="F7" i="11"/>
  <c r="F6" i="11"/>
  <c r="F5" i="11"/>
  <c r="F4" i="11"/>
  <c r="F3" i="11"/>
  <c r="F2" i="11"/>
  <c r="G2" i="11" s="1"/>
  <c r="F11" i="10"/>
  <c r="F10" i="10"/>
  <c r="F9" i="10"/>
  <c r="F8" i="10"/>
  <c r="F7" i="10"/>
  <c r="F6" i="10"/>
  <c r="G6" i="10" s="1"/>
  <c r="H6" i="10" s="1"/>
  <c r="F5" i="10"/>
  <c r="F4" i="10"/>
  <c r="F3" i="10"/>
  <c r="F2" i="10"/>
  <c r="H11" i="9" l="1"/>
  <c r="H2" i="9"/>
  <c r="H9" i="9"/>
  <c r="H5" i="9"/>
  <c r="H6" i="9"/>
  <c r="H8" i="9"/>
  <c r="H3" i="9"/>
  <c r="G9" i="9"/>
  <c r="G2" i="9"/>
  <c r="G11" i="9"/>
  <c r="G7" i="11"/>
  <c r="H7" i="11" s="1"/>
  <c r="H2" i="11"/>
  <c r="G9" i="11"/>
  <c r="H9" i="11" s="1"/>
  <c r="G6" i="11"/>
  <c r="H6" i="11" s="1"/>
  <c r="G8" i="11"/>
  <c r="H8" i="11" s="1"/>
  <c r="G3" i="11"/>
  <c r="H3" i="11" s="1"/>
  <c r="G4" i="11"/>
  <c r="H4" i="11" s="1"/>
  <c r="G10" i="11"/>
  <c r="H10" i="11" s="1"/>
  <c r="G5" i="11"/>
  <c r="H5" i="11" s="1"/>
  <c r="G7" i="10"/>
  <c r="H7" i="10" s="1"/>
  <c r="G2" i="10"/>
  <c r="H2" i="10" s="1"/>
  <c r="G8" i="10"/>
  <c r="H8" i="10" s="1"/>
  <c r="G3" i="10"/>
  <c r="H3" i="10" s="1"/>
  <c r="G9" i="10"/>
  <c r="H9" i="10" s="1"/>
  <c r="G4" i="10"/>
  <c r="H4" i="10" s="1"/>
  <c r="G10" i="10"/>
  <c r="H10" i="10" s="1"/>
  <c r="G5" i="10"/>
  <c r="H5" i="10" s="1"/>
  <c r="G11" i="10"/>
  <c r="H11" i="10" s="1"/>
  <c r="H10" i="1"/>
  <c r="I4" i="6"/>
  <c r="I3" i="6"/>
  <c r="I2" i="6"/>
  <c r="G4" i="6"/>
  <c r="G3" i="6"/>
  <c r="G2" i="6"/>
  <c r="I10" i="1" l="1"/>
  <c r="J10" i="1"/>
  <c r="M10" i="1"/>
  <c r="H7" i="1"/>
  <c r="J7" i="1" s="1"/>
  <c r="H8" i="1"/>
  <c r="J8" i="1" s="1"/>
  <c r="H9" i="1"/>
  <c r="J9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6" i="1"/>
  <c r="E5" i="6"/>
  <c r="E4" i="6"/>
  <c r="E3" i="6"/>
  <c r="E2" i="6"/>
  <c r="C3" i="6"/>
  <c r="C4" i="6" s="1"/>
  <c r="A6" i="6"/>
  <c r="A5" i="6"/>
  <c r="A4" i="6"/>
  <c r="A3" i="6"/>
  <c r="A2" i="6"/>
  <c r="J6" i="1" l="1"/>
  <c r="H19" i="1"/>
  <c r="H18" i="1"/>
  <c r="I6" i="1"/>
  <c r="I16" i="1"/>
  <c r="M16" i="1"/>
  <c r="I15" i="1"/>
  <c r="M15" i="1" s="1"/>
  <c r="I14" i="1"/>
  <c r="M14" i="1" s="1"/>
  <c r="I13" i="1"/>
  <c r="M13" i="1" s="1"/>
  <c r="I12" i="1"/>
  <c r="M12" i="1" s="1"/>
  <c r="I11" i="1"/>
  <c r="M11" i="1" s="1"/>
  <c r="I9" i="1"/>
  <c r="M9" i="1" s="1"/>
  <c r="I8" i="1"/>
  <c r="M8" i="1" s="1"/>
  <c r="I7" i="1"/>
  <c r="M7" i="1" s="1"/>
  <c r="C5" i="6"/>
  <c r="C6" i="6"/>
  <c r="M6" i="1" l="1"/>
  <c r="H20" i="1" s="1"/>
  <c r="I19" i="1"/>
  <c r="I18" i="1"/>
  <c r="J18" i="1"/>
  <c r="J19" i="1"/>
  <c r="H21" i="1" l="1"/>
  <c r="M18" i="1"/>
  <c r="M19" i="1"/>
</calcChain>
</file>

<file path=xl/sharedStrings.xml><?xml version="1.0" encoding="utf-8"?>
<sst xmlns="http://schemas.openxmlformats.org/spreadsheetml/2006/main" count="246" uniqueCount="101">
  <si>
    <t>INDUSTRIA DE ALIMENTOS S.A</t>
  </si>
  <si>
    <t>PAGO DE NÓMINA</t>
  </si>
  <si>
    <t>DEL 15 AL 30 DE NOVIEMBRE DE 2023</t>
  </si>
  <si>
    <t>Nombres</t>
  </si>
  <si>
    <t>Número de horas</t>
  </si>
  <si>
    <t>Devengado</t>
  </si>
  <si>
    <t>Valor de la hora</t>
  </si>
  <si>
    <t>Total a pagar</t>
  </si>
  <si>
    <t>Apellido</t>
  </si>
  <si>
    <t>Identificación</t>
  </si>
  <si>
    <t>Ortiz Montoya</t>
  </si>
  <si>
    <t>Lopez Muñoz</t>
  </si>
  <si>
    <t>Mejia Vasquez</t>
  </si>
  <si>
    <t>Murillo</t>
  </si>
  <si>
    <t>Alvarez</t>
  </si>
  <si>
    <t>Castro</t>
  </si>
  <si>
    <t>Calderon</t>
  </si>
  <si>
    <t>Castrillon</t>
  </si>
  <si>
    <t>Florez</t>
  </si>
  <si>
    <t>Elizabeth</t>
  </si>
  <si>
    <t>Susana</t>
  </si>
  <si>
    <t>Pedro</t>
  </si>
  <si>
    <t>Diego</t>
  </si>
  <si>
    <t>Dora</t>
  </si>
  <si>
    <t>Ana Maria</t>
  </si>
  <si>
    <t>Isabel</t>
  </si>
  <si>
    <t>Jaime</t>
  </si>
  <si>
    <t>Orlando</t>
  </si>
  <si>
    <t>Villegas</t>
  </si>
  <si>
    <t>Samuel</t>
  </si>
  <si>
    <t>Formato general</t>
  </si>
  <si>
    <t>Formato separador de miles</t>
  </si>
  <si>
    <t>Formato monedas</t>
  </si>
  <si>
    <t>Formato contabilidad</t>
  </si>
  <si>
    <t>DIRECTAS</t>
  </si>
  <si>
    <t>INDIRECTAS</t>
  </si>
  <si>
    <t>RELACION</t>
  </si>
  <si>
    <t>PORCENTAJE</t>
  </si>
  <si>
    <t>Deducción (10%)</t>
  </si>
  <si>
    <t>Código</t>
  </si>
  <si>
    <t>Celular</t>
  </si>
  <si>
    <t>Buitrago</t>
  </si>
  <si>
    <t>Carla</t>
  </si>
  <si>
    <t>Enteros entre 1-10</t>
  </si>
  <si>
    <t>Enteros y decimales entre 0-5</t>
  </si>
  <si>
    <t>Ciudades de Colombia</t>
  </si>
  <si>
    <t xml:space="preserve">Apellidos </t>
  </si>
  <si>
    <t xml:space="preserve">Número de horas </t>
  </si>
  <si>
    <t>Deduccion (10%)</t>
  </si>
  <si>
    <t>Cordoba</t>
  </si>
  <si>
    <t>Lagarejo</t>
  </si>
  <si>
    <t>Andres</t>
  </si>
  <si>
    <t>Marmolejo</t>
  </si>
  <si>
    <t>Luis</t>
  </si>
  <si>
    <t>Mosquera Murillo</t>
  </si>
  <si>
    <t>Cristian</t>
  </si>
  <si>
    <t>Paneso</t>
  </si>
  <si>
    <t>Yarley</t>
  </si>
  <si>
    <t>Pelaez</t>
  </si>
  <si>
    <t>Lina</t>
  </si>
  <si>
    <t>Perez Jaramillo</t>
  </si>
  <si>
    <t>Tatiana</t>
  </si>
  <si>
    <t>Urrea</t>
  </si>
  <si>
    <t>Mateo</t>
  </si>
  <si>
    <t>Valoys</t>
  </si>
  <si>
    <t>Sonia</t>
  </si>
  <si>
    <t>Waitoto</t>
  </si>
  <si>
    <t>Eivar</t>
  </si>
  <si>
    <t>Totales:</t>
  </si>
  <si>
    <t>promedios:</t>
  </si>
  <si>
    <t>Número de celdas con información en el rango A1 hasta K16:</t>
  </si>
  <si>
    <t>Deduccuió 2</t>
  </si>
  <si>
    <r>
      <t xml:space="preserve">Número de celdas </t>
    </r>
    <r>
      <rPr>
        <b/>
        <i/>
        <u/>
        <sz val="14"/>
        <color rgb="FF7030A0"/>
        <rFont val="Calibri"/>
        <family val="2"/>
        <scheme val="minor"/>
      </rPr>
      <t xml:space="preserve">numéricas </t>
    </r>
    <r>
      <rPr>
        <b/>
        <i/>
        <sz val="14"/>
        <color rgb="FF7030A0"/>
        <rFont val="Calibri"/>
        <family val="2"/>
        <scheme val="minor"/>
      </rPr>
      <t>en el rango A1 hasta K16:</t>
    </r>
  </si>
  <si>
    <t>Hoy es:</t>
  </si>
  <si>
    <t>Día de la semana que nací</t>
  </si>
  <si>
    <t>Bonificación 1</t>
  </si>
  <si>
    <t>Bonificación 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</si>
  <si>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</si>
  <si>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sumar devengados que sean menores o iguales de 23.000</t>
  </si>
  <si>
    <t>Fórmula:</t>
  </si>
  <si>
    <t>Sumar devengados cuyo número de horas sean menores o iguales de 90 y el valor hora mayor de 22.000</t>
  </si>
  <si>
    <t>Hallar el promedio de los devengados que sean menores o iguales a 2000000</t>
  </si>
  <si>
    <t xml:space="preserve">Fórmula </t>
  </si>
  <si>
    <t>Contar las celdas cuyo número de horas sean mayores de 90</t>
  </si>
  <si>
    <t>Promediar los devengados cuyo número de horas sean menores o iguales a 90 y el valor hora mayores de 22.000</t>
  </si>
  <si>
    <t>Contar celdas cuya deducción 2, sea mayores o iguales de 21360</t>
  </si>
  <si>
    <t>Fórmulas:</t>
  </si>
  <si>
    <t>Múltiplos de 2</t>
  </si>
  <si>
    <t>Múltiplos de 3</t>
  </si>
  <si>
    <t>Múltiplos de 4</t>
  </si>
  <si>
    <t>Múltiplos de 5</t>
  </si>
  <si>
    <t>Múltiplos de 6</t>
  </si>
  <si>
    <t>Múltiplos de 7</t>
  </si>
  <si>
    <t>Múltiplos de 8</t>
  </si>
  <si>
    <t>Múltiplos de 9</t>
  </si>
  <si>
    <t>Múltiplos de 10</t>
  </si>
  <si>
    <t>En la tabla anterior, cuantos numeros hay entre 2 y 50</t>
  </si>
  <si>
    <t>Fórmula;</t>
  </si>
  <si>
    <t>Hoja de datos a buscar</t>
  </si>
  <si>
    <t>wx800</t>
  </si>
  <si>
    <t>wx700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</si>
</sst>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[$$-240A]\ #,##0"/>
    <numFmt numFmtId="165" formatCode="_-[$$-240A]\ * #,##0_-;\-[$$-240A]\ * #,##0_-;_-[$$-240A]\ * &quot;-&quot;_-;_-@_-"/>
    <numFmt numFmtId="166" formatCode="&quot;$&quot;#,##0"/>
    <numFmt numFmtId="167" formatCode="&quot;xw&quot;000"/>
    <numFmt numFmtId="168" formatCode="\(###\)\-###\-####"/>
    <numFmt numFmtId="169" formatCode="_-&quot;$&quot;\ * #,##0_-;\-&quot;$&quot;\ * #,##0_-;_-&quot;$&quot;\ * &quot;-&quot;??_-;_-@_-"/>
    <numFmt numFmtId="170" formatCode="[$-F800]dddd\,\ mmmm\ dd\,\ yyyy"/>
    <numFmt numFmtId="171" formatCode="&quot;$&quot;\ #,##0"/>
  </numFmts>
  <fonts count="16" x14ac:knownFonts="1">
    <font>
      <sz val="11"/>
      <color theme="1"/>
      <name val="Calibri"/>
      <family val="2"/>
      <scheme val="minor"/>
    </font>
    <font>
      <b/>
      <i/>
      <sz val="22"/>
      <color rgb="FF7030A0"/>
      <name val="Cambria"/>
      <family val="1"/>
    </font>
    <font>
      <b/>
      <sz val="12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u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type="path" left="0.5" right="0.5" top="0.5" bottom="0.5">
        <stop position="0">
          <color theme="8" tint="0.80001220740379042"/>
        </stop>
        <stop position="1">
          <color theme="4" tint="0.40000610370189521"/>
        </stop>
      </gradientFill>
    </fill>
    <fill>
      <gradientFill degree="90">
        <stop position="0">
          <color theme="9" tint="0.59999389629810485"/>
        </stop>
        <stop position="1">
          <color theme="8" tint="0.80001220740379042"/>
        </stop>
      </gradientFill>
    </fill>
    <fill>
      <gradientFill degree="90">
        <stop position="0">
          <color theme="5" tint="0.80001220740379042"/>
        </stop>
        <stop position="1">
          <color theme="5" tint="0.40000610370189521"/>
        </stop>
      </gradient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ck">
        <color theme="8" tint="0.39994506668294322"/>
      </left>
      <right style="thick">
        <color theme="8" tint="0.39994506668294322"/>
      </right>
      <top style="thick">
        <color theme="8" tint="0.39994506668294322"/>
      </top>
      <bottom style="thick">
        <color theme="8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0.39994506668294322"/>
      </left>
      <right style="medium">
        <color theme="5" tint="0.39994506668294322"/>
      </right>
      <top style="medium">
        <color theme="5" tint="0.39994506668294322"/>
      </top>
      <bottom style="medium">
        <color theme="5" tint="0.39994506668294322"/>
      </bottom>
      <diagonal/>
    </border>
    <border>
      <left style="medium">
        <color theme="9" tint="0.39991454817346722"/>
      </left>
      <right style="medium">
        <color theme="9" tint="0.39991454817346722"/>
      </right>
      <top style="medium">
        <color theme="9" tint="0.39991454817346722"/>
      </top>
      <bottom style="medium">
        <color theme="9" tint="0.39991454817346722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/>
      <top/>
      <bottom style="medium">
        <color theme="9" tint="0.39994506668294322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3" fillId="0" borderId="2" xfId="0" applyFont="1" applyBorder="1" applyAlignment="1">
      <alignment horizontal="center" wrapText="1"/>
    </xf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2" fillId="0" borderId="1" xfId="0" applyFont="1" applyBorder="1" applyAlignment="1">
      <alignment horizontal="center" vertical="center"/>
    </xf>
    <xf numFmtId="167" fontId="0" fillId="0" borderId="1" xfId="0" applyNumberFormat="1" applyBorder="1"/>
    <xf numFmtId="168" fontId="0" fillId="0" borderId="1" xfId="0" applyNumberForma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/>
    <xf numFmtId="42" fontId="0" fillId="0" borderId="3" xfId="1" applyNumberFormat="1" applyFont="1" applyBorder="1"/>
    <xf numFmtId="169" fontId="0" fillId="0" borderId="3" xfId="1" applyNumberFormat="1" applyFont="1" applyBorder="1"/>
    <xf numFmtId="169" fontId="0" fillId="0" borderId="3" xfId="0" applyNumberForma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6" fontId="8" fillId="0" borderId="0" xfId="0" applyNumberFormat="1" applyFont="1"/>
    <xf numFmtId="9" fontId="10" fillId="0" borderId="0" xfId="0" applyNumberFormat="1" applyFont="1"/>
    <xf numFmtId="0" fontId="8" fillId="0" borderId="0" xfId="0" applyFont="1"/>
    <xf numFmtId="170" fontId="9" fillId="0" borderId="0" xfId="0" applyNumberFormat="1" applyFont="1"/>
    <xf numFmtId="171" fontId="8" fillId="0" borderId="0" xfId="0" applyNumberFormat="1" applyFont="1"/>
    <xf numFmtId="0" fontId="8" fillId="5" borderId="0" xfId="0" applyFont="1" applyFill="1"/>
    <xf numFmtId="0" fontId="9" fillId="0" borderId="0" xfId="0" applyFont="1"/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167" fontId="0" fillId="0" borderId="6" xfId="0" applyNumberForma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/>
    <xf numFmtId="171" fontId="0" fillId="0" borderId="5" xfId="0" applyNumberFormat="1" applyBorder="1"/>
    <xf numFmtId="167" fontId="0" fillId="0" borderId="6" xfId="0" applyNumberFormat="1" applyBorder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70" fontId="1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15">
    <dxf>
      <font>
        <color rgb="FF9C0006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7030A0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7030A0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7030A0"/>
      </font>
    </dxf>
    <dxf>
      <font>
        <b/>
        <i val="0"/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B5CE2-1427-4CCC-B904-EA6369361EC0}">
  <sheetPr>
    <tabColor theme="9" tint="0.39997558519241921"/>
  </sheetPr>
  <dimension ref="A1:M23"/>
  <sheetViews>
    <sheetView workbookViewId="0">
      <selection activeCell="O26" sqref="O26"/>
    </sheetView>
  </sheetViews>
  <sheetFormatPr baseColWidth="10" defaultRowHeight="15" x14ac:dyDescent="0.25"/>
  <cols>
    <col min="1" max="1" width="13.7109375" customWidth="1"/>
    <col min="2" max="2" width="7.7109375" bestFit="1" customWidth="1"/>
    <col min="3" max="3" width="14" customWidth="1"/>
    <col min="4" max="4" width="37.140625" bestFit="1" customWidth="1"/>
    <col min="5" max="5" width="13.85546875" bestFit="1" customWidth="1"/>
    <col min="6" max="6" width="14.85546875" style="1" customWidth="1"/>
    <col min="11" max="11" width="13" customWidth="1"/>
    <col min="12" max="12" width="14.28515625" customWidth="1"/>
  </cols>
  <sheetData>
    <row r="1" spans="1:13" ht="27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17"/>
      <c r="L1" s="17"/>
      <c r="M1" s="17"/>
    </row>
    <row r="2" spans="1:13" ht="27" x14ac:dyDescent="0.2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18"/>
      <c r="L2" s="18"/>
      <c r="M2" s="18"/>
    </row>
    <row r="3" spans="1:13" ht="27" x14ac:dyDescent="0.25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19"/>
      <c r="L3" s="19"/>
      <c r="M3" s="19"/>
    </row>
    <row r="4" spans="1:13" ht="15.75" thickBot="1" x14ac:dyDescent="0.3">
      <c r="J4" s="31">
        <v>0.01</v>
      </c>
      <c r="K4" s="31"/>
      <c r="L4" s="31"/>
    </row>
    <row r="5" spans="1:13" ht="32.25" thickBot="1" x14ac:dyDescent="0.3">
      <c r="A5" s="2" t="s">
        <v>9</v>
      </c>
      <c r="B5" s="14" t="s">
        <v>39</v>
      </c>
      <c r="C5" s="14" t="s">
        <v>8</v>
      </c>
      <c r="D5" s="14" t="s">
        <v>3</v>
      </c>
      <c r="E5" s="14" t="s">
        <v>40</v>
      </c>
      <c r="F5" s="3" t="s">
        <v>4</v>
      </c>
      <c r="G5" s="4" t="s">
        <v>6</v>
      </c>
      <c r="H5" s="14" t="s">
        <v>5</v>
      </c>
      <c r="I5" s="4" t="s">
        <v>38</v>
      </c>
      <c r="J5" s="4" t="s">
        <v>71</v>
      </c>
      <c r="K5" s="4" t="s">
        <v>75</v>
      </c>
      <c r="L5" s="4" t="s">
        <v>76</v>
      </c>
      <c r="M5" s="4" t="s">
        <v>7</v>
      </c>
    </row>
    <row r="6" spans="1:13" ht="15.75" thickBot="1" x14ac:dyDescent="0.3">
      <c r="A6" s="5">
        <v>1234991049</v>
      </c>
      <c r="B6" s="15">
        <v>1</v>
      </c>
      <c r="C6" s="5" t="s">
        <v>10</v>
      </c>
      <c r="D6" s="5" t="s">
        <v>19</v>
      </c>
      <c r="E6" s="16">
        <v>3008792050</v>
      </c>
      <c r="F6" s="6">
        <v>96</v>
      </c>
      <c r="G6" s="12">
        <v>21500</v>
      </c>
      <c r="H6" s="12">
        <f>F6*G6</f>
        <v>2064000</v>
      </c>
      <c r="I6" s="12">
        <f t="shared" ref="I6:I16" si="0">H6*10%</f>
        <v>206400</v>
      </c>
      <c r="J6" s="12">
        <f>$J$4*H6</f>
        <v>20640</v>
      </c>
      <c r="K6" s="12">
        <f>IF(H6&gt;=2000000,8%*H6,5%*H6)</f>
        <v>165120</v>
      </c>
      <c r="L6" s="12" t="str">
        <f>IF(H6&lt;2000000,"juego de vajilla","kit de cuchillos")</f>
        <v>kit de cuchillos</v>
      </c>
      <c r="M6" s="12">
        <f t="shared" ref="M6:M16" si="1">H6-I6</f>
        <v>1857600</v>
      </c>
    </row>
    <row r="7" spans="1:13" ht="15.75" thickBot="1" x14ac:dyDescent="0.3">
      <c r="A7" s="5">
        <v>26789416</v>
      </c>
      <c r="B7" s="15">
        <v>100</v>
      </c>
      <c r="C7" s="5" t="s">
        <v>11</v>
      </c>
      <c r="D7" s="5" t="s">
        <v>20</v>
      </c>
      <c r="E7" s="16">
        <v>3125698741</v>
      </c>
      <c r="F7" s="6">
        <v>90</v>
      </c>
      <c r="G7" s="12">
        <v>22000</v>
      </c>
      <c r="H7" s="12">
        <f t="shared" ref="H7:H16" si="2">F7*G7</f>
        <v>1980000</v>
      </c>
      <c r="I7" s="12">
        <f t="shared" si="0"/>
        <v>198000</v>
      </c>
      <c r="J7" s="12">
        <f t="shared" ref="J7:J16" si="3">$J$4*H7</f>
        <v>19800</v>
      </c>
      <c r="K7" s="12">
        <f t="shared" ref="K7:K16" si="4">IF(H7&gt;=2000000,8%*H7,5%*H7)</f>
        <v>99000</v>
      </c>
      <c r="L7" s="12" t="str">
        <f t="shared" ref="L7:L16" si="5">IF(H7&lt;2000000,"juego de vajilla","kit de cuchillos")</f>
        <v>juego de vajilla</v>
      </c>
      <c r="M7" s="12">
        <f t="shared" si="1"/>
        <v>1782000</v>
      </c>
    </row>
    <row r="8" spans="1:13" ht="15.75" thickBot="1" x14ac:dyDescent="0.3">
      <c r="A8" s="5">
        <v>1007468733</v>
      </c>
      <c r="B8" s="15">
        <v>999</v>
      </c>
      <c r="C8" s="5" t="s">
        <v>12</v>
      </c>
      <c r="D8" s="5" t="s">
        <v>21</v>
      </c>
      <c r="E8" s="16">
        <v>3145897148</v>
      </c>
      <c r="F8" s="6">
        <v>85</v>
      </c>
      <c r="G8" s="12">
        <v>23000</v>
      </c>
      <c r="H8" s="12">
        <f t="shared" si="2"/>
        <v>1955000</v>
      </c>
      <c r="I8" s="12">
        <f t="shared" si="0"/>
        <v>195500</v>
      </c>
      <c r="J8" s="12">
        <f t="shared" si="3"/>
        <v>19550</v>
      </c>
      <c r="K8" s="12">
        <f t="shared" si="4"/>
        <v>97750</v>
      </c>
      <c r="L8" s="12" t="str">
        <f t="shared" si="5"/>
        <v>juego de vajilla</v>
      </c>
      <c r="M8" s="12">
        <f t="shared" si="1"/>
        <v>1759500</v>
      </c>
    </row>
    <row r="9" spans="1:13" ht="15.75" thickBot="1" x14ac:dyDescent="0.3">
      <c r="A9" s="5">
        <v>7854955</v>
      </c>
      <c r="B9" s="15">
        <v>150</v>
      </c>
      <c r="C9" s="5" t="s">
        <v>13</v>
      </c>
      <c r="D9" s="5" t="s">
        <v>22</v>
      </c>
      <c r="E9" s="16">
        <v>3245796452</v>
      </c>
      <c r="F9" s="6">
        <v>78</v>
      </c>
      <c r="G9" s="12">
        <v>25500</v>
      </c>
      <c r="H9" s="12">
        <f t="shared" si="2"/>
        <v>1989000</v>
      </c>
      <c r="I9" s="12">
        <f t="shared" si="0"/>
        <v>198900</v>
      </c>
      <c r="J9" s="12">
        <f t="shared" si="3"/>
        <v>19890</v>
      </c>
      <c r="K9" s="12">
        <f t="shared" si="4"/>
        <v>99450</v>
      </c>
      <c r="L9" s="12" t="str">
        <f t="shared" si="5"/>
        <v>juego de vajilla</v>
      </c>
      <c r="M9" s="12">
        <f t="shared" si="1"/>
        <v>1790100</v>
      </c>
    </row>
    <row r="10" spans="1:13" ht="15.75" thickBot="1" x14ac:dyDescent="0.3">
      <c r="A10" s="5">
        <v>425789147</v>
      </c>
      <c r="B10" s="15">
        <v>28</v>
      </c>
      <c r="C10" s="5" t="s">
        <v>41</v>
      </c>
      <c r="D10" s="5" t="s">
        <v>42</v>
      </c>
      <c r="E10" s="16">
        <v>3214789874</v>
      </c>
      <c r="F10" s="6">
        <v>88</v>
      </c>
      <c r="G10" s="12">
        <v>26000</v>
      </c>
      <c r="H10" s="12">
        <f t="shared" si="2"/>
        <v>2288000</v>
      </c>
      <c r="I10" s="12">
        <f t="shared" si="0"/>
        <v>228800</v>
      </c>
      <c r="J10" s="12">
        <f t="shared" si="3"/>
        <v>22880</v>
      </c>
      <c r="K10" s="12">
        <f t="shared" si="4"/>
        <v>183040</v>
      </c>
      <c r="L10" s="12" t="str">
        <f t="shared" si="5"/>
        <v>kit de cuchillos</v>
      </c>
      <c r="M10" s="12">
        <f t="shared" si="1"/>
        <v>2059200</v>
      </c>
    </row>
    <row r="11" spans="1:13" ht="15.75" thickBot="1" x14ac:dyDescent="0.3">
      <c r="A11" s="5">
        <v>1234789655</v>
      </c>
      <c r="B11" s="15">
        <v>875</v>
      </c>
      <c r="C11" s="5" t="s">
        <v>14</v>
      </c>
      <c r="D11" s="5" t="s">
        <v>23</v>
      </c>
      <c r="E11" s="16">
        <v>3104501480</v>
      </c>
      <c r="F11" s="6">
        <v>89</v>
      </c>
      <c r="G11" s="12">
        <v>24000</v>
      </c>
      <c r="H11" s="12">
        <f t="shared" si="2"/>
        <v>2136000</v>
      </c>
      <c r="I11" s="12">
        <f t="shared" si="0"/>
        <v>213600</v>
      </c>
      <c r="J11" s="12">
        <f t="shared" si="3"/>
        <v>21360</v>
      </c>
      <c r="K11" s="12">
        <f t="shared" si="4"/>
        <v>170880</v>
      </c>
      <c r="L11" s="12" t="str">
        <f t="shared" si="5"/>
        <v>kit de cuchillos</v>
      </c>
      <c r="M11" s="12">
        <f t="shared" si="1"/>
        <v>1922400</v>
      </c>
    </row>
    <row r="12" spans="1:13" ht="15.75" thickBot="1" x14ac:dyDescent="0.3">
      <c r="A12" s="5">
        <v>8512369</v>
      </c>
      <c r="B12" s="15">
        <v>9</v>
      </c>
      <c r="C12" s="5" t="s">
        <v>15</v>
      </c>
      <c r="D12" s="5" t="s">
        <v>24</v>
      </c>
      <c r="E12" s="16">
        <v>3207784105</v>
      </c>
      <c r="F12" s="6">
        <v>96</v>
      </c>
      <c r="G12" s="12">
        <v>21000</v>
      </c>
      <c r="H12" s="12">
        <f t="shared" si="2"/>
        <v>2016000</v>
      </c>
      <c r="I12" s="12">
        <f t="shared" si="0"/>
        <v>201600</v>
      </c>
      <c r="J12" s="12">
        <f t="shared" si="3"/>
        <v>20160</v>
      </c>
      <c r="K12" s="12">
        <f t="shared" si="4"/>
        <v>161280</v>
      </c>
      <c r="L12" s="12" t="str">
        <f t="shared" si="5"/>
        <v>kit de cuchillos</v>
      </c>
      <c r="M12" s="12">
        <f t="shared" si="1"/>
        <v>1814400</v>
      </c>
    </row>
    <row r="13" spans="1:13" ht="15.75" thickBot="1" x14ac:dyDescent="0.3">
      <c r="A13" s="5">
        <v>1000258796</v>
      </c>
      <c r="B13" s="15">
        <v>5</v>
      </c>
      <c r="C13" s="5" t="s">
        <v>16</v>
      </c>
      <c r="D13" s="5" t="s">
        <v>25</v>
      </c>
      <c r="E13" s="16">
        <v>3148963102</v>
      </c>
      <c r="F13" s="6">
        <v>95</v>
      </c>
      <c r="G13" s="12">
        <v>22700</v>
      </c>
      <c r="H13" s="12">
        <f t="shared" si="2"/>
        <v>2156500</v>
      </c>
      <c r="I13" s="12">
        <f t="shared" si="0"/>
        <v>215650</v>
      </c>
      <c r="J13" s="12">
        <f t="shared" si="3"/>
        <v>21565</v>
      </c>
      <c r="K13" s="12">
        <f t="shared" si="4"/>
        <v>172520</v>
      </c>
      <c r="L13" s="12" t="str">
        <f t="shared" si="5"/>
        <v>kit de cuchillos</v>
      </c>
      <c r="M13" s="12">
        <f t="shared" si="1"/>
        <v>1940850</v>
      </c>
    </row>
    <row r="14" spans="1:13" ht="15.75" thickBot="1" x14ac:dyDescent="0.3">
      <c r="A14" s="5">
        <v>42100879</v>
      </c>
      <c r="B14" s="15">
        <v>8</v>
      </c>
      <c r="C14" s="5" t="s">
        <v>17</v>
      </c>
      <c r="D14" s="5" t="s">
        <v>26</v>
      </c>
      <c r="E14" s="16">
        <v>3105214789</v>
      </c>
      <c r="F14" s="6">
        <v>91</v>
      </c>
      <c r="G14" s="12">
        <v>23100</v>
      </c>
      <c r="H14" s="12">
        <f t="shared" si="2"/>
        <v>2102100</v>
      </c>
      <c r="I14" s="12">
        <f t="shared" si="0"/>
        <v>210210</v>
      </c>
      <c r="J14" s="12">
        <f t="shared" si="3"/>
        <v>21021</v>
      </c>
      <c r="K14" s="12">
        <f t="shared" si="4"/>
        <v>168168</v>
      </c>
      <c r="L14" s="12" t="str">
        <f t="shared" si="5"/>
        <v>kit de cuchillos</v>
      </c>
      <c r="M14" s="12">
        <f t="shared" si="1"/>
        <v>1891890</v>
      </c>
    </row>
    <row r="15" spans="1:13" ht="15.75" thickBot="1" x14ac:dyDescent="0.3">
      <c r="A15" s="5">
        <v>5987612</v>
      </c>
      <c r="B15" s="15">
        <v>4</v>
      </c>
      <c r="C15" s="5" t="s">
        <v>18</v>
      </c>
      <c r="D15" s="5" t="s">
        <v>27</v>
      </c>
      <c r="E15" s="16">
        <v>3111524789</v>
      </c>
      <c r="F15" s="6">
        <v>93</v>
      </c>
      <c r="G15" s="12">
        <v>20978</v>
      </c>
      <c r="H15" s="12">
        <f t="shared" si="2"/>
        <v>1950954</v>
      </c>
      <c r="I15" s="12">
        <f t="shared" si="0"/>
        <v>195095.40000000002</v>
      </c>
      <c r="J15" s="12">
        <f t="shared" si="3"/>
        <v>19509.54</v>
      </c>
      <c r="K15" s="12">
        <f t="shared" si="4"/>
        <v>97547.700000000012</v>
      </c>
      <c r="L15" s="12" t="str">
        <f t="shared" si="5"/>
        <v>juego de vajilla</v>
      </c>
      <c r="M15" s="12">
        <f t="shared" si="1"/>
        <v>1755858.6</v>
      </c>
    </row>
    <row r="16" spans="1:13" ht="15.75" thickBot="1" x14ac:dyDescent="0.3">
      <c r="A16" s="5">
        <v>32489658</v>
      </c>
      <c r="B16" s="15">
        <v>11</v>
      </c>
      <c r="C16" s="5" t="s">
        <v>28</v>
      </c>
      <c r="D16" s="5" t="s">
        <v>29</v>
      </c>
      <c r="E16" s="16">
        <v>3215965478</v>
      </c>
      <c r="F16" s="6">
        <v>92</v>
      </c>
      <c r="G16" s="12">
        <v>26755</v>
      </c>
      <c r="H16" s="12">
        <f t="shared" si="2"/>
        <v>2461460</v>
      </c>
      <c r="I16" s="12">
        <f t="shared" si="0"/>
        <v>246146</v>
      </c>
      <c r="J16" s="12">
        <f t="shared" si="3"/>
        <v>24614.600000000002</v>
      </c>
      <c r="K16" s="12">
        <f t="shared" si="4"/>
        <v>196916.80000000002</v>
      </c>
      <c r="L16" s="12" t="str">
        <f t="shared" si="5"/>
        <v>kit de cuchillos</v>
      </c>
      <c r="M16" s="12">
        <f t="shared" si="1"/>
        <v>2215314</v>
      </c>
    </row>
    <row r="18" spans="1:13" ht="18.75" x14ac:dyDescent="0.3">
      <c r="A18" s="47" t="s">
        <v>68</v>
      </c>
      <c r="B18" s="47"/>
      <c r="C18" s="47"/>
      <c r="D18" s="47"/>
      <c r="E18" s="47"/>
      <c r="F18" s="47"/>
      <c r="G18" s="47"/>
      <c r="H18" s="30">
        <f>SUM(H6:H16)</f>
        <v>23099014</v>
      </c>
      <c r="I18" s="30">
        <f t="shared" ref="I18:M18" si="6">SUM(I6:I16)</f>
        <v>2309901.4</v>
      </c>
      <c r="J18" s="30">
        <f t="shared" si="6"/>
        <v>230990.14</v>
      </c>
      <c r="K18" s="30"/>
      <c r="L18" s="30"/>
      <c r="M18" s="30">
        <f t="shared" si="6"/>
        <v>20789112.600000001</v>
      </c>
    </row>
    <row r="19" spans="1:13" ht="18.75" x14ac:dyDescent="0.3">
      <c r="A19" s="47" t="s">
        <v>69</v>
      </c>
      <c r="B19" s="47"/>
      <c r="C19" s="47"/>
      <c r="D19" s="47"/>
      <c r="E19" s="47"/>
      <c r="F19" s="47"/>
      <c r="G19" s="47"/>
      <c r="H19" s="30">
        <f>AVERAGE(H6:H16)</f>
        <v>2099910.3636363638</v>
      </c>
      <c r="I19" s="30">
        <f t="shared" ref="I19:M19" si="7">AVERAGE(I6:I16)</f>
        <v>209991.03636363635</v>
      </c>
      <c r="J19" s="30">
        <f t="shared" si="7"/>
        <v>20999.103636363638</v>
      </c>
      <c r="K19" s="30"/>
      <c r="L19" s="30"/>
      <c r="M19" s="30">
        <f t="shared" si="7"/>
        <v>1889919.3272727274</v>
      </c>
    </row>
    <row r="20" spans="1:13" ht="18.75" x14ac:dyDescent="0.3">
      <c r="A20" s="47" t="s">
        <v>70</v>
      </c>
      <c r="B20" s="47"/>
      <c r="C20" s="47"/>
      <c r="D20" s="47"/>
      <c r="E20" s="47"/>
      <c r="F20" s="47"/>
      <c r="G20" s="47"/>
      <c r="H20" s="32">
        <f>COUNTA(A1:M16)</f>
        <v>160</v>
      </c>
    </row>
    <row r="21" spans="1:13" ht="18.75" x14ac:dyDescent="0.3">
      <c r="A21" s="47" t="s">
        <v>72</v>
      </c>
      <c r="B21" s="47"/>
      <c r="C21" s="47"/>
      <c r="D21" s="47"/>
      <c r="E21" s="47"/>
      <c r="F21" s="47"/>
      <c r="G21" s="47"/>
      <c r="H21" s="32">
        <f>COUNT(A1:M16)</f>
        <v>111</v>
      </c>
    </row>
    <row r="22" spans="1:13" ht="18.75" x14ac:dyDescent="0.3">
      <c r="A22" s="47" t="s">
        <v>73</v>
      </c>
      <c r="B22" s="48"/>
      <c r="C22" s="49">
        <f ca="1">TODAY()</f>
        <v>45365</v>
      </c>
      <c r="D22" s="49"/>
      <c r="E22" s="49"/>
    </row>
    <row r="23" spans="1:13" ht="18.75" x14ac:dyDescent="0.3">
      <c r="A23" s="50" t="s">
        <v>74</v>
      </c>
      <c r="B23" s="50"/>
      <c r="C23" s="50"/>
      <c r="D23" s="33">
        <v>36092</v>
      </c>
    </row>
  </sheetData>
  <mergeCells count="10">
    <mergeCell ref="A1:J1"/>
    <mergeCell ref="A2:J2"/>
    <mergeCell ref="A3:J3"/>
    <mergeCell ref="A18:G18"/>
    <mergeCell ref="A19:G19"/>
    <mergeCell ref="A20:G20"/>
    <mergeCell ref="A21:G21"/>
    <mergeCell ref="A22:B22"/>
    <mergeCell ref="C22:E22"/>
    <mergeCell ref="A23:C23"/>
  </mergeCells>
  <printOptions horizontalCentered="1" verticalCentered="1"/>
  <pageMargins left="0.39370078740157483" right="0.39370078740157483" top="0.39370078740157483" bottom="0.39370078740157483" header="0.19685039370078741" footer="0.39370078740157483"/>
  <pageSetup orientation="landscape" r:id="rId1"/>
  <headerFooter>
    <oddHeader>&amp;L&amp;"-,Negrita Cursiva"&amp;10&amp;K09+038Elizabeth Ortiz Montoya&amp;C&amp;"-,Negrita Cursiva"&amp;10&amp;K09-023Nombre del archivo: &amp;F&amp;R&amp;G</oddHeader>
    <oddFooter>&amp;C&amp;"-,Negrita Cursiva"&amp;10&amp;K7030A0Nombre de la hoja: &amp;A&amp;R&amp;"-,Negrita Cursiva"&amp;10&amp;K00B050fecha del día :&amp;D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5B86-B0D8-4C0F-8BA0-37AC0A8390FB}">
  <sheetPr>
    <tabColor theme="9" tint="0.39997558519241921"/>
  </sheetPr>
  <dimension ref="A1:M13"/>
  <sheetViews>
    <sheetView workbookViewId="0">
      <selection activeCell="D5" sqref="D5"/>
    </sheetView>
  </sheetViews>
  <sheetFormatPr baseColWidth="10" defaultRowHeight="15" x14ac:dyDescent="0.25"/>
  <cols>
    <col min="1" max="1" width="7.7109375" bestFit="1" customWidth="1"/>
    <col min="2" max="2" width="13.7109375" customWidth="1"/>
    <col min="3" max="3" width="14" customWidth="1"/>
    <col min="4" max="4" width="37.140625" bestFit="1" customWidth="1"/>
    <col min="5" max="5" width="13.85546875" bestFit="1" customWidth="1"/>
    <col min="6" max="6" width="14.85546875" style="1" customWidth="1"/>
    <col min="11" max="11" width="13" customWidth="1"/>
    <col min="12" max="12" width="14.28515625" customWidth="1"/>
  </cols>
  <sheetData>
    <row r="1" spans="1:13" ht="15.75" thickBot="1" x14ac:dyDescent="0.3">
      <c r="J1" s="31">
        <v>0.01</v>
      </c>
      <c r="K1" s="31"/>
      <c r="L1" s="31"/>
    </row>
    <row r="2" spans="1:13" ht="32.25" thickBot="1" x14ac:dyDescent="0.3">
      <c r="A2" s="14" t="s">
        <v>39</v>
      </c>
      <c r="B2" s="2" t="s">
        <v>9</v>
      </c>
      <c r="C2" s="14" t="s">
        <v>8</v>
      </c>
      <c r="D2" s="14" t="s">
        <v>3</v>
      </c>
      <c r="E2" s="14" t="s">
        <v>40</v>
      </c>
      <c r="F2" s="3" t="s">
        <v>4</v>
      </c>
      <c r="G2" s="4" t="s">
        <v>6</v>
      </c>
      <c r="H2" s="14" t="s">
        <v>5</v>
      </c>
      <c r="I2" s="4" t="s">
        <v>38</v>
      </c>
      <c r="J2" s="4" t="s">
        <v>71</v>
      </c>
      <c r="K2" s="4" t="s">
        <v>75</v>
      </c>
      <c r="L2" s="4" t="s">
        <v>76</v>
      </c>
      <c r="M2" s="4" t="s">
        <v>7</v>
      </c>
    </row>
    <row r="3" spans="1:13" ht="15.75" thickBot="1" x14ac:dyDescent="0.3">
      <c r="A3" s="15">
        <v>1</v>
      </c>
      <c r="B3" s="5">
        <v>1234991049</v>
      </c>
      <c r="C3" s="5" t="s">
        <v>10</v>
      </c>
      <c r="D3" s="5" t="s">
        <v>19</v>
      </c>
      <c r="E3" s="16">
        <v>3008792050</v>
      </c>
      <c r="F3" s="6">
        <v>96</v>
      </c>
      <c r="G3" s="12">
        <v>21500</v>
      </c>
      <c r="H3" s="12">
        <f>F3*G3</f>
        <v>2064000</v>
      </c>
      <c r="I3" s="12">
        <f t="shared" ref="I3:I13" si="0">H3*10%</f>
        <v>206400</v>
      </c>
      <c r="J3" s="12">
        <f>$J$1*H3</f>
        <v>20640</v>
      </c>
      <c r="K3" s="12">
        <f>IF(H3&gt;=2000000,8%*H3,5%*H3)</f>
        <v>165120</v>
      </c>
      <c r="L3" s="12" t="str">
        <f>IF(H3&lt;2000000,"juego de vajilla","kit de cuchillos")</f>
        <v>kit de cuchillos</v>
      </c>
      <c r="M3" s="12">
        <f t="shared" ref="M3:M13" si="1">H3-I3</f>
        <v>1857600</v>
      </c>
    </row>
    <row r="4" spans="1:13" ht="15.75" thickBot="1" x14ac:dyDescent="0.3">
      <c r="A4" s="15">
        <v>100</v>
      </c>
      <c r="B4" s="5">
        <v>26789416</v>
      </c>
      <c r="C4" s="5" t="s">
        <v>11</v>
      </c>
      <c r="D4" s="5" t="s">
        <v>20</v>
      </c>
      <c r="E4" s="16">
        <v>3125698741</v>
      </c>
      <c r="F4" s="6">
        <v>90</v>
      </c>
      <c r="G4" s="12">
        <v>22000</v>
      </c>
      <c r="H4" s="12">
        <f t="shared" ref="H4:H13" si="2">F4*G4</f>
        <v>1980000</v>
      </c>
      <c r="I4" s="12">
        <f t="shared" si="0"/>
        <v>198000</v>
      </c>
      <c r="J4" s="12">
        <f t="shared" ref="J4:J13" si="3">$J$1*H4</f>
        <v>19800</v>
      </c>
      <c r="K4" s="12">
        <f t="shared" ref="K4:K13" si="4">IF(H4&gt;=2000000,8%*H4,5%*H4)</f>
        <v>99000</v>
      </c>
      <c r="L4" s="12" t="str">
        <f t="shared" ref="L4:L13" si="5">IF(H4&lt;2000000,"juego de vajilla","kit de cuchillos")</f>
        <v>juego de vajilla</v>
      </c>
      <c r="M4" s="12">
        <f t="shared" si="1"/>
        <v>1782000</v>
      </c>
    </row>
    <row r="5" spans="1:13" ht="15.75" thickBot="1" x14ac:dyDescent="0.3">
      <c r="A5" s="15">
        <v>999</v>
      </c>
      <c r="B5" s="5">
        <v>1007468733</v>
      </c>
      <c r="C5" s="5" t="s">
        <v>12</v>
      </c>
      <c r="D5" s="5" t="s">
        <v>21</v>
      </c>
      <c r="E5" s="16">
        <v>3145897148</v>
      </c>
      <c r="F5" s="6">
        <v>85</v>
      </c>
      <c r="G5" s="12">
        <v>23000</v>
      </c>
      <c r="H5" s="12">
        <f t="shared" si="2"/>
        <v>1955000</v>
      </c>
      <c r="I5" s="12">
        <f t="shared" si="0"/>
        <v>195500</v>
      </c>
      <c r="J5" s="12">
        <f t="shared" si="3"/>
        <v>19550</v>
      </c>
      <c r="K5" s="12">
        <f t="shared" si="4"/>
        <v>97750</v>
      </c>
      <c r="L5" s="12" t="str">
        <f t="shared" si="5"/>
        <v>juego de vajilla</v>
      </c>
      <c r="M5" s="12">
        <f t="shared" si="1"/>
        <v>1759500</v>
      </c>
    </row>
    <row r="6" spans="1:13" ht="15.75" thickBot="1" x14ac:dyDescent="0.3">
      <c r="A6" s="15">
        <v>150</v>
      </c>
      <c r="B6" s="5">
        <v>7854955</v>
      </c>
      <c r="C6" s="5" t="s">
        <v>13</v>
      </c>
      <c r="D6" s="5" t="s">
        <v>22</v>
      </c>
      <c r="E6" s="16">
        <v>3245796452</v>
      </c>
      <c r="F6" s="6">
        <v>78</v>
      </c>
      <c r="G6" s="12">
        <v>25500</v>
      </c>
      <c r="H6" s="12">
        <f t="shared" si="2"/>
        <v>1989000</v>
      </c>
      <c r="I6" s="12">
        <f t="shared" si="0"/>
        <v>198900</v>
      </c>
      <c r="J6" s="12">
        <f t="shared" si="3"/>
        <v>19890</v>
      </c>
      <c r="K6" s="12">
        <f t="shared" si="4"/>
        <v>99450</v>
      </c>
      <c r="L6" s="12" t="str">
        <f t="shared" si="5"/>
        <v>juego de vajilla</v>
      </c>
      <c r="M6" s="12">
        <f t="shared" si="1"/>
        <v>1790100</v>
      </c>
    </row>
    <row r="7" spans="1:13" ht="15.75" thickBot="1" x14ac:dyDescent="0.3">
      <c r="A7" s="15">
        <v>28</v>
      </c>
      <c r="B7" s="5">
        <v>425789147</v>
      </c>
      <c r="C7" s="5" t="s">
        <v>41</v>
      </c>
      <c r="D7" s="5" t="s">
        <v>42</v>
      </c>
      <c r="E7" s="16">
        <v>3214789874</v>
      </c>
      <c r="F7" s="6">
        <v>88</v>
      </c>
      <c r="G7" s="12">
        <v>26000</v>
      </c>
      <c r="H7" s="12">
        <f t="shared" si="2"/>
        <v>2288000</v>
      </c>
      <c r="I7" s="12">
        <f t="shared" si="0"/>
        <v>228800</v>
      </c>
      <c r="J7" s="12">
        <f t="shared" si="3"/>
        <v>22880</v>
      </c>
      <c r="K7" s="12">
        <f t="shared" si="4"/>
        <v>183040</v>
      </c>
      <c r="L7" s="12" t="str">
        <f t="shared" si="5"/>
        <v>kit de cuchillos</v>
      </c>
      <c r="M7" s="12">
        <f t="shared" si="1"/>
        <v>2059200</v>
      </c>
    </row>
    <row r="8" spans="1:13" ht="15.75" thickBot="1" x14ac:dyDescent="0.3">
      <c r="A8" s="15">
        <v>875</v>
      </c>
      <c r="B8" s="5">
        <v>1234789655</v>
      </c>
      <c r="C8" s="5" t="s">
        <v>14</v>
      </c>
      <c r="D8" s="5" t="s">
        <v>23</v>
      </c>
      <c r="E8" s="16">
        <v>3104501480</v>
      </c>
      <c r="F8" s="6">
        <v>89</v>
      </c>
      <c r="G8" s="12">
        <v>24000</v>
      </c>
      <c r="H8" s="12">
        <f t="shared" si="2"/>
        <v>2136000</v>
      </c>
      <c r="I8" s="12">
        <f t="shared" si="0"/>
        <v>213600</v>
      </c>
      <c r="J8" s="12">
        <f t="shared" si="3"/>
        <v>21360</v>
      </c>
      <c r="K8" s="12">
        <f t="shared" si="4"/>
        <v>170880</v>
      </c>
      <c r="L8" s="12" t="str">
        <f t="shared" si="5"/>
        <v>kit de cuchillos</v>
      </c>
      <c r="M8" s="12">
        <f t="shared" si="1"/>
        <v>1922400</v>
      </c>
    </row>
    <row r="9" spans="1:13" ht="15.75" thickBot="1" x14ac:dyDescent="0.3">
      <c r="A9" s="15">
        <v>9</v>
      </c>
      <c r="B9" s="5">
        <v>8512369</v>
      </c>
      <c r="C9" s="5" t="s">
        <v>15</v>
      </c>
      <c r="D9" s="5" t="s">
        <v>24</v>
      </c>
      <c r="E9" s="16">
        <v>3207784105</v>
      </c>
      <c r="F9" s="6">
        <v>96</v>
      </c>
      <c r="G9" s="12">
        <v>21000</v>
      </c>
      <c r="H9" s="12">
        <f t="shared" si="2"/>
        <v>2016000</v>
      </c>
      <c r="I9" s="12">
        <f t="shared" si="0"/>
        <v>201600</v>
      </c>
      <c r="J9" s="12">
        <f t="shared" si="3"/>
        <v>20160</v>
      </c>
      <c r="K9" s="12">
        <f t="shared" si="4"/>
        <v>161280</v>
      </c>
      <c r="L9" s="12" t="str">
        <f t="shared" si="5"/>
        <v>kit de cuchillos</v>
      </c>
      <c r="M9" s="12">
        <f t="shared" si="1"/>
        <v>1814400</v>
      </c>
    </row>
    <row r="10" spans="1:13" ht="15.75" thickBot="1" x14ac:dyDescent="0.3">
      <c r="A10" s="15">
        <v>5</v>
      </c>
      <c r="B10" s="5">
        <v>1000258796</v>
      </c>
      <c r="C10" s="5" t="s">
        <v>16</v>
      </c>
      <c r="D10" s="5" t="s">
        <v>25</v>
      </c>
      <c r="E10" s="16">
        <v>3148963102</v>
      </c>
      <c r="F10" s="6">
        <v>95</v>
      </c>
      <c r="G10" s="12">
        <v>22700</v>
      </c>
      <c r="H10" s="12">
        <f t="shared" si="2"/>
        <v>2156500</v>
      </c>
      <c r="I10" s="12">
        <f t="shared" si="0"/>
        <v>215650</v>
      </c>
      <c r="J10" s="12">
        <f t="shared" si="3"/>
        <v>21565</v>
      </c>
      <c r="K10" s="12">
        <f t="shared" si="4"/>
        <v>172520</v>
      </c>
      <c r="L10" s="12" t="str">
        <f t="shared" si="5"/>
        <v>kit de cuchillos</v>
      </c>
      <c r="M10" s="12">
        <f t="shared" si="1"/>
        <v>1940850</v>
      </c>
    </row>
    <row r="11" spans="1:13" ht="15.75" thickBot="1" x14ac:dyDescent="0.3">
      <c r="A11" s="15">
        <v>8</v>
      </c>
      <c r="B11" s="5">
        <v>42100879</v>
      </c>
      <c r="C11" s="5" t="s">
        <v>17</v>
      </c>
      <c r="D11" s="5" t="s">
        <v>26</v>
      </c>
      <c r="E11" s="16">
        <v>3105214789</v>
      </c>
      <c r="F11" s="6">
        <v>91</v>
      </c>
      <c r="G11" s="12">
        <v>23100</v>
      </c>
      <c r="H11" s="12">
        <f t="shared" si="2"/>
        <v>2102100</v>
      </c>
      <c r="I11" s="12">
        <f t="shared" si="0"/>
        <v>210210</v>
      </c>
      <c r="J11" s="12">
        <f t="shared" si="3"/>
        <v>21021</v>
      </c>
      <c r="K11" s="12">
        <f t="shared" si="4"/>
        <v>168168</v>
      </c>
      <c r="L11" s="12" t="str">
        <f t="shared" si="5"/>
        <v>kit de cuchillos</v>
      </c>
      <c r="M11" s="12">
        <f t="shared" si="1"/>
        <v>1891890</v>
      </c>
    </row>
    <row r="12" spans="1:13" ht="15.75" thickBot="1" x14ac:dyDescent="0.3">
      <c r="A12" s="15">
        <v>4</v>
      </c>
      <c r="B12" s="5">
        <v>5987612</v>
      </c>
      <c r="C12" s="5" t="s">
        <v>18</v>
      </c>
      <c r="D12" s="5" t="s">
        <v>27</v>
      </c>
      <c r="E12" s="16">
        <v>3111524789</v>
      </c>
      <c r="F12" s="6">
        <v>93</v>
      </c>
      <c r="G12" s="12">
        <v>20978</v>
      </c>
      <c r="H12" s="12">
        <f t="shared" si="2"/>
        <v>1950954</v>
      </c>
      <c r="I12" s="12">
        <f t="shared" si="0"/>
        <v>195095.40000000002</v>
      </c>
      <c r="J12" s="12">
        <f t="shared" si="3"/>
        <v>19509.54</v>
      </c>
      <c r="K12" s="12">
        <f t="shared" si="4"/>
        <v>97547.700000000012</v>
      </c>
      <c r="L12" s="12" t="str">
        <f t="shared" si="5"/>
        <v>juego de vajilla</v>
      </c>
      <c r="M12" s="12">
        <f t="shared" si="1"/>
        <v>1755858.6</v>
      </c>
    </row>
    <row r="13" spans="1:13" ht="15.75" thickBot="1" x14ac:dyDescent="0.3">
      <c r="A13" s="15">
        <v>11</v>
      </c>
      <c r="B13" s="5">
        <v>32489658</v>
      </c>
      <c r="C13" s="5" t="s">
        <v>28</v>
      </c>
      <c r="D13" s="5" t="s">
        <v>29</v>
      </c>
      <c r="E13" s="16">
        <v>3215965478</v>
      </c>
      <c r="F13" s="6">
        <v>92</v>
      </c>
      <c r="G13" s="12">
        <v>26755</v>
      </c>
      <c r="H13" s="12">
        <f t="shared" si="2"/>
        <v>2461460</v>
      </c>
      <c r="I13" s="12">
        <f t="shared" si="0"/>
        <v>246146</v>
      </c>
      <c r="J13" s="12">
        <f t="shared" si="3"/>
        <v>24614.600000000002</v>
      </c>
      <c r="K13" s="12">
        <f t="shared" si="4"/>
        <v>196916.80000000002</v>
      </c>
      <c r="L13" s="12" t="str">
        <f t="shared" si="5"/>
        <v>kit de cuchillos</v>
      </c>
      <c r="M13" s="12">
        <f t="shared" si="1"/>
        <v>2215314</v>
      </c>
    </row>
  </sheetData>
  <printOptions horizontalCentered="1" verticalCentered="1"/>
  <pageMargins left="0.39370078740157483" right="0.39370078740157483" top="0.39370078740157483" bottom="0.39370078740157483" header="0.19685039370078741" footer="0.39370078740157483"/>
  <pageSetup orientation="landscape" r:id="rId1"/>
  <headerFooter>
    <oddHeader>&amp;L&amp;"-,Negrita Cursiva"&amp;10&amp;K09+038Elizabeth Ortiz Montoya&amp;C&amp;"-,Negrita Cursiva"&amp;10&amp;K09-023Nombre del archivo: &amp;F&amp;R&amp;G</oddHeader>
    <oddFooter>&amp;C&amp;"-,Negrita Cursiva"&amp;10&amp;K7030A0Nombre de la hoja: &amp;A&amp;R&amp;"-,Negrita Cursiva"&amp;10&amp;K00B050fecha del día :&amp;D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A490-1C98-40D8-9A4B-6BE86EEA0D6A}">
  <sheetPr>
    <tabColor theme="7" tint="0.79998168889431442"/>
  </sheetPr>
  <dimension ref="A1:E9"/>
  <sheetViews>
    <sheetView tabSelected="1" workbookViewId="0">
      <selection activeCell="B9" sqref="B9"/>
    </sheetView>
  </sheetViews>
  <sheetFormatPr baseColWidth="10" defaultRowHeight="15" x14ac:dyDescent="0.25"/>
  <cols>
    <col min="2" max="2" width="14.85546875" customWidth="1"/>
    <col min="3" max="3" width="15" customWidth="1"/>
    <col min="4" max="4" width="13.28515625" customWidth="1"/>
  </cols>
  <sheetData>
    <row r="1" spans="1:5" ht="19.5" thickBot="1" x14ac:dyDescent="0.35">
      <c r="A1" s="60" t="s">
        <v>98</v>
      </c>
      <c r="B1" s="60"/>
      <c r="C1" s="60"/>
      <c r="D1" s="60"/>
      <c r="E1" s="60"/>
    </row>
    <row r="2" spans="1:5" ht="32.25" thickBot="1" x14ac:dyDescent="0.3">
      <c r="A2" s="14" t="s">
        <v>39</v>
      </c>
      <c r="B2" s="42" t="s">
        <v>3</v>
      </c>
      <c r="C2" s="42" t="s">
        <v>8</v>
      </c>
      <c r="D2" s="42" t="s">
        <v>5</v>
      </c>
      <c r="E2" s="43" t="s">
        <v>7</v>
      </c>
    </row>
    <row r="3" spans="1:5" ht="15.75" thickBot="1" x14ac:dyDescent="0.3">
      <c r="A3" s="41">
        <v>999</v>
      </c>
      <c r="B3" s="44" t="str">
        <f>IFERROR(VLOOKUP(A3,'Tabla de datos'!$A$2:$M$13,4,FALSE),"codigo no existe")</f>
        <v>Pedro</v>
      </c>
      <c r="C3" s="44" t="str">
        <f>IFERROR(VLOOKUP(A3,'Tabla de datos'!$A$2:$M$13,3,FALSE),"codigo no existe")</f>
        <v>Mejia Vasquez</v>
      </c>
      <c r="D3" s="45">
        <f>VLOOKUP(A3,'Tabla de datos'!$A$2:$M$13,8,FALSE)</f>
        <v>1955000</v>
      </c>
      <c r="E3" s="45">
        <f>VLOOKUP(A3,'Tabla de datos'!$A$2:$M$13,13,FALSE)</f>
        <v>1759500</v>
      </c>
    </row>
    <row r="4" spans="1:5" ht="15.75" thickBot="1" x14ac:dyDescent="0.3">
      <c r="A4" s="41">
        <v>875</v>
      </c>
      <c r="B4" s="44" t="str">
        <f>IFERROR(VLOOKUP(A4,'Tabla de datos'!$A$2:$M$13,4,FALSE),"codigo no existe")</f>
        <v>Dora</v>
      </c>
      <c r="C4" s="44" t="str">
        <f>IFERROR(VLOOKUP(A4,'Tabla de datos'!$A$2:$M$13,3,FALSE),"codigo no existe")</f>
        <v>Alvarez</v>
      </c>
      <c r="D4" s="45">
        <f>VLOOKUP(A4,'Tabla de datos'!$A$2:$M$13,8,FALSE)</f>
        <v>2136000</v>
      </c>
      <c r="E4" s="45">
        <f>VLOOKUP(A4,'Tabla de datos'!$A$2:$M$13,13,FALSE)</f>
        <v>1922400</v>
      </c>
    </row>
    <row r="5" spans="1:5" ht="15.75" thickBot="1" x14ac:dyDescent="0.3">
      <c r="A5" s="41">
        <v>9</v>
      </c>
      <c r="B5" s="44" t="str">
        <f>IFERROR(VLOOKUP(A5,'Tabla de datos'!$A$2:$M$13,4,FALSE),"codigo no existe")</f>
        <v>Ana Maria</v>
      </c>
      <c r="C5" s="44" t="str">
        <f>IFERROR(VLOOKUP(A5,'Tabla de datos'!$A$2:$M$13,3,FALSE),"codigo no existe")</f>
        <v>Castro</v>
      </c>
      <c r="D5" s="45">
        <f>VLOOKUP(A5,'Tabla de datos'!$A$2:$M$13,8,FALSE)</f>
        <v>2016000</v>
      </c>
      <c r="E5" s="45">
        <f>VLOOKUP(A5,'Tabla de datos'!$A$2:$M$13,13,FALSE)</f>
        <v>1814400</v>
      </c>
    </row>
    <row r="6" spans="1:5" ht="15.75" thickBot="1" x14ac:dyDescent="0.3">
      <c r="A6" s="41">
        <v>8</v>
      </c>
      <c r="B6" s="44" t="str">
        <f>IFERROR(VLOOKUP(A6,'Tabla de datos'!$A$2:$M$13,4,FALSE),"codigo no existe")</f>
        <v>Jaime</v>
      </c>
      <c r="C6" s="44" t="str">
        <f>IFERROR(VLOOKUP(A6,'Tabla de datos'!$A$2:$M$13,3,FALSE),"codigo no existe")</f>
        <v>Castrillon</v>
      </c>
      <c r="D6" s="45">
        <f>VLOOKUP(A6,'Tabla de datos'!$A$2:$M$13,8,FALSE)</f>
        <v>2102100</v>
      </c>
      <c r="E6" s="45">
        <f>VLOOKUP(A6,'Tabla de datos'!$A$2:$M$13,13,FALSE)</f>
        <v>1891890</v>
      </c>
    </row>
    <row r="7" spans="1:5" ht="15.75" thickBot="1" x14ac:dyDescent="0.3">
      <c r="A7" s="41">
        <v>11</v>
      </c>
      <c r="B7" s="44" t="str">
        <f>IFERROR(VLOOKUP(A7,'Tabla de datos'!$A$2:$M$13,4,FALSE),"codigo no existe")</f>
        <v>Samuel</v>
      </c>
      <c r="C7" s="44" t="str">
        <f>IFERROR(VLOOKUP(A7,'Tabla de datos'!$A$2:$M$13,3,FALSE),"codigo no existe")</f>
        <v>Villegas</v>
      </c>
      <c r="D7" s="45">
        <f>VLOOKUP(A7,'Tabla de datos'!$A$2:$M$13,8,FALSE)</f>
        <v>2461460</v>
      </c>
      <c r="E7" s="45">
        <f>VLOOKUP(A7,'Tabla de datos'!$A$2:$M$13,13,FALSE)</f>
        <v>2215314</v>
      </c>
    </row>
    <row r="8" spans="1:5" ht="15.75" thickBot="1" x14ac:dyDescent="0.3">
      <c r="A8" s="46" t="s">
        <v>99</v>
      </c>
      <c r="B8" s="44" t="str">
        <f>IFERROR(VLOOKUP(A8,'Tabla de datos'!$A$2:$M$13,4,FALSE),"codigo no existe")</f>
        <v>codigo no existe</v>
      </c>
      <c r="C8" s="44" t="str">
        <f>IFERROR(VLOOKUP(A8,'Tabla de datos'!$A$2:$M$13,3,FALSE),"codigo no existe")</f>
        <v>codigo no existe</v>
      </c>
      <c r="D8" s="45"/>
      <c r="E8" s="45"/>
    </row>
    <row r="9" spans="1:5" ht="15.75" thickBot="1" x14ac:dyDescent="0.3">
      <c r="A9" s="46" t="s">
        <v>100</v>
      </c>
      <c r="B9" s="44" t="str">
        <f>IFERROR(VLOOKUP(A9,'Tabla de datos'!$A$2:$M$13,4,FALSE),"codigo no existe")</f>
        <v>codigo no existe</v>
      </c>
      <c r="C9" s="44" t="str">
        <f>IFERROR(VLOOKUP(A9,'Tabla de datos'!$A$2:$M$13,3,FALSE),"codigo no existe")</f>
        <v>codigo no existe</v>
      </c>
      <c r="D9" s="45"/>
      <c r="E9" s="4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F5CE-87DF-4543-BE52-4F9BD72BF9EC}">
  <sheetPr>
    <tabColor rgb="FF00B0F0"/>
  </sheetPr>
  <dimension ref="A1:I6"/>
  <sheetViews>
    <sheetView workbookViewId="0">
      <selection activeCell="I2" sqref="I2:I4"/>
    </sheetView>
  </sheetViews>
  <sheetFormatPr baseColWidth="10" defaultRowHeight="15" x14ac:dyDescent="0.25"/>
  <sheetData>
    <row r="1" spans="1:9" ht="21" x14ac:dyDescent="0.35">
      <c r="A1" s="55" t="s">
        <v>34</v>
      </c>
      <c r="B1" s="56"/>
      <c r="C1" s="55" t="s">
        <v>35</v>
      </c>
      <c r="D1" s="56"/>
      <c r="E1" s="55" t="s">
        <v>36</v>
      </c>
      <c r="F1" s="54"/>
      <c r="G1" s="55" t="s">
        <v>37</v>
      </c>
      <c r="H1" s="54"/>
    </row>
    <row r="2" spans="1:9" x14ac:dyDescent="0.25">
      <c r="A2" s="54">
        <f xml:space="preserve"> 2^3+4*5-30/6-4</f>
        <v>19</v>
      </c>
      <c r="B2" s="54"/>
      <c r="C2" s="54">
        <v>20</v>
      </c>
      <c r="D2" s="54"/>
      <c r="E2" s="54" t="b">
        <f>10&gt;20</f>
        <v>0</v>
      </c>
      <c r="F2" s="54"/>
      <c r="G2" s="54">
        <f>8%*6000</f>
        <v>480</v>
      </c>
      <c r="H2" s="54"/>
      <c r="I2" s="13">
        <f>12%*15000</f>
        <v>1800</v>
      </c>
    </row>
    <row r="3" spans="1:9" x14ac:dyDescent="0.25">
      <c r="A3" s="54">
        <f xml:space="preserve"> (30+50)/(6*4-20)</f>
        <v>20</v>
      </c>
      <c r="B3" s="54"/>
      <c r="C3" s="54">
        <f>10+C2</f>
        <v>30</v>
      </c>
      <c r="D3" s="54"/>
      <c r="E3" s="54" t="b">
        <f>50&lt;&gt;60</f>
        <v>1</v>
      </c>
      <c r="F3" s="54"/>
      <c r="G3" s="54">
        <f>6000*8%</f>
        <v>480</v>
      </c>
      <c r="H3" s="54"/>
      <c r="I3" s="13">
        <f>15000*12%</f>
        <v>1800</v>
      </c>
    </row>
    <row r="4" spans="1:9" x14ac:dyDescent="0.25">
      <c r="A4" s="54">
        <f>3^3-10/(3+2)</f>
        <v>25</v>
      </c>
      <c r="B4" s="54"/>
      <c r="C4" s="54">
        <f>5*4*C3</f>
        <v>600</v>
      </c>
      <c r="D4" s="54"/>
      <c r="E4" s="54" t="b">
        <f>2*10=15+5</f>
        <v>1</v>
      </c>
      <c r="F4" s="54"/>
      <c r="G4" s="54">
        <f>6000*8/100</f>
        <v>480</v>
      </c>
      <c r="H4" s="54"/>
      <c r="I4" s="13">
        <f>15000*12/100</f>
        <v>1800</v>
      </c>
    </row>
    <row r="5" spans="1:9" x14ac:dyDescent="0.25">
      <c r="A5" s="54">
        <f>2*2*3^2</f>
        <v>36</v>
      </c>
      <c r="B5" s="54"/>
      <c r="C5" s="54">
        <f>C4/C3</f>
        <v>20</v>
      </c>
      <c r="D5" s="54"/>
      <c r="E5" s="54" t="b">
        <f>3^3&lt;&gt;9*3</f>
        <v>0</v>
      </c>
      <c r="F5" s="54"/>
      <c r="G5" s="54"/>
      <c r="H5" s="54"/>
    </row>
    <row r="6" spans="1:9" x14ac:dyDescent="0.25">
      <c r="A6" s="54">
        <f xml:space="preserve"> 2^2^2</f>
        <v>16</v>
      </c>
      <c r="B6" s="54"/>
      <c r="C6" s="54">
        <f>C2+C3-C4</f>
        <v>-550</v>
      </c>
      <c r="D6" s="54"/>
      <c r="E6" s="54"/>
      <c r="F6" s="54"/>
    </row>
  </sheetData>
  <mergeCells count="23">
    <mergeCell ref="C5:D5"/>
    <mergeCell ref="C6:D6"/>
    <mergeCell ref="E1:F1"/>
    <mergeCell ref="E2:F2"/>
    <mergeCell ref="E3:F3"/>
    <mergeCell ref="E4:F4"/>
    <mergeCell ref="E5:F5"/>
    <mergeCell ref="A6:B6"/>
    <mergeCell ref="G1:H1"/>
    <mergeCell ref="G2:H2"/>
    <mergeCell ref="G3:H3"/>
    <mergeCell ref="G4:H4"/>
    <mergeCell ref="G5:H5"/>
    <mergeCell ref="A1:B1"/>
    <mergeCell ref="A2:B2"/>
    <mergeCell ref="A3:B3"/>
    <mergeCell ref="A4:B4"/>
    <mergeCell ref="A5:B5"/>
    <mergeCell ref="E6:F6"/>
    <mergeCell ref="C1:D1"/>
    <mergeCell ref="C2:D2"/>
    <mergeCell ref="C3:D3"/>
    <mergeCell ref="C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D50E-6A4C-4559-AEE6-7C4A0ADF2CB1}">
  <sheetPr>
    <tabColor rgb="FF7030A0"/>
  </sheetPr>
  <dimension ref="A1:D14"/>
  <sheetViews>
    <sheetView workbookViewId="0">
      <selection activeCell="L19" sqref="L19"/>
    </sheetView>
  </sheetViews>
  <sheetFormatPr baseColWidth="10" defaultRowHeight="15" x14ac:dyDescent="0.25"/>
  <cols>
    <col min="4" max="4" width="13" bestFit="1" customWidth="1"/>
  </cols>
  <sheetData>
    <row r="1" spans="1:4" ht="46.5" thickTop="1" thickBot="1" x14ac:dyDescent="0.3">
      <c r="A1" s="7" t="s">
        <v>30</v>
      </c>
      <c r="B1" s="7" t="s">
        <v>31</v>
      </c>
      <c r="C1" s="7" t="s">
        <v>32</v>
      </c>
      <c r="D1" s="7" t="s">
        <v>33</v>
      </c>
    </row>
    <row r="2" spans="1:4" ht="16.5" thickTop="1" thickBot="1" x14ac:dyDescent="0.3">
      <c r="A2" s="8">
        <v>200</v>
      </c>
      <c r="B2" s="9">
        <v>200</v>
      </c>
      <c r="C2" s="10">
        <v>200</v>
      </c>
      <c r="D2" s="11">
        <v>200</v>
      </c>
    </row>
    <row r="3" spans="1:4" ht="16.5" thickTop="1" thickBot="1" x14ac:dyDescent="0.3">
      <c r="A3" s="8">
        <v>700</v>
      </c>
      <c r="B3" s="9">
        <v>700</v>
      </c>
      <c r="C3" s="10">
        <v>700</v>
      </c>
      <c r="D3" s="11">
        <v>700</v>
      </c>
    </row>
    <row r="4" spans="1:4" ht="16.5" thickTop="1" thickBot="1" x14ac:dyDescent="0.3">
      <c r="A4" s="8">
        <v>950</v>
      </c>
      <c r="B4" s="9">
        <v>950</v>
      </c>
      <c r="C4" s="10">
        <v>950</v>
      </c>
      <c r="D4" s="11">
        <v>950</v>
      </c>
    </row>
    <row r="5" spans="1:4" ht="16.5" thickTop="1" thickBot="1" x14ac:dyDescent="0.3">
      <c r="A5" s="8">
        <v>1050</v>
      </c>
      <c r="B5" s="9">
        <v>1050</v>
      </c>
      <c r="C5" s="10">
        <v>1050</v>
      </c>
      <c r="D5" s="11">
        <v>1050</v>
      </c>
    </row>
    <row r="6" spans="1:4" ht="16.5" thickTop="1" thickBot="1" x14ac:dyDescent="0.3">
      <c r="A6" s="8">
        <v>7556</v>
      </c>
      <c r="B6" s="9">
        <v>7556</v>
      </c>
      <c r="C6" s="10">
        <v>7556</v>
      </c>
      <c r="D6" s="11">
        <v>7556</v>
      </c>
    </row>
    <row r="7" spans="1:4" ht="16.5" thickTop="1" thickBot="1" x14ac:dyDescent="0.3">
      <c r="A7" s="8">
        <v>16890</v>
      </c>
      <c r="B7" s="9">
        <v>16890</v>
      </c>
      <c r="C7" s="10">
        <v>16890</v>
      </c>
      <c r="D7" s="11">
        <v>16890</v>
      </c>
    </row>
    <row r="8" spans="1:4" ht="16.5" thickTop="1" thickBot="1" x14ac:dyDescent="0.3">
      <c r="A8" s="8">
        <v>45000</v>
      </c>
      <c r="B8" s="9">
        <v>45000</v>
      </c>
      <c r="C8" s="10">
        <v>45000</v>
      </c>
      <c r="D8" s="11">
        <v>45000</v>
      </c>
    </row>
    <row r="9" spans="1:4" ht="16.5" thickTop="1" thickBot="1" x14ac:dyDescent="0.3">
      <c r="A9" s="8">
        <v>99999</v>
      </c>
      <c r="B9" s="9">
        <v>99999</v>
      </c>
      <c r="C9" s="10">
        <v>99999</v>
      </c>
      <c r="D9" s="11">
        <v>99999</v>
      </c>
    </row>
    <row r="10" spans="1:4" ht="16.5" thickTop="1" thickBot="1" x14ac:dyDescent="0.3">
      <c r="A10" s="8">
        <v>456987</v>
      </c>
      <c r="B10" s="9">
        <v>456987</v>
      </c>
      <c r="C10" s="10">
        <v>456987</v>
      </c>
      <c r="D10" s="11">
        <v>456987</v>
      </c>
    </row>
    <row r="11" spans="1:4" ht="16.5" thickTop="1" thickBot="1" x14ac:dyDescent="0.3">
      <c r="A11" s="8">
        <v>987000</v>
      </c>
      <c r="B11" s="9">
        <v>987000</v>
      </c>
      <c r="C11" s="10">
        <v>987000</v>
      </c>
      <c r="D11" s="11">
        <v>987000</v>
      </c>
    </row>
    <row r="12" spans="1:4" ht="16.5" thickTop="1" thickBot="1" x14ac:dyDescent="0.3">
      <c r="A12" s="8">
        <v>1050569</v>
      </c>
      <c r="B12" s="9">
        <v>1050569</v>
      </c>
      <c r="C12" s="10">
        <v>1050569</v>
      </c>
      <c r="D12" s="11">
        <v>1050569</v>
      </c>
    </row>
    <row r="13" spans="1:4" ht="16.5" thickTop="1" thickBot="1" x14ac:dyDescent="0.3">
      <c r="A13" s="8">
        <v>11568790</v>
      </c>
      <c r="B13" s="9">
        <v>11568790</v>
      </c>
      <c r="C13" s="10">
        <v>11568790</v>
      </c>
      <c r="D13" s="11">
        <v>11568790</v>
      </c>
    </row>
    <row r="14" spans="1:4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700D-620C-48A2-900C-416BF216AFB0}">
  <sheetPr>
    <tabColor theme="6" tint="-0.499984740745262"/>
  </sheetPr>
  <dimension ref="A1:C12"/>
  <sheetViews>
    <sheetView workbookViewId="0">
      <selection sqref="A1:C12"/>
    </sheetView>
  </sheetViews>
  <sheetFormatPr baseColWidth="10" defaultRowHeight="15" x14ac:dyDescent="0.25"/>
  <sheetData>
    <row r="1" spans="1:3" x14ac:dyDescent="0.25">
      <c r="A1" s="57" t="s">
        <v>43</v>
      </c>
      <c r="B1" s="57" t="s">
        <v>44</v>
      </c>
      <c r="C1" s="57" t="s">
        <v>45</v>
      </c>
    </row>
    <row r="2" spans="1:3" x14ac:dyDescent="0.25">
      <c r="A2" s="57"/>
      <c r="B2" s="57"/>
      <c r="C2" s="57"/>
    </row>
    <row r="3" spans="1:3" x14ac:dyDescent="0.25">
      <c r="A3">
        <v>2</v>
      </c>
      <c r="B3" s="20">
        <v>0.5</v>
      </c>
    </row>
    <row r="4" spans="1:3" x14ac:dyDescent="0.25">
      <c r="A4">
        <v>5</v>
      </c>
      <c r="B4">
        <v>2</v>
      </c>
    </row>
    <row r="5" spans="1:3" x14ac:dyDescent="0.25">
      <c r="A5">
        <v>8</v>
      </c>
      <c r="B5">
        <v>3</v>
      </c>
    </row>
    <row r="6" spans="1:3" x14ac:dyDescent="0.25">
      <c r="A6">
        <v>7</v>
      </c>
      <c r="B6">
        <v>2</v>
      </c>
    </row>
    <row r="7" spans="1:3" x14ac:dyDescent="0.25">
      <c r="A7">
        <v>5</v>
      </c>
      <c r="B7">
        <v>5</v>
      </c>
    </row>
    <row r="8" spans="1:3" x14ac:dyDescent="0.25">
      <c r="A8">
        <v>6</v>
      </c>
      <c r="B8">
        <v>1.9</v>
      </c>
    </row>
    <row r="9" spans="1:3" x14ac:dyDescent="0.25">
      <c r="A9">
        <v>2</v>
      </c>
      <c r="B9">
        <v>2.7</v>
      </c>
    </row>
    <row r="10" spans="1:3" x14ac:dyDescent="0.25">
      <c r="A10">
        <v>3</v>
      </c>
      <c r="B10">
        <v>4.5</v>
      </c>
    </row>
    <row r="11" spans="1:3" x14ac:dyDescent="0.25">
      <c r="A11">
        <v>4</v>
      </c>
      <c r="B11">
        <v>1.2</v>
      </c>
    </row>
    <row r="12" spans="1:3" x14ac:dyDescent="0.25">
      <c r="A12">
        <v>9</v>
      </c>
      <c r="B12">
        <v>3.6</v>
      </c>
    </row>
  </sheetData>
  <mergeCells count="3">
    <mergeCell ref="A1:A2"/>
    <mergeCell ref="B1:B2"/>
    <mergeCell ref="C1:C2"/>
  </mergeCells>
  <dataValidations count="3">
    <dataValidation type="list" allowBlank="1" showInputMessage="1" showErrorMessage="1" sqref="C3:C12" xr:uid="{AFBDA8E1-D098-474E-984B-5120BC1A420D}">
      <formula1>"medellin,bogota,cali,bucaramanga,barranquilla,cartagena,quibdó"</formula1>
    </dataValidation>
    <dataValidation type="decimal" allowBlank="1" showInputMessage="1" showErrorMessage="1" errorTitle="ERROR" error="Vuelve a intentarlo" promptTitle="ADVERTENCIA" prompt="Decimales entre 0-5" sqref="B3:B12" xr:uid="{688B9B10-9A35-4CB0-B8F1-1B7ED2E3BF35}">
      <formula1>0</formula1>
      <formula2>5</formula2>
    </dataValidation>
    <dataValidation type="whole" allowBlank="1" showInputMessage="1" showErrorMessage="1" errorTitle="ERROR" error="Te lo avdertí, vuelve a intentarlo_x000a__x000a_" promptTitle="ADVERTENCIA" prompt="Solo números enteros entre 1-10." sqref="A3:A12" xr:uid="{638F8616-4489-4194-B9F1-2067D1BB3961}">
      <formula1>1</formula1>
      <formula2>10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DB8E-3EA5-41FC-9EA4-0DF5F8BB384E}">
  <sheetPr>
    <tabColor theme="3" tint="-0.249977111117893"/>
  </sheetPr>
  <dimension ref="A1:H12"/>
  <sheetViews>
    <sheetView workbookViewId="0">
      <selection activeCell="D13" sqref="D13"/>
    </sheetView>
  </sheetViews>
  <sheetFormatPr baseColWidth="10" defaultRowHeight="15" x14ac:dyDescent="0.25"/>
  <cols>
    <col min="6" max="6" width="12.85546875" customWidth="1"/>
    <col min="7" max="7" width="12.5703125" customWidth="1"/>
    <col min="8" max="8" width="13.140625" customWidth="1"/>
  </cols>
  <sheetData>
    <row r="1" spans="1:8" ht="32.25" thickBot="1" x14ac:dyDescent="0.3">
      <c r="A1" s="21" t="s">
        <v>9</v>
      </c>
      <c r="B1" s="21" t="s">
        <v>46</v>
      </c>
      <c r="C1" s="21" t="s">
        <v>3</v>
      </c>
      <c r="D1" s="22" t="s">
        <v>47</v>
      </c>
      <c r="E1" s="22" t="s">
        <v>6</v>
      </c>
      <c r="F1" s="22" t="s">
        <v>5</v>
      </c>
      <c r="G1" s="22" t="s">
        <v>48</v>
      </c>
      <c r="H1" s="22" t="s">
        <v>7</v>
      </c>
    </row>
    <row r="2" spans="1:8" ht="15.75" thickBot="1" x14ac:dyDescent="0.3">
      <c r="A2" s="23">
        <v>1025677627</v>
      </c>
      <c r="B2" s="5" t="s">
        <v>10</v>
      </c>
      <c r="C2" s="5" t="s">
        <v>19</v>
      </c>
      <c r="D2" s="23">
        <v>89</v>
      </c>
      <c r="E2" s="24">
        <v>24000</v>
      </c>
      <c r="F2" s="25">
        <f t="shared" ref="F2:F11" si="0">PRODUCT(D2:E2)</f>
        <v>2136000</v>
      </c>
      <c r="G2" s="26">
        <f t="shared" ref="G2:G11" si="1">F2*10%</f>
        <v>213600</v>
      </c>
      <c r="H2" s="26">
        <f t="shared" ref="H2:H11" si="2">F2-G2</f>
        <v>1922400</v>
      </c>
    </row>
    <row r="3" spans="1:8" ht="15.75" thickBot="1" x14ac:dyDescent="0.3">
      <c r="A3" s="23">
        <v>1214737464</v>
      </c>
      <c r="B3" s="5" t="s">
        <v>11</v>
      </c>
      <c r="C3" s="5" t="s">
        <v>20</v>
      </c>
      <c r="D3" s="23">
        <v>96</v>
      </c>
      <c r="E3" s="24">
        <v>21500</v>
      </c>
      <c r="F3" s="25">
        <f t="shared" si="0"/>
        <v>2064000</v>
      </c>
      <c r="G3" s="26">
        <f t="shared" si="1"/>
        <v>206400</v>
      </c>
      <c r="H3" s="26">
        <f t="shared" si="2"/>
        <v>1857600</v>
      </c>
    </row>
    <row r="4" spans="1:8" ht="15.75" thickBot="1" x14ac:dyDescent="0.3">
      <c r="A4" s="23">
        <v>65767890</v>
      </c>
      <c r="B4" s="5" t="s">
        <v>12</v>
      </c>
      <c r="C4" s="5" t="s">
        <v>21</v>
      </c>
      <c r="D4" s="23">
        <v>93</v>
      </c>
      <c r="E4" s="24">
        <v>20978</v>
      </c>
      <c r="F4" s="25">
        <f t="shared" si="0"/>
        <v>1950954</v>
      </c>
      <c r="G4" s="26">
        <f t="shared" si="1"/>
        <v>195095.40000000002</v>
      </c>
      <c r="H4" s="26">
        <f t="shared" si="2"/>
        <v>1755858.6</v>
      </c>
    </row>
    <row r="5" spans="1:8" ht="15.75" thickBot="1" x14ac:dyDescent="0.3">
      <c r="A5" s="23">
        <v>78901324</v>
      </c>
      <c r="B5" s="5" t="s">
        <v>13</v>
      </c>
      <c r="C5" s="5" t="s">
        <v>22</v>
      </c>
      <c r="D5" s="23">
        <v>91</v>
      </c>
      <c r="E5" s="24">
        <v>23100</v>
      </c>
      <c r="F5" s="25">
        <f t="shared" si="0"/>
        <v>2102100</v>
      </c>
      <c r="G5" s="26">
        <f t="shared" si="1"/>
        <v>210210</v>
      </c>
      <c r="H5" s="26">
        <f t="shared" si="2"/>
        <v>1891890</v>
      </c>
    </row>
    <row r="6" spans="1:8" ht="15.75" thickBot="1" x14ac:dyDescent="0.3">
      <c r="A6" s="23">
        <v>1213456765</v>
      </c>
      <c r="B6" s="5" t="s">
        <v>41</v>
      </c>
      <c r="C6" s="5" t="s">
        <v>42</v>
      </c>
      <c r="D6" s="23">
        <v>95</v>
      </c>
      <c r="E6" s="24">
        <v>22700</v>
      </c>
      <c r="F6" s="25">
        <f t="shared" si="0"/>
        <v>2156500</v>
      </c>
      <c r="G6" s="26">
        <f t="shared" si="1"/>
        <v>215650</v>
      </c>
      <c r="H6" s="26">
        <f t="shared" si="2"/>
        <v>1940850</v>
      </c>
    </row>
    <row r="7" spans="1:8" ht="15.75" thickBot="1" x14ac:dyDescent="0.3">
      <c r="A7" s="23">
        <v>1000531641</v>
      </c>
      <c r="B7" s="5" t="s">
        <v>14</v>
      </c>
      <c r="C7" s="5" t="s">
        <v>23</v>
      </c>
      <c r="D7" s="23">
        <v>85</v>
      </c>
      <c r="E7" s="24">
        <v>23000</v>
      </c>
      <c r="F7" s="25">
        <f t="shared" si="0"/>
        <v>1955000</v>
      </c>
      <c r="G7" s="26">
        <f t="shared" si="1"/>
        <v>195500</v>
      </c>
      <c r="H7" s="26">
        <f t="shared" si="2"/>
        <v>1759500</v>
      </c>
    </row>
    <row r="8" spans="1:8" ht="15.75" thickBot="1" x14ac:dyDescent="0.3">
      <c r="A8" s="23">
        <v>34565098</v>
      </c>
      <c r="B8" s="5" t="s">
        <v>15</v>
      </c>
      <c r="C8" s="5" t="s">
        <v>24</v>
      </c>
      <c r="D8" s="23">
        <v>92</v>
      </c>
      <c r="E8" s="24">
        <v>26755</v>
      </c>
      <c r="F8" s="25">
        <f t="shared" si="0"/>
        <v>2461460</v>
      </c>
      <c r="G8" s="26">
        <f t="shared" si="1"/>
        <v>246146</v>
      </c>
      <c r="H8" s="26">
        <f t="shared" si="2"/>
        <v>2215314</v>
      </c>
    </row>
    <row r="9" spans="1:8" ht="15.75" thickBot="1" x14ac:dyDescent="0.3">
      <c r="A9" s="23">
        <v>1025675262</v>
      </c>
      <c r="B9" s="5" t="s">
        <v>16</v>
      </c>
      <c r="C9" s="5" t="s">
        <v>25</v>
      </c>
      <c r="D9" s="23">
        <v>78</v>
      </c>
      <c r="E9" s="24">
        <v>25500</v>
      </c>
      <c r="F9" s="25">
        <f t="shared" si="0"/>
        <v>1989000</v>
      </c>
      <c r="G9" s="26">
        <f t="shared" si="1"/>
        <v>198900</v>
      </c>
      <c r="H9" s="26">
        <f t="shared" si="2"/>
        <v>1790100</v>
      </c>
    </row>
    <row r="10" spans="1:8" ht="15.75" thickBot="1" x14ac:dyDescent="0.3">
      <c r="A10" s="23">
        <v>39406106</v>
      </c>
      <c r="B10" s="5" t="s">
        <v>17</v>
      </c>
      <c r="C10" s="5" t="s">
        <v>26</v>
      </c>
      <c r="D10" s="23">
        <v>90</v>
      </c>
      <c r="E10" s="24">
        <v>22000</v>
      </c>
      <c r="F10" s="25">
        <f t="shared" si="0"/>
        <v>1980000</v>
      </c>
      <c r="G10" s="26">
        <f t="shared" si="1"/>
        <v>198000</v>
      </c>
      <c r="H10" s="26">
        <f t="shared" si="2"/>
        <v>1782000</v>
      </c>
    </row>
    <row r="11" spans="1:8" ht="15.75" thickBot="1" x14ac:dyDescent="0.3">
      <c r="A11" s="23">
        <v>89079765</v>
      </c>
      <c r="B11" s="5" t="s">
        <v>18</v>
      </c>
      <c r="C11" s="5" t="s">
        <v>27</v>
      </c>
      <c r="D11" s="23">
        <v>96</v>
      </c>
      <c r="E11" s="24">
        <v>21000</v>
      </c>
      <c r="F11" s="25">
        <f t="shared" si="0"/>
        <v>2016000</v>
      </c>
      <c r="G11" s="26">
        <f t="shared" si="1"/>
        <v>201600</v>
      </c>
      <c r="H11" s="26">
        <f t="shared" si="2"/>
        <v>1814400</v>
      </c>
    </row>
    <row r="12" spans="1:8" ht="15.75" thickBot="1" x14ac:dyDescent="0.3">
      <c r="B12" s="5"/>
      <c r="C12" s="5"/>
    </row>
  </sheetData>
  <conditionalFormatting sqref="D2:D11">
    <cfRule type="cellIs" dxfId="14" priority="2" operator="lessThan">
      <formula>90</formula>
    </cfRule>
    <cfRule type="cellIs" dxfId="13" priority="3" operator="greaterThanOrEqual">
      <formula>90</formula>
    </cfRule>
    <cfRule type="cellIs" dxfId="12" priority="4" operator="greaterThan">
      <formula>90</formula>
    </cfRule>
  </conditionalFormatting>
  <conditionalFormatting sqref="E2:E11">
    <cfRule type="cellIs" dxfId="11" priority="1" operator="lessThanOrEqual">
      <formula>23000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2060-6163-4EB6-9619-5FC59F60F471}">
  <sheetPr>
    <tabColor rgb="FFC00000"/>
  </sheetPr>
  <dimension ref="A1:H12"/>
  <sheetViews>
    <sheetView workbookViewId="0">
      <selection activeCell="G29" sqref="G29"/>
    </sheetView>
  </sheetViews>
  <sheetFormatPr baseColWidth="10" defaultRowHeight="15" x14ac:dyDescent="0.25"/>
  <cols>
    <col min="6" max="6" width="15" customWidth="1"/>
    <col min="8" max="8" width="17.42578125" customWidth="1"/>
  </cols>
  <sheetData>
    <row r="1" spans="1:8" ht="32.25" thickBot="1" x14ac:dyDescent="0.3">
      <c r="A1" s="21" t="s">
        <v>9</v>
      </c>
      <c r="B1" s="21" t="s">
        <v>46</v>
      </c>
      <c r="C1" s="21" t="s">
        <v>3</v>
      </c>
      <c r="D1" s="22" t="s">
        <v>47</v>
      </c>
      <c r="E1" s="22" t="s">
        <v>6</v>
      </c>
      <c r="F1" s="22" t="s">
        <v>5</v>
      </c>
      <c r="G1" s="22" t="s">
        <v>48</v>
      </c>
      <c r="H1" s="22" t="s">
        <v>7</v>
      </c>
    </row>
    <row r="2" spans="1:8" ht="15.75" thickBot="1" x14ac:dyDescent="0.3">
      <c r="A2" s="23">
        <v>1214737464</v>
      </c>
      <c r="B2" s="5" t="s">
        <v>10</v>
      </c>
      <c r="C2" s="5" t="s">
        <v>19</v>
      </c>
      <c r="D2" s="23">
        <v>96</v>
      </c>
      <c r="E2" s="24">
        <v>21500</v>
      </c>
      <c r="F2" s="25">
        <f t="shared" ref="F2:F11" si="0">PRODUCT(D2:E2)</f>
        <v>2064000</v>
      </c>
      <c r="G2" s="26">
        <f t="shared" ref="G2:G11" si="1">F2*10%</f>
        <v>206400</v>
      </c>
      <c r="H2" s="26">
        <f t="shared" ref="H2:H11" si="2">F2-G2</f>
        <v>1857600</v>
      </c>
    </row>
    <row r="3" spans="1:8" ht="15.75" thickBot="1" x14ac:dyDescent="0.3">
      <c r="A3" s="23">
        <v>89079765</v>
      </c>
      <c r="B3" s="5" t="s">
        <v>11</v>
      </c>
      <c r="C3" s="5" t="s">
        <v>20</v>
      </c>
      <c r="D3" s="23">
        <v>96</v>
      </c>
      <c r="E3" s="24">
        <v>21000</v>
      </c>
      <c r="F3" s="25">
        <f t="shared" si="0"/>
        <v>2016000</v>
      </c>
      <c r="G3" s="26">
        <f t="shared" si="1"/>
        <v>201600</v>
      </c>
      <c r="H3" s="26">
        <f t="shared" si="2"/>
        <v>1814400</v>
      </c>
    </row>
    <row r="4" spans="1:8" ht="15.75" thickBot="1" x14ac:dyDescent="0.3">
      <c r="A4" s="23">
        <v>1213456765</v>
      </c>
      <c r="B4" s="5" t="s">
        <v>12</v>
      </c>
      <c r="C4" s="5" t="s">
        <v>21</v>
      </c>
      <c r="D4" s="23">
        <v>95</v>
      </c>
      <c r="E4" s="24">
        <v>22700</v>
      </c>
      <c r="F4" s="25">
        <f t="shared" si="0"/>
        <v>2156500</v>
      </c>
      <c r="G4" s="26">
        <f t="shared" si="1"/>
        <v>215650</v>
      </c>
      <c r="H4" s="26">
        <f t="shared" si="2"/>
        <v>1940850</v>
      </c>
    </row>
    <row r="5" spans="1:8" ht="15.75" thickBot="1" x14ac:dyDescent="0.3">
      <c r="A5" s="23">
        <v>65767890</v>
      </c>
      <c r="B5" s="5" t="s">
        <v>13</v>
      </c>
      <c r="C5" s="5" t="s">
        <v>22</v>
      </c>
      <c r="D5" s="23">
        <v>93</v>
      </c>
      <c r="E5" s="24">
        <v>20978</v>
      </c>
      <c r="F5" s="25">
        <f t="shared" si="0"/>
        <v>1950954</v>
      </c>
      <c r="G5" s="26">
        <f t="shared" si="1"/>
        <v>195095.40000000002</v>
      </c>
      <c r="H5" s="26">
        <f t="shared" si="2"/>
        <v>1755858.6</v>
      </c>
    </row>
    <row r="6" spans="1:8" ht="15.75" thickBot="1" x14ac:dyDescent="0.3">
      <c r="A6" s="23">
        <v>34565098</v>
      </c>
      <c r="B6" s="5" t="s">
        <v>41</v>
      </c>
      <c r="C6" s="5" t="s">
        <v>42</v>
      </c>
      <c r="D6" s="23">
        <v>92</v>
      </c>
      <c r="E6" s="24">
        <v>26755</v>
      </c>
      <c r="F6" s="25">
        <f t="shared" si="0"/>
        <v>2461460</v>
      </c>
      <c r="G6" s="26">
        <f t="shared" si="1"/>
        <v>246146</v>
      </c>
      <c r="H6" s="26">
        <f t="shared" si="2"/>
        <v>2215314</v>
      </c>
    </row>
    <row r="7" spans="1:8" ht="15.75" thickBot="1" x14ac:dyDescent="0.3">
      <c r="A7" s="23">
        <v>78901324</v>
      </c>
      <c r="B7" s="5" t="s">
        <v>14</v>
      </c>
      <c r="C7" s="5" t="s">
        <v>23</v>
      </c>
      <c r="D7" s="23">
        <v>91</v>
      </c>
      <c r="E7" s="24">
        <v>23100</v>
      </c>
      <c r="F7" s="25">
        <f t="shared" si="0"/>
        <v>2102100</v>
      </c>
      <c r="G7" s="26">
        <f t="shared" si="1"/>
        <v>210210</v>
      </c>
      <c r="H7" s="26">
        <f t="shared" si="2"/>
        <v>1891890</v>
      </c>
    </row>
    <row r="8" spans="1:8" ht="15.75" thickBot="1" x14ac:dyDescent="0.3">
      <c r="A8" s="23">
        <v>39406106</v>
      </c>
      <c r="B8" s="5" t="s">
        <v>15</v>
      </c>
      <c r="C8" s="5" t="s">
        <v>24</v>
      </c>
      <c r="D8" s="23">
        <v>90</v>
      </c>
      <c r="E8" s="24">
        <v>22000</v>
      </c>
      <c r="F8" s="25">
        <f t="shared" si="0"/>
        <v>1980000</v>
      </c>
      <c r="G8" s="26">
        <f t="shared" si="1"/>
        <v>198000</v>
      </c>
      <c r="H8" s="26">
        <f t="shared" si="2"/>
        <v>1782000</v>
      </c>
    </row>
    <row r="9" spans="1:8" ht="15.75" thickBot="1" x14ac:dyDescent="0.3">
      <c r="A9" s="23">
        <v>1025677627</v>
      </c>
      <c r="B9" s="5" t="s">
        <v>16</v>
      </c>
      <c r="C9" s="5" t="s">
        <v>25</v>
      </c>
      <c r="D9" s="23">
        <v>89</v>
      </c>
      <c r="E9" s="24">
        <v>24000</v>
      </c>
      <c r="F9" s="25">
        <f t="shared" si="0"/>
        <v>2136000</v>
      </c>
      <c r="G9" s="26">
        <f t="shared" si="1"/>
        <v>213600</v>
      </c>
      <c r="H9" s="26">
        <f t="shared" si="2"/>
        <v>1922400</v>
      </c>
    </row>
    <row r="10" spans="1:8" ht="15.75" thickBot="1" x14ac:dyDescent="0.3">
      <c r="A10" s="23">
        <v>1000531641</v>
      </c>
      <c r="B10" s="5" t="s">
        <v>17</v>
      </c>
      <c r="C10" s="5" t="s">
        <v>26</v>
      </c>
      <c r="D10" s="23">
        <v>85</v>
      </c>
      <c r="E10" s="24">
        <v>23000</v>
      </c>
      <c r="F10" s="25">
        <f t="shared" si="0"/>
        <v>1955000</v>
      </c>
      <c r="G10" s="26">
        <f t="shared" si="1"/>
        <v>195500</v>
      </c>
      <c r="H10" s="26">
        <f t="shared" si="2"/>
        <v>1759500</v>
      </c>
    </row>
    <row r="11" spans="1:8" ht="15.75" thickBot="1" x14ac:dyDescent="0.3">
      <c r="A11" s="23">
        <v>1025675262</v>
      </c>
      <c r="B11" s="5" t="s">
        <v>18</v>
      </c>
      <c r="C11" s="5" t="s">
        <v>27</v>
      </c>
      <c r="D11" s="23">
        <v>78</v>
      </c>
      <c r="E11" s="24">
        <v>25500</v>
      </c>
      <c r="F11" s="25">
        <f t="shared" si="0"/>
        <v>1989000</v>
      </c>
      <c r="G11" s="26">
        <f t="shared" si="1"/>
        <v>198900</v>
      </c>
      <c r="H11" s="26">
        <f t="shared" si="2"/>
        <v>1790100</v>
      </c>
    </row>
    <row r="12" spans="1:8" ht="15.75" thickBot="1" x14ac:dyDescent="0.3">
      <c r="B12" s="5" t="s">
        <v>28</v>
      </c>
      <c r="C12" s="5" t="s">
        <v>29</v>
      </c>
    </row>
  </sheetData>
  <conditionalFormatting sqref="D2:D11">
    <cfRule type="cellIs" dxfId="10" priority="2" operator="lessThan">
      <formula>90</formula>
    </cfRule>
    <cfRule type="cellIs" dxfId="9" priority="3" operator="greaterThanOrEqual">
      <formula>90</formula>
    </cfRule>
    <cfRule type="cellIs" dxfId="8" priority="4" operator="greaterThan">
      <formula>90</formula>
    </cfRule>
  </conditionalFormatting>
  <conditionalFormatting sqref="E2:E11">
    <cfRule type="cellIs" dxfId="7" priority="1" operator="lessThanOrEqual">
      <formula>23000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994D-8A65-4CF3-B04A-3AB497EA186D}">
  <sheetPr filterMode="1">
    <tabColor theme="7" tint="-0.249977111117893"/>
  </sheetPr>
  <dimension ref="A1:H11"/>
  <sheetViews>
    <sheetView workbookViewId="0">
      <selection activeCell="B1" sqref="B1"/>
    </sheetView>
  </sheetViews>
  <sheetFormatPr baseColWidth="10" defaultRowHeight="15" x14ac:dyDescent="0.25"/>
  <cols>
    <col min="6" max="6" width="13" customWidth="1"/>
    <col min="8" max="8" width="13.85546875" customWidth="1"/>
  </cols>
  <sheetData>
    <row r="1" spans="1:8" ht="31.5" x14ac:dyDescent="0.25">
      <c r="A1" s="21" t="s">
        <v>9</v>
      </c>
      <c r="B1" s="21" t="s">
        <v>46</v>
      </c>
      <c r="C1" s="21" t="s">
        <v>3</v>
      </c>
      <c r="D1" s="22" t="s">
        <v>47</v>
      </c>
      <c r="E1" s="22" t="s">
        <v>6</v>
      </c>
      <c r="F1" s="22" t="s">
        <v>5</v>
      </c>
      <c r="G1" s="22" t="s">
        <v>48</v>
      </c>
      <c r="H1" s="22" t="s">
        <v>7</v>
      </c>
    </row>
    <row r="2" spans="1:8" hidden="1" x14ac:dyDescent="0.25">
      <c r="A2" s="23">
        <v>1214737464</v>
      </c>
      <c r="B2" s="23" t="s">
        <v>50</v>
      </c>
      <c r="C2" s="23" t="s">
        <v>51</v>
      </c>
      <c r="D2" s="23">
        <v>96</v>
      </c>
      <c r="E2" s="24">
        <v>21500</v>
      </c>
      <c r="F2" s="25">
        <f t="shared" ref="F2:F11" si="0">PRODUCT(D2:E2)</f>
        <v>2064000</v>
      </c>
      <c r="G2" s="26">
        <f t="shared" ref="G2:G11" si="1">F2*10%</f>
        <v>206400</v>
      </c>
      <c r="H2" s="26">
        <f t="shared" ref="H2:H11" si="2">F2-G2</f>
        <v>1857600</v>
      </c>
    </row>
    <row r="3" spans="1:8" hidden="1" x14ac:dyDescent="0.25">
      <c r="A3" s="23">
        <v>89079765</v>
      </c>
      <c r="B3" s="23" t="s">
        <v>66</v>
      </c>
      <c r="C3" s="23" t="s">
        <v>67</v>
      </c>
      <c r="D3" s="23">
        <v>96</v>
      </c>
      <c r="E3" s="24">
        <v>21000</v>
      </c>
      <c r="F3" s="25">
        <f t="shared" si="0"/>
        <v>2016000</v>
      </c>
      <c r="G3" s="26">
        <f t="shared" si="1"/>
        <v>201600</v>
      </c>
      <c r="H3" s="26">
        <f t="shared" si="2"/>
        <v>1814400</v>
      </c>
    </row>
    <row r="4" spans="1:8" x14ac:dyDescent="0.25">
      <c r="A4" s="23">
        <v>1213456765</v>
      </c>
      <c r="B4" s="23" t="s">
        <v>56</v>
      </c>
      <c r="C4" s="23" t="s">
        <v>57</v>
      </c>
      <c r="D4" s="23">
        <v>95</v>
      </c>
      <c r="E4" s="24">
        <v>22700</v>
      </c>
      <c r="F4" s="25">
        <f t="shared" si="0"/>
        <v>2156500</v>
      </c>
      <c r="G4" s="26">
        <f t="shared" si="1"/>
        <v>215650</v>
      </c>
      <c r="H4" s="26">
        <f t="shared" si="2"/>
        <v>1940850</v>
      </c>
    </row>
    <row r="5" spans="1:8" hidden="1" x14ac:dyDescent="0.25">
      <c r="A5" s="23">
        <v>65767890</v>
      </c>
      <c r="B5" s="23" t="s">
        <v>52</v>
      </c>
      <c r="C5" s="23" t="s">
        <v>53</v>
      </c>
      <c r="D5" s="23">
        <v>93</v>
      </c>
      <c r="E5" s="24">
        <v>20978</v>
      </c>
      <c r="F5" s="25">
        <f t="shared" si="0"/>
        <v>1950954</v>
      </c>
      <c r="G5" s="26">
        <f t="shared" si="1"/>
        <v>195095.40000000002</v>
      </c>
      <c r="H5" s="26">
        <f t="shared" si="2"/>
        <v>1755858.6</v>
      </c>
    </row>
    <row r="6" spans="1:8" hidden="1" x14ac:dyDescent="0.25">
      <c r="A6" s="23">
        <v>34565098</v>
      </c>
      <c r="B6" s="23" t="s">
        <v>60</v>
      </c>
      <c r="C6" s="23" t="s">
        <v>61</v>
      </c>
      <c r="D6" s="23">
        <v>92</v>
      </c>
      <c r="E6" s="24">
        <v>26755</v>
      </c>
      <c r="F6" s="25">
        <f t="shared" si="0"/>
        <v>2461460</v>
      </c>
      <c r="G6" s="26">
        <f t="shared" si="1"/>
        <v>246146</v>
      </c>
      <c r="H6" s="26">
        <f t="shared" si="2"/>
        <v>2215314</v>
      </c>
    </row>
    <row r="7" spans="1:8" hidden="1" x14ac:dyDescent="0.25">
      <c r="A7" s="23">
        <v>78901324</v>
      </c>
      <c r="B7" s="23" t="s">
        <v>54</v>
      </c>
      <c r="C7" s="23" t="s">
        <v>55</v>
      </c>
      <c r="D7" s="23">
        <v>91</v>
      </c>
      <c r="E7" s="24">
        <v>23100</v>
      </c>
      <c r="F7" s="25">
        <f t="shared" si="0"/>
        <v>2102100</v>
      </c>
      <c r="G7" s="26">
        <f t="shared" si="1"/>
        <v>210210</v>
      </c>
      <c r="H7" s="26">
        <f t="shared" si="2"/>
        <v>1891890</v>
      </c>
    </row>
    <row r="8" spans="1:8" hidden="1" x14ac:dyDescent="0.25">
      <c r="A8" s="23">
        <v>39406106</v>
      </c>
      <c r="B8" s="23" t="s">
        <v>64</v>
      </c>
      <c r="C8" s="23" t="s">
        <v>65</v>
      </c>
      <c r="D8" s="23">
        <v>90</v>
      </c>
      <c r="E8" s="24">
        <v>22000</v>
      </c>
      <c r="F8" s="25">
        <f t="shared" si="0"/>
        <v>1980000</v>
      </c>
      <c r="G8" s="26">
        <f t="shared" si="1"/>
        <v>198000</v>
      </c>
      <c r="H8" s="26">
        <f t="shared" si="2"/>
        <v>1782000</v>
      </c>
    </row>
    <row r="9" spans="1:8" hidden="1" x14ac:dyDescent="0.25">
      <c r="A9" s="23">
        <v>1025677627</v>
      </c>
      <c r="B9" s="23" t="s">
        <v>49</v>
      </c>
      <c r="C9" s="23" t="s">
        <v>29</v>
      </c>
      <c r="D9" s="23">
        <v>89</v>
      </c>
      <c r="E9" s="24">
        <v>24000</v>
      </c>
      <c r="F9" s="25">
        <f t="shared" si="0"/>
        <v>2136000</v>
      </c>
      <c r="G9" s="26">
        <f t="shared" si="1"/>
        <v>213600</v>
      </c>
      <c r="H9" s="26">
        <f t="shared" si="2"/>
        <v>1922400</v>
      </c>
    </row>
    <row r="10" spans="1:8" hidden="1" x14ac:dyDescent="0.25">
      <c r="A10" s="23">
        <v>1000531641</v>
      </c>
      <c r="B10" s="23" t="s">
        <v>58</v>
      </c>
      <c r="C10" s="23" t="s">
        <v>59</v>
      </c>
      <c r="D10" s="23">
        <v>85</v>
      </c>
      <c r="E10" s="24">
        <v>23000</v>
      </c>
      <c r="F10" s="25">
        <f t="shared" si="0"/>
        <v>1955000</v>
      </c>
      <c r="G10" s="26">
        <f t="shared" si="1"/>
        <v>195500</v>
      </c>
      <c r="H10" s="26">
        <f t="shared" si="2"/>
        <v>1759500</v>
      </c>
    </row>
    <row r="11" spans="1:8" hidden="1" x14ac:dyDescent="0.25">
      <c r="A11" s="23">
        <v>1025675262</v>
      </c>
      <c r="B11" s="23" t="s">
        <v>62</v>
      </c>
      <c r="C11" s="23" t="s">
        <v>63</v>
      </c>
      <c r="D11" s="23">
        <v>78</v>
      </c>
      <c r="E11" s="24">
        <v>25500</v>
      </c>
      <c r="F11" s="25">
        <f t="shared" si="0"/>
        <v>1989000</v>
      </c>
      <c r="G11" s="26">
        <f t="shared" si="1"/>
        <v>198900</v>
      </c>
      <c r="H11" s="26">
        <f t="shared" si="2"/>
        <v>1790100</v>
      </c>
    </row>
  </sheetData>
  <autoFilter ref="A1:H11" xr:uid="{3835D97A-26D4-491C-A6FD-14A976D350EB}">
    <filterColumn colId="1">
      <filters>
        <filter val="Paneso"/>
      </filters>
    </filterColumn>
    <filterColumn colId="3">
      <customFilters>
        <customFilter operator="greaterThanOrEqual" val="90"/>
      </customFilters>
    </filterColumn>
    <filterColumn colId="4">
      <customFilters and="1">
        <customFilter operator="greaterThanOrEqual" val="21000"/>
        <customFilter operator="lessThanOrEqual" val="23000"/>
      </customFilters>
    </filterColumn>
  </autoFilter>
  <conditionalFormatting sqref="D2:D11">
    <cfRule type="cellIs" dxfId="6" priority="2" operator="lessThan">
      <formula>90</formula>
    </cfRule>
    <cfRule type="cellIs" dxfId="5" priority="3" operator="greaterThanOrEqual">
      <formula>90</formula>
    </cfRule>
    <cfRule type="cellIs" dxfId="4" priority="4" operator="greaterThan">
      <formula>90</formula>
    </cfRule>
  </conditionalFormatting>
  <conditionalFormatting sqref="E2:E11">
    <cfRule type="cellIs" dxfId="3" priority="1" operator="lessThanOrEqual">
      <formula>23000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E225C-8463-4722-BC5B-5DAAE019C64F}">
  <sheetPr>
    <tabColor theme="9" tint="0.39997558519241921"/>
  </sheetPr>
  <dimension ref="A1:O29"/>
  <sheetViews>
    <sheetView workbookViewId="0">
      <selection activeCell="C30" sqref="C30"/>
    </sheetView>
  </sheetViews>
  <sheetFormatPr baseColWidth="10" defaultRowHeight="15" x14ac:dyDescent="0.25"/>
  <cols>
    <col min="1" max="1" width="13.7109375" customWidth="1"/>
    <col min="2" max="2" width="12.28515625" customWidth="1"/>
    <col min="3" max="3" width="14" customWidth="1"/>
    <col min="4" max="4" width="37.140625" bestFit="1" customWidth="1"/>
    <col min="5" max="5" width="13.85546875" bestFit="1" customWidth="1"/>
    <col min="6" max="6" width="14.85546875" style="1" customWidth="1"/>
    <col min="11" max="11" width="13" customWidth="1"/>
    <col min="12" max="12" width="14.28515625" customWidth="1"/>
  </cols>
  <sheetData>
    <row r="1" spans="1:13" ht="27" x14ac:dyDescent="0.25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27"/>
      <c r="L1" s="27"/>
      <c r="M1" s="27"/>
    </row>
    <row r="2" spans="1:13" ht="27" x14ac:dyDescent="0.25">
      <c r="A2" s="52" t="s">
        <v>1</v>
      </c>
      <c r="B2" s="52"/>
      <c r="C2" s="52"/>
      <c r="D2" s="52"/>
      <c r="E2" s="52"/>
      <c r="F2" s="52"/>
      <c r="G2" s="52"/>
      <c r="H2" s="52"/>
      <c r="I2" s="52"/>
      <c r="J2" s="52"/>
      <c r="K2" s="28"/>
      <c r="L2" s="28"/>
      <c r="M2" s="28"/>
    </row>
    <row r="3" spans="1:13" ht="27" x14ac:dyDescent="0.25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3"/>
      <c r="K3" s="29"/>
      <c r="L3" s="29"/>
      <c r="M3" s="29"/>
    </row>
    <row r="4" spans="1:13" ht="15.75" thickBot="1" x14ac:dyDescent="0.3">
      <c r="J4" s="31">
        <v>0.01</v>
      </c>
      <c r="K4" s="31"/>
      <c r="L4" s="31"/>
    </row>
    <row r="5" spans="1:13" ht="32.25" thickBot="1" x14ac:dyDescent="0.3">
      <c r="A5" s="2" t="s">
        <v>9</v>
      </c>
      <c r="B5" s="14" t="s">
        <v>39</v>
      </c>
      <c r="C5" s="14" t="s">
        <v>8</v>
      </c>
      <c r="D5" s="14" t="s">
        <v>3</v>
      </c>
      <c r="E5" s="14" t="s">
        <v>40</v>
      </c>
      <c r="F5" s="3" t="s">
        <v>4</v>
      </c>
      <c r="G5" s="4" t="s">
        <v>6</v>
      </c>
      <c r="H5" s="14" t="s">
        <v>5</v>
      </c>
      <c r="I5" s="4" t="s">
        <v>38</v>
      </c>
      <c r="J5" s="4" t="s">
        <v>71</v>
      </c>
      <c r="K5" s="4" t="s">
        <v>75</v>
      </c>
      <c r="L5" s="4" t="s">
        <v>76</v>
      </c>
      <c r="M5" s="4" t="s">
        <v>7</v>
      </c>
    </row>
    <row r="6" spans="1:13" ht="15.75" thickBot="1" x14ac:dyDescent="0.3">
      <c r="A6" s="5">
        <v>1234991049</v>
      </c>
      <c r="B6" s="15">
        <v>1</v>
      </c>
      <c r="C6" s="5" t="s">
        <v>10</v>
      </c>
      <c r="D6" s="5" t="s">
        <v>19</v>
      </c>
      <c r="E6" s="16">
        <v>3008792050</v>
      </c>
      <c r="F6" s="6">
        <v>96</v>
      </c>
      <c r="G6" s="12">
        <v>21500</v>
      </c>
      <c r="H6" s="12">
        <f>F6*G6</f>
        <v>2064000</v>
      </c>
      <c r="I6" s="12">
        <f t="shared" ref="I6:I16" si="0">H6*10%</f>
        <v>206400</v>
      </c>
      <c r="J6" s="12">
        <f>$J$4*H6</f>
        <v>20640</v>
      </c>
      <c r="K6" s="12">
        <f>IF(H6&gt;=2000000,8%*H6,5%*H6)</f>
        <v>165120</v>
      </c>
      <c r="L6" s="12" t="str">
        <f>IF(H6&lt;2000000,"juego de vajilla","kit de cuchillos")</f>
        <v>kit de cuchillos</v>
      </c>
      <c r="M6" s="12">
        <f t="shared" ref="M6:M16" si="1">H6-I6</f>
        <v>1857600</v>
      </c>
    </row>
    <row r="7" spans="1:13" ht="15.75" thickBot="1" x14ac:dyDescent="0.3">
      <c r="A7" s="5">
        <v>26789416</v>
      </c>
      <c r="B7" s="15">
        <v>100</v>
      </c>
      <c r="C7" s="5" t="s">
        <v>11</v>
      </c>
      <c r="D7" s="5" t="s">
        <v>20</v>
      </c>
      <c r="E7" s="16">
        <v>3125698741</v>
      </c>
      <c r="F7" s="6">
        <v>90</v>
      </c>
      <c r="G7" s="12">
        <v>22000</v>
      </c>
      <c r="H7" s="12">
        <f t="shared" ref="H7:H16" si="2">F7*G7</f>
        <v>1980000</v>
      </c>
      <c r="I7" s="12">
        <f t="shared" si="0"/>
        <v>198000</v>
      </c>
      <c r="J7" s="12">
        <f t="shared" ref="J7:J16" si="3">$J$4*H7</f>
        <v>19800</v>
      </c>
      <c r="K7" s="12">
        <f t="shared" ref="K7:K16" si="4">IF(H7&gt;=2000000,8%*H7,5%*H7)</f>
        <v>99000</v>
      </c>
      <c r="L7" s="12" t="str">
        <f t="shared" ref="L7:L16" si="5">IF(H7&lt;2000000,"juego de vajilla","kit de cuchillos")</f>
        <v>juego de vajilla</v>
      </c>
      <c r="M7" s="12">
        <f t="shared" si="1"/>
        <v>1782000</v>
      </c>
    </row>
    <row r="8" spans="1:13" ht="15.75" thickBot="1" x14ac:dyDescent="0.3">
      <c r="A8" s="5">
        <v>1007468733</v>
      </c>
      <c r="B8" s="15">
        <v>999</v>
      </c>
      <c r="C8" s="5" t="s">
        <v>12</v>
      </c>
      <c r="D8" s="5" t="s">
        <v>21</v>
      </c>
      <c r="E8" s="16">
        <v>3145897148</v>
      </c>
      <c r="F8" s="6">
        <v>85</v>
      </c>
      <c r="G8" s="12">
        <v>23000</v>
      </c>
      <c r="H8" s="12">
        <f t="shared" si="2"/>
        <v>1955000</v>
      </c>
      <c r="I8" s="12">
        <f t="shared" si="0"/>
        <v>195500</v>
      </c>
      <c r="J8" s="12">
        <f t="shared" si="3"/>
        <v>19550</v>
      </c>
      <c r="K8" s="12">
        <f t="shared" si="4"/>
        <v>97750</v>
      </c>
      <c r="L8" s="12" t="str">
        <f t="shared" si="5"/>
        <v>juego de vajilla</v>
      </c>
      <c r="M8" s="12">
        <f t="shared" si="1"/>
        <v>1759500</v>
      </c>
    </row>
    <row r="9" spans="1:13" ht="15.75" thickBot="1" x14ac:dyDescent="0.3">
      <c r="A9" s="5">
        <v>7854955</v>
      </c>
      <c r="B9" s="15">
        <v>150</v>
      </c>
      <c r="C9" s="5" t="s">
        <v>13</v>
      </c>
      <c r="D9" s="5" t="s">
        <v>22</v>
      </c>
      <c r="E9" s="16">
        <v>3245796452</v>
      </c>
      <c r="F9" s="6">
        <v>78</v>
      </c>
      <c r="G9" s="12">
        <v>25500</v>
      </c>
      <c r="H9" s="12">
        <f t="shared" si="2"/>
        <v>1989000</v>
      </c>
      <c r="I9" s="12">
        <f t="shared" si="0"/>
        <v>198900</v>
      </c>
      <c r="J9" s="12">
        <f t="shared" si="3"/>
        <v>19890</v>
      </c>
      <c r="K9" s="12">
        <f t="shared" si="4"/>
        <v>99450</v>
      </c>
      <c r="L9" s="12" t="str">
        <f t="shared" si="5"/>
        <v>juego de vajilla</v>
      </c>
      <c r="M9" s="12">
        <f t="shared" si="1"/>
        <v>1790100</v>
      </c>
    </row>
    <row r="10" spans="1:13" ht="15.75" thickBot="1" x14ac:dyDescent="0.3">
      <c r="A10" s="5">
        <v>425789147</v>
      </c>
      <c r="B10" s="15">
        <v>28</v>
      </c>
      <c r="C10" s="5" t="s">
        <v>41</v>
      </c>
      <c r="D10" s="5" t="s">
        <v>42</v>
      </c>
      <c r="E10" s="16">
        <v>3214789874</v>
      </c>
      <c r="F10" s="6">
        <v>88</v>
      </c>
      <c r="G10" s="12">
        <v>26000</v>
      </c>
      <c r="H10" s="12">
        <f t="shared" si="2"/>
        <v>2288000</v>
      </c>
      <c r="I10" s="12">
        <f t="shared" si="0"/>
        <v>228800</v>
      </c>
      <c r="J10" s="12">
        <f t="shared" si="3"/>
        <v>22880</v>
      </c>
      <c r="K10" s="12">
        <f t="shared" si="4"/>
        <v>183040</v>
      </c>
      <c r="L10" s="12" t="str">
        <f t="shared" si="5"/>
        <v>kit de cuchillos</v>
      </c>
      <c r="M10" s="12">
        <f t="shared" si="1"/>
        <v>2059200</v>
      </c>
    </row>
    <row r="11" spans="1:13" ht="15.75" thickBot="1" x14ac:dyDescent="0.3">
      <c r="A11" s="5">
        <v>1234789655</v>
      </c>
      <c r="B11" s="15">
        <v>875</v>
      </c>
      <c r="C11" s="5" t="s">
        <v>14</v>
      </c>
      <c r="D11" s="5" t="s">
        <v>23</v>
      </c>
      <c r="E11" s="16">
        <v>3104501480</v>
      </c>
      <c r="F11" s="6">
        <v>89</v>
      </c>
      <c r="G11" s="12">
        <v>24000</v>
      </c>
      <c r="H11" s="12">
        <f t="shared" si="2"/>
        <v>2136000</v>
      </c>
      <c r="I11" s="12">
        <f t="shared" si="0"/>
        <v>213600</v>
      </c>
      <c r="J11" s="12">
        <f t="shared" si="3"/>
        <v>21360</v>
      </c>
      <c r="K11" s="12">
        <f t="shared" si="4"/>
        <v>170880</v>
      </c>
      <c r="L11" s="12" t="str">
        <f t="shared" si="5"/>
        <v>kit de cuchillos</v>
      </c>
      <c r="M11" s="12">
        <f t="shared" si="1"/>
        <v>1922400</v>
      </c>
    </row>
    <row r="12" spans="1:13" ht="15.75" thickBot="1" x14ac:dyDescent="0.3">
      <c r="A12" s="5">
        <v>8512369</v>
      </c>
      <c r="B12" s="15">
        <v>9</v>
      </c>
      <c r="C12" s="5" t="s">
        <v>15</v>
      </c>
      <c r="D12" s="5" t="s">
        <v>24</v>
      </c>
      <c r="E12" s="16">
        <v>3207784105</v>
      </c>
      <c r="F12" s="6">
        <v>96</v>
      </c>
      <c r="G12" s="12">
        <v>21000</v>
      </c>
      <c r="H12" s="12">
        <f t="shared" si="2"/>
        <v>2016000</v>
      </c>
      <c r="I12" s="12">
        <f t="shared" si="0"/>
        <v>201600</v>
      </c>
      <c r="J12" s="12">
        <f t="shared" si="3"/>
        <v>20160</v>
      </c>
      <c r="K12" s="12">
        <f t="shared" si="4"/>
        <v>161280</v>
      </c>
      <c r="L12" s="12" t="str">
        <f t="shared" si="5"/>
        <v>kit de cuchillos</v>
      </c>
      <c r="M12" s="12">
        <f t="shared" si="1"/>
        <v>1814400</v>
      </c>
    </row>
    <row r="13" spans="1:13" ht="15.75" thickBot="1" x14ac:dyDescent="0.3">
      <c r="A13" s="5">
        <v>1000258796</v>
      </c>
      <c r="B13" s="15">
        <v>5</v>
      </c>
      <c r="C13" s="5" t="s">
        <v>16</v>
      </c>
      <c r="D13" s="5" t="s">
        <v>25</v>
      </c>
      <c r="E13" s="16">
        <v>3148963102</v>
      </c>
      <c r="F13" s="6">
        <v>95</v>
      </c>
      <c r="G13" s="12">
        <v>22700</v>
      </c>
      <c r="H13" s="12">
        <f t="shared" si="2"/>
        <v>2156500</v>
      </c>
      <c r="I13" s="12">
        <f t="shared" si="0"/>
        <v>215650</v>
      </c>
      <c r="J13" s="12">
        <f t="shared" si="3"/>
        <v>21565</v>
      </c>
      <c r="K13" s="12">
        <f t="shared" si="4"/>
        <v>172520</v>
      </c>
      <c r="L13" s="12" t="str">
        <f t="shared" si="5"/>
        <v>kit de cuchillos</v>
      </c>
      <c r="M13" s="12">
        <f t="shared" si="1"/>
        <v>1940850</v>
      </c>
    </row>
    <row r="14" spans="1:13" ht="15.75" thickBot="1" x14ac:dyDescent="0.3">
      <c r="A14" s="5">
        <v>42100879</v>
      </c>
      <c r="B14" s="15">
        <v>8</v>
      </c>
      <c r="C14" s="5" t="s">
        <v>17</v>
      </c>
      <c r="D14" s="5" t="s">
        <v>26</v>
      </c>
      <c r="E14" s="16">
        <v>3105214789</v>
      </c>
      <c r="F14" s="6">
        <v>91</v>
      </c>
      <c r="G14" s="12">
        <v>23100</v>
      </c>
      <c r="H14" s="12">
        <f t="shared" si="2"/>
        <v>2102100</v>
      </c>
      <c r="I14" s="12">
        <f t="shared" si="0"/>
        <v>210210</v>
      </c>
      <c r="J14" s="12">
        <f t="shared" si="3"/>
        <v>21021</v>
      </c>
      <c r="K14" s="12">
        <f t="shared" si="4"/>
        <v>168168</v>
      </c>
      <c r="L14" s="12" t="str">
        <f t="shared" si="5"/>
        <v>kit de cuchillos</v>
      </c>
      <c r="M14" s="12">
        <f t="shared" si="1"/>
        <v>1891890</v>
      </c>
    </row>
    <row r="15" spans="1:13" ht="15.75" thickBot="1" x14ac:dyDescent="0.3">
      <c r="A15" s="5">
        <v>5987612</v>
      </c>
      <c r="B15" s="15">
        <v>4</v>
      </c>
      <c r="C15" s="5" t="s">
        <v>18</v>
      </c>
      <c r="D15" s="5" t="s">
        <v>27</v>
      </c>
      <c r="E15" s="16">
        <v>3111524789</v>
      </c>
      <c r="F15" s="6">
        <v>93</v>
      </c>
      <c r="G15" s="12">
        <v>20978</v>
      </c>
      <c r="H15" s="12">
        <f t="shared" si="2"/>
        <v>1950954</v>
      </c>
      <c r="I15" s="12">
        <f t="shared" si="0"/>
        <v>195095.40000000002</v>
      </c>
      <c r="J15" s="12">
        <f t="shared" si="3"/>
        <v>19509.54</v>
      </c>
      <c r="K15" s="12">
        <f t="shared" si="4"/>
        <v>97547.700000000012</v>
      </c>
      <c r="L15" s="12" t="str">
        <f t="shared" si="5"/>
        <v>juego de vajilla</v>
      </c>
      <c r="M15" s="12">
        <f t="shared" si="1"/>
        <v>1755858.6</v>
      </c>
    </row>
    <row r="16" spans="1:13" ht="15.75" thickBot="1" x14ac:dyDescent="0.3">
      <c r="A16" s="5">
        <v>32489658</v>
      </c>
      <c r="B16" s="15">
        <v>11</v>
      </c>
      <c r="C16" s="5" t="s">
        <v>28</v>
      </c>
      <c r="D16" s="5" t="s">
        <v>29</v>
      </c>
      <c r="E16" s="16">
        <v>3215965478</v>
      </c>
      <c r="F16" s="6">
        <v>92</v>
      </c>
      <c r="G16" s="12">
        <v>26755</v>
      </c>
      <c r="H16" s="12">
        <f t="shared" si="2"/>
        <v>2461460</v>
      </c>
      <c r="I16" s="12">
        <f t="shared" si="0"/>
        <v>246146</v>
      </c>
      <c r="J16" s="12">
        <f t="shared" si="3"/>
        <v>24614.600000000002</v>
      </c>
      <c r="K16" s="12">
        <f t="shared" si="4"/>
        <v>196916.80000000002</v>
      </c>
      <c r="L16" s="12" t="str">
        <f t="shared" si="5"/>
        <v>kit de cuchillos</v>
      </c>
      <c r="M16" s="12">
        <f t="shared" si="1"/>
        <v>2215314</v>
      </c>
    </row>
    <row r="18" spans="1:15" ht="18.75" customHeight="1" x14ac:dyDescent="0.3">
      <c r="A18" s="58" t="s">
        <v>78</v>
      </c>
      <c r="B18" s="58"/>
      <c r="C18" s="58"/>
      <c r="D18" s="58"/>
    </row>
    <row r="19" spans="1:15" x14ac:dyDescent="0.25">
      <c r="A19" s="35" t="s">
        <v>79</v>
      </c>
      <c r="B19" s="34">
        <f>SUMIFS(H6:H16,H6:H16,"&lt;=2000000")</f>
        <v>7874954</v>
      </c>
    </row>
    <row r="20" spans="1:15" ht="18.75" customHeight="1" x14ac:dyDescent="0.3">
      <c r="A20" s="58" t="s">
        <v>80</v>
      </c>
      <c r="B20" s="58"/>
      <c r="C20" s="58"/>
      <c r="D20" s="58"/>
      <c r="E20" s="58"/>
      <c r="F20" s="58"/>
      <c r="G20" s="58"/>
      <c r="H20" s="58"/>
      <c r="I20" s="58"/>
      <c r="J20" s="58"/>
    </row>
    <row r="21" spans="1:15" x14ac:dyDescent="0.25">
      <c r="A21" s="35" t="s">
        <v>79</v>
      </c>
      <c r="B21" s="34">
        <f>SUMIFS(H6:H16,F6:F16,"&lt;=90",G6:G16,"&gt;22000")</f>
        <v>8368000</v>
      </c>
      <c r="O21" t="s">
        <v>77</v>
      </c>
    </row>
    <row r="22" spans="1:15" ht="18.75" x14ac:dyDescent="0.3">
      <c r="A22" s="50" t="s">
        <v>81</v>
      </c>
      <c r="B22" s="59"/>
      <c r="C22" s="59"/>
      <c r="D22" s="59"/>
    </row>
    <row r="23" spans="1:15" x14ac:dyDescent="0.25">
      <c r="A23" s="35" t="s">
        <v>79</v>
      </c>
      <c r="B23" s="34">
        <f>AVERAGEIFS(H6:H16,H6:H16,"&lt;=2000000")</f>
        <v>1968738.5</v>
      </c>
    </row>
    <row r="24" spans="1:15" ht="18.75" x14ac:dyDescent="0.3">
      <c r="A24" s="58" t="s">
        <v>84</v>
      </c>
      <c r="B24" s="58"/>
      <c r="C24" s="58"/>
      <c r="D24" s="58"/>
      <c r="E24" s="58"/>
      <c r="F24" s="58"/>
      <c r="G24" s="58"/>
      <c r="H24" s="58"/>
      <c r="I24" s="58"/>
      <c r="J24" s="58"/>
    </row>
    <row r="25" spans="1:15" x14ac:dyDescent="0.25">
      <c r="A25" s="32" t="s">
        <v>79</v>
      </c>
      <c r="B25" s="34">
        <f>AVERAGEIFS(H6:H16,F6:F16,"&lt;=90",G6:G16,"&gt;22000")</f>
        <v>2092000</v>
      </c>
    </row>
    <row r="26" spans="1:15" ht="18.75" x14ac:dyDescent="0.3">
      <c r="A26" s="36" t="s">
        <v>83</v>
      </c>
    </row>
    <row r="27" spans="1:15" x14ac:dyDescent="0.25">
      <c r="A27" s="35" t="s">
        <v>82</v>
      </c>
      <c r="B27" s="32">
        <f>COUNTIF(F6:F16,"&gt;90")</f>
        <v>6</v>
      </c>
    </row>
    <row r="28" spans="1:15" ht="18.75" x14ac:dyDescent="0.3">
      <c r="A28" s="50" t="s">
        <v>85</v>
      </c>
      <c r="B28" s="54"/>
      <c r="C28" s="54"/>
      <c r="D28" s="54"/>
      <c r="E28" s="54"/>
    </row>
    <row r="29" spans="1:15" x14ac:dyDescent="0.25">
      <c r="A29" s="35" t="s">
        <v>86</v>
      </c>
      <c r="B29" s="32">
        <f>COUNTIF(J6:J16,"&gt;=21360")</f>
        <v>4</v>
      </c>
    </row>
  </sheetData>
  <mergeCells count="8">
    <mergeCell ref="A1:J1"/>
    <mergeCell ref="A2:J2"/>
    <mergeCell ref="A3:J3"/>
    <mergeCell ref="A28:E28"/>
    <mergeCell ref="A18:D18"/>
    <mergeCell ref="A20:J20"/>
    <mergeCell ref="A22:D22"/>
    <mergeCell ref="A24:J24"/>
  </mergeCells>
  <conditionalFormatting sqref="F6:F16">
    <cfRule type="cellIs" dxfId="2" priority="1" operator="equal">
      <formula>90</formula>
    </cfRule>
    <cfRule type="cellIs" dxfId="1" priority="2" operator="lessThan">
      <formula>90</formula>
    </cfRule>
    <cfRule type="cellIs" dxfId="0" priority="3" operator="greaterThan">
      <formula>90</formula>
    </cfRule>
  </conditionalFormatting>
  <printOptions horizontalCentered="1" verticalCentered="1"/>
  <pageMargins left="0.39370078740157483" right="0.39370078740157483" top="0.39370078740157483" bottom="0.39370078740157483" header="0.19685039370078741" footer="0.39370078740157483"/>
  <pageSetup orientation="landscape" r:id="rId1"/>
  <headerFooter>
    <oddHeader>&amp;L&amp;"-,Negrita Cursiva"&amp;10&amp;K09+038Elizabeth Ortiz Montoya&amp;C&amp;"-,Negrita Cursiva"&amp;10&amp;K09-023Nombre del archivo: &amp;F&amp;R&amp;G</oddHeader>
    <oddFooter>&amp;C&amp;"-,Negrita Cursiva"&amp;10&amp;K7030A0Nombre de la hoja: &amp;A&amp;R&amp;"-,Negrita Cursiva"&amp;10&amp;K00B050fecha del día :&amp;D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F98D-93BB-4281-A9BE-0ADEA85148F1}">
  <sheetPr>
    <tabColor theme="7" tint="0.39997558519241921"/>
  </sheetPr>
  <dimension ref="A1:I15"/>
  <sheetViews>
    <sheetView workbookViewId="0">
      <selection activeCell="B16" sqref="B16"/>
    </sheetView>
  </sheetViews>
  <sheetFormatPr baseColWidth="10" defaultRowHeight="15" x14ac:dyDescent="0.25"/>
  <sheetData>
    <row r="1" spans="1:9" ht="30.75" thickBot="1" x14ac:dyDescent="0.3">
      <c r="A1" s="37" t="s">
        <v>87</v>
      </c>
      <c r="B1" s="38" t="s">
        <v>88</v>
      </c>
      <c r="C1" s="38" t="s">
        <v>89</v>
      </c>
      <c r="D1" s="38" t="s">
        <v>90</v>
      </c>
      <c r="E1" s="38" t="s">
        <v>91</v>
      </c>
      <c r="F1" s="38" t="s">
        <v>92</v>
      </c>
      <c r="G1" s="38" t="s">
        <v>93</v>
      </c>
      <c r="H1" s="38" t="s">
        <v>94</v>
      </c>
      <c r="I1" s="38" t="s">
        <v>95</v>
      </c>
    </row>
    <row r="2" spans="1:9" ht="15.75" thickBot="1" x14ac:dyDescent="0.3">
      <c r="A2" s="39">
        <v>2</v>
      </c>
      <c r="B2" s="39">
        <v>3</v>
      </c>
      <c r="C2" s="40">
        <v>4</v>
      </c>
      <c r="D2" s="40">
        <v>5</v>
      </c>
      <c r="E2" s="40">
        <v>6</v>
      </c>
      <c r="F2" s="40">
        <v>7</v>
      </c>
      <c r="G2" s="40">
        <v>8</v>
      </c>
      <c r="H2" s="40">
        <v>9</v>
      </c>
      <c r="I2" s="40">
        <v>10</v>
      </c>
    </row>
    <row r="3" spans="1:9" ht="15.75" thickBot="1" x14ac:dyDescent="0.3">
      <c r="A3" s="39">
        <v>4</v>
      </c>
      <c r="B3" s="39">
        <v>6</v>
      </c>
      <c r="C3" s="40">
        <v>8</v>
      </c>
      <c r="D3" s="40">
        <v>10</v>
      </c>
      <c r="E3" s="40">
        <v>12</v>
      </c>
      <c r="F3" s="40">
        <v>14</v>
      </c>
      <c r="G3" s="40">
        <v>16</v>
      </c>
      <c r="H3" s="40">
        <v>18</v>
      </c>
      <c r="I3" s="40">
        <v>20</v>
      </c>
    </row>
    <row r="4" spans="1:9" ht="15.75" thickBot="1" x14ac:dyDescent="0.3">
      <c r="A4" s="39">
        <v>6</v>
      </c>
      <c r="B4" s="39">
        <v>9</v>
      </c>
      <c r="C4" s="40">
        <v>12</v>
      </c>
      <c r="D4" s="40">
        <v>15</v>
      </c>
      <c r="E4" s="40">
        <v>18</v>
      </c>
      <c r="F4" s="40">
        <v>21</v>
      </c>
      <c r="G4" s="40">
        <v>24</v>
      </c>
      <c r="H4" s="40">
        <v>27</v>
      </c>
      <c r="I4" s="40">
        <v>30</v>
      </c>
    </row>
    <row r="5" spans="1:9" ht="15.75" thickBot="1" x14ac:dyDescent="0.3">
      <c r="A5" s="39">
        <v>8</v>
      </c>
      <c r="B5" s="39">
        <v>12</v>
      </c>
      <c r="C5" s="40">
        <v>16</v>
      </c>
      <c r="D5" s="40">
        <v>20</v>
      </c>
      <c r="E5" s="40">
        <v>24</v>
      </c>
      <c r="F5" s="40">
        <v>28</v>
      </c>
      <c r="G5" s="40">
        <v>32</v>
      </c>
      <c r="H5" s="40">
        <v>36</v>
      </c>
      <c r="I5" s="40">
        <v>40</v>
      </c>
    </row>
    <row r="6" spans="1:9" ht="15.75" thickBot="1" x14ac:dyDescent="0.3">
      <c r="A6" s="39">
        <v>10</v>
      </c>
      <c r="B6" s="39">
        <v>15</v>
      </c>
      <c r="C6" s="40">
        <v>20</v>
      </c>
      <c r="D6" s="40">
        <v>25</v>
      </c>
      <c r="E6" s="40">
        <v>30</v>
      </c>
      <c r="F6" s="40">
        <v>35</v>
      </c>
      <c r="G6" s="40">
        <v>40</v>
      </c>
      <c r="H6" s="40">
        <v>45</v>
      </c>
      <c r="I6" s="40">
        <v>50</v>
      </c>
    </row>
    <row r="7" spans="1:9" ht="15.75" thickBot="1" x14ac:dyDescent="0.3">
      <c r="A7" s="39">
        <v>12</v>
      </c>
      <c r="B7" s="39">
        <v>18</v>
      </c>
      <c r="C7" s="40">
        <v>24</v>
      </c>
      <c r="D7" s="40">
        <v>30</v>
      </c>
      <c r="E7" s="40">
        <v>36</v>
      </c>
      <c r="F7" s="40">
        <v>42</v>
      </c>
      <c r="G7" s="40">
        <v>48</v>
      </c>
      <c r="H7" s="40">
        <v>54</v>
      </c>
      <c r="I7" s="40">
        <v>60</v>
      </c>
    </row>
    <row r="8" spans="1:9" ht="15.75" thickBot="1" x14ac:dyDescent="0.3">
      <c r="A8" s="39">
        <v>14</v>
      </c>
      <c r="B8" s="39">
        <v>21</v>
      </c>
      <c r="C8" s="40">
        <v>28</v>
      </c>
      <c r="D8" s="40">
        <v>35</v>
      </c>
      <c r="E8" s="40">
        <v>42</v>
      </c>
      <c r="F8" s="40">
        <v>49</v>
      </c>
      <c r="G8" s="40">
        <v>56</v>
      </c>
      <c r="H8" s="40">
        <v>63</v>
      </c>
      <c r="I8" s="40">
        <v>70</v>
      </c>
    </row>
    <row r="9" spans="1:9" ht="15.75" thickBot="1" x14ac:dyDescent="0.3">
      <c r="A9" s="39">
        <v>16</v>
      </c>
      <c r="B9" s="39">
        <v>24</v>
      </c>
      <c r="C9" s="40">
        <v>32</v>
      </c>
      <c r="D9" s="40">
        <v>40</v>
      </c>
      <c r="E9" s="40">
        <v>48</v>
      </c>
      <c r="F9" s="40">
        <v>56</v>
      </c>
      <c r="G9" s="40">
        <v>64</v>
      </c>
      <c r="H9" s="40">
        <v>72</v>
      </c>
      <c r="I9" s="40">
        <v>80</v>
      </c>
    </row>
    <row r="10" spans="1:9" ht="15.75" thickBot="1" x14ac:dyDescent="0.3">
      <c r="A10" s="39">
        <v>18</v>
      </c>
      <c r="B10" s="39">
        <v>27</v>
      </c>
      <c r="C10" s="40">
        <v>36</v>
      </c>
      <c r="D10" s="40">
        <v>45</v>
      </c>
      <c r="E10" s="40">
        <v>54</v>
      </c>
      <c r="F10" s="40">
        <v>63</v>
      </c>
      <c r="G10" s="40">
        <v>72</v>
      </c>
      <c r="H10" s="40">
        <v>81</v>
      </c>
      <c r="I10" s="40">
        <v>90</v>
      </c>
    </row>
    <row r="11" spans="1:9" ht="15.75" thickBot="1" x14ac:dyDescent="0.3">
      <c r="A11" s="39">
        <v>20</v>
      </c>
      <c r="B11" s="39">
        <v>30</v>
      </c>
      <c r="C11" s="40">
        <v>40</v>
      </c>
      <c r="D11" s="40">
        <v>50</v>
      </c>
      <c r="E11" s="40">
        <v>60</v>
      </c>
      <c r="F11" s="40">
        <v>70</v>
      </c>
      <c r="G11" s="40">
        <v>80</v>
      </c>
      <c r="H11" s="40">
        <v>90</v>
      </c>
      <c r="I11" s="40">
        <v>100</v>
      </c>
    </row>
    <row r="12" spans="1:9" ht="15.75" thickBot="1" x14ac:dyDescent="0.3">
      <c r="A12" s="39">
        <v>22</v>
      </c>
      <c r="B12" s="39">
        <v>33</v>
      </c>
      <c r="C12" s="40">
        <v>44</v>
      </c>
      <c r="D12" s="40">
        <v>55</v>
      </c>
      <c r="E12" s="40">
        <v>66</v>
      </c>
      <c r="F12" s="40">
        <v>77</v>
      </c>
      <c r="G12" s="40">
        <v>88</v>
      </c>
      <c r="H12" s="40">
        <v>99</v>
      </c>
      <c r="I12" s="40">
        <v>110</v>
      </c>
    </row>
    <row r="14" spans="1:9" x14ac:dyDescent="0.25">
      <c r="A14" t="s">
        <v>96</v>
      </c>
    </row>
    <row r="15" spans="1:9" x14ac:dyDescent="0.25">
      <c r="A15" t="s">
        <v>97</v>
      </c>
      <c r="B15">
        <f>COUNTIFS(A2:I12,"&gt;=2",A2:I12,"&lt;=50")</f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NÓMINA</vt:lpstr>
      <vt:lpstr>FORMULAS</vt:lpstr>
      <vt:lpstr>FORMATOS</vt:lpstr>
      <vt:lpstr>VALIDACION DE DATOS</vt:lpstr>
      <vt:lpstr>ORDENADOR 1</vt:lpstr>
      <vt:lpstr>ORDENADOR 2</vt:lpstr>
      <vt:lpstr>FILTROS</vt:lpstr>
      <vt:lpstr>Funciones logicas </vt:lpstr>
      <vt:lpstr>Contar.si.conjunto</vt:lpstr>
      <vt:lpstr>Tabla de datos</vt:lpstr>
      <vt:lpstr>Buscar v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Andersson Graciani Pacheco</dc:creator>
  <cp:lastModifiedBy>Pablo Andres  Serna Martinez</cp:lastModifiedBy>
  <cp:lastPrinted>2024-01-25T19:30:23Z</cp:lastPrinted>
  <dcterms:created xsi:type="dcterms:W3CDTF">2023-11-30T19:53:28Z</dcterms:created>
  <dcterms:modified xsi:type="dcterms:W3CDTF">2024-03-14T20:08:46Z</dcterms:modified>
</cp:coreProperties>
</file>