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ydesarrollo\Desktop\"/>
    </mc:Choice>
  </mc:AlternateContent>
  <xr:revisionPtr revIDLastSave="0" documentId="8_{38730FE5-349A-40A0-AAB1-E6B6114EE231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CLASE" sheetId="2" r:id="rId1"/>
    <sheet name="ANTES" sheetId="7" r:id="rId2"/>
    <sheet name="DESPUES" sheetId="3" r:id="rId3"/>
    <sheet name="TALLER 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8" l="1"/>
  <c r="C54" i="8" l="1"/>
  <c r="C56" i="8" s="1"/>
  <c r="G54" i="8" s="1"/>
  <c r="C50" i="8"/>
  <c r="C52" i="8" s="1"/>
  <c r="G50" i="8" s="1"/>
  <c r="E45" i="8"/>
  <c r="D47" i="8"/>
  <c r="D42" i="8"/>
  <c r="C46" i="8"/>
  <c r="C44" i="8"/>
  <c r="C41" i="8"/>
  <c r="C39" i="8"/>
  <c r="C42" i="8" s="1"/>
  <c r="G39" i="8" s="1"/>
  <c r="C34" i="8"/>
  <c r="C33" i="8"/>
  <c r="C30" i="8"/>
  <c r="C29" i="8"/>
  <c r="C28" i="8"/>
  <c r="C24" i="8"/>
  <c r="C22" i="8"/>
  <c r="C21" i="8"/>
  <c r="C18" i="8"/>
  <c r="C16" i="8"/>
  <c r="C15" i="8"/>
  <c r="G12" i="8"/>
  <c r="G11" i="8"/>
  <c r="G10" i="8"/>
  <c r="G8" i="8"/>
  <c r="G7" i="8"/>
  <c r="G4" i="8"/>
  <c r="G3" i="8"/>
  <c r="G2" i="8"/>
  <c r="G57" i="8" l="1"/>
  <c r="C35" i="8"/>
  <c r="C47" i="8"/>
  <c r="G40" i="8"/>
  <c r="G44" i="8"/>
  <c r="G45" i="8"/>
  <c r="G5" i="8"/>
  <c r="G28" i="8"/>
  <c r="G16" i="8"/>
  <c r="C25" i="8"/>
  <c r="G21" i="8" s="1"/>
  <c r="C31" i="8"/>
  <c r="C19" i="8"/>
  <c r="G15" i="8" s="1"/>
  <c r="G22" i="8"/>
  <c r="C20" i="7"/>
  <c r="A20" i="7"/>
  <c r="D15" i="7"/>
  <c r="B15" i="7"/>
  <c r="B14" i="7"/>
  <c r="E13" i="7"/>
  <c r="E12" i="7"/>
  <c r="D11" i="7"/>
  <c r="E11" i="7" s="1"/>
  <c r="D10" i="7"/>
  <c r="E10" i="7" s="1"/>
  <c r="D9" i="7"/>
  <c r="E9" i="7" s="1"/>
  <c r="D8" i="7"/>
  <c r="E8" i="7" s="1"/>
  <c r="D7" i="7"/>
  <c r="E7" i="7" s="1"/>
  <c r="E6" i="7"/>
  <c r="B15" i="3"/>
  <c r="E9" i="3"/>
  <c r="E12" i="3"/>
  <c r="E13" i="3"/>
  <c r="E6" i="3"/>
  <c r="D15" i="3"/>
  <c r="E15" i="3" s="1"/>
  <c r="C20" i="3"/>
  <c r="A20" i="3"/>
  <c r="D11" i="3"/>
  <c r="E11" i="3" s="1"/>
  <c r="D10" i="3"/>
  <c r="E10" i="3" s="1"/>
  <c r="D9" i="3"/>
  <c r="D8" i="3"/>
  <c r="E8" i="3" s="1"/>
  <c r="D7" i="3"/>
  <c r="E7" i="3" s="1"/>
  <c r="B14" i="3"/>
  <c r="F12" i="2"/>
  <c r="F9" i="2"/>
  <c r="F7" i="2"/>
  <c r="F5" i="2"/>
  <c r="F3" i="2"/>
  <c r="G48" i="8" l="1"/>
  <c r="E15" i="7"/>
  <c r="G26" i="8"/>
  <c r="A21" i="3"/>
  <c r="A22" i="3" s="1"/>
  <c r="A23" i="3" s="1"/>
  <c r="A24" i="3" s="1"/>
  <c r="D14" i="3" s="1"/>
  <c r="E14" i="3" s="1"/>
  <c r="E16" i="3" s="1"/>
  <c r="E20" i="3" s="1"/>
  <c r="F19" i="3" s="1"/>
  <c r="A21" i="7"/>
  <c r="A22" i="7" s="1"/>
  <c r="A23" i="7" s="1"/>
  <c r="A24" i="7" s="1"/>
  <c r="D14" i="7" s="1"/>
  <c r="E14" i="7" s="1"/>
  <c r="E16" i="7" s="1"/>
  <c r="E20" i="7" s="1"/>
  <c r="F19" i="7" s="1"/>
  <c r="G7" i="3"/>
  <c r="H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3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docenas x $ docena</t>
        </r>
      </text>
    </comment>
    <comment ref="G4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Unids x $ Unids</t>
        </r>
      </text>
    </comment>
  </commentList>
</comments>
</file>

<file path=xl/sharedStrings.xml><?xml version="1.0" encoding="utf-8"?>
<sst xmlns="http://schemas.openxmlformats.org/spreadsheetml/2006/main" count="270" uniqueCount="174">
  <si>
    <t>Caso</t>
  </si>
  <si>
    <t>Recurso utilizado</t>
  </si>
  <si>
    <t>Producción</t>
  </si>
  <si>
    <t>Precio de venta unitario</t>
  </si>
  <si>
    <t>Reemplazo formula</t>
  </si>
  <si>
    <t>Resultado</t>
  </si>
  <si>
    <t>Interpretación</t>
  </si>
  <si>
    <t>a</t>
  </si>
  <si>
    <t>120 metros de telas</t>
  </si>
  <si>
    <t>100 pantalons</t>
  </si>
  <si>
    <t>b</t>
  </si>
  <si>
    <t>2kg maíz</t>
  </si>
  <si>
    <t>20 Arepas</t>
  </si>
  <si>
    <t>c</t>
  </si>
  <si>
    <t>12 libras de carne</t>
  </si>
  <si>
    <t>50 almuerzos</t>
  </si>
  <si>
    <t>d</t>
  </si>
  <si>
    <t>4 horas de una persona</t>
  </si>
  <si>
    <t>e</t>
  </si>
  <si>
    <t>400 metros de tela índigo.</t>
  </si>
  <si>
    <t>200 uniformes</t>
  </si>
  <si>
    <t>unidades</t>
  </si>
  <si>
    <t>pmaiz(kg)=20 arepas*400$/arepa 
           2 kg maiz</t>
  </si>
  <si>
    <t>con un kg de maiz puedo generar ingresos de $ 4,000</t>
  </si>
  <si>
    <t>$ / kg maiz</t>
  </si>
  <si>
    <t>$/libra carne</t>
  </si>
  <si>
    <t>con una libra de carne  puedo generar ingresos de $ 83,333</t>
  </si>
  <si>
    <r>
      <rPr>
        <u/>
        <sz val="12"/>
        <color rgb="FF333333"/>
        <rFont val="Arial"/>
        <family val="2"/>
      </rPr>
      <t>carne(lb)=50 almuerzos*20000$/ almuerzos</t>
    </r>
    <r>
      <rPr>
        <sz val="12"/>
        <color rgb="FF333333"/>
        <rFont val="Arial"/>
        <family val="2"/>
      </rPr>
      <t xml:space="preserve">
 12 lb de carne</t>
    </r>
  </si>
  <si>
    <r>
      <rPr>
        <u/>
        <sz val="12"/>
        <color rgb="FF333333"/>
        <rFont val="Arial"/>
        <family val="2"/>
      </rPr>
      <t>4 H/ psona =50 almuerzos*20000$</t>
    </r>
    <r>
      <rPr>
        <sz val="12"/>
        <color rgb="FF333333"/>
        <rFont val="Arial"/>
        <family val="2"/>
      </rPr>
      <t xml:space="preserve">
                     4/ horas / persona </t>
    </r>
  </si>
  <si>
    <t>$/hora</t>
  </si>
  <si>
    <t>con una hora de cpconero genero ingresos de $250,000</t>
  </si>
  <si>
    <t xml:space="preserve">con un metro de de tela genero ingresos de 55,000 </t>
  </si>
  <si>
    <t>$/mt tela</t>
  </si>
  <si>
    <t xml:space="preserve">50 almuerzos </t>
  </si>
  <si>
    <t>con una hora de cocinero genero ingresos de 250000</t>
  </si>
  <si>
    <t xml:space="preserve">$/ Hora </t>
  </si>
  <si>
    <t>3,2 horas de una pesona</t>
  </si>
  <si>
    <t>Que porcentaje mejoro la productividad?</t>
  </si>
  <si>
    <t xml:space="preserve">  Excel realizó un curos virtual de gastronomia con el cual logró reducir con el tiepo de producccion un 20% </t>
  </si>
  <si>
    <t xml:space="preserve">CANTIDAD </t>
  </si>
  <si>
    <t xml:space="preserve">PRECIO </t>
  </si>
  <si>
    <t xml:space="preserve">RECURSOS </t>
  </si>
  <si>
    <t>CANTIDAD POR UNIDAD</t>
  </si>
  <si>
    <t>PAPA</t>
  </si>
  <si>
    <t>LIBRAS</t>
  </si>
  <si>
    <t>UNIDAD DE MEDIDA</t>
  </si>
  <si>
    <t>SALCHACHA</t>
  </si>
  <si>
    <t>GRAMOS</t>
  </si>
  <si>
    <t>TOCINETA</t>
  </si>
  <si>
    <t>HUEVO</t>
  </si>
  <si>
    <t>UNDS</t>
  </si>
  <si>
    <t>QUESO</t>
  </si>
  <si>
    <t>LONCHAS</t>
  </si>
  <si>
    <t>ACEITE</t>
  </si>
  <si>
    <t>ML</t>
  </si>
  <si>
    <t>SALSA</t>
  </si>
  <si>
    <t>EMPAQUE</t>
  </si>
  <si>
    <t>MANO DE OBRA</t>
  </si>
  <si>
    <t>GAS</t>
  </si>
  <si>
    <t>CALCULAR LA PRODUCTIVIDAD DE UN PEDIDO DE SALCHAPAPAS</t>
  </si>
  <si>
    <t>COSTO DE UNIDAD DE MEDIDA</t>
  </si>
  <si>
    <t>UNIDS</t>
  </si>
  <si>
    <t>MIN</t>
  </si>
  <si>
    <t>LBRAS</t>
  </si>
  <si>
    <t>CALCULO MIN</t>
  </si>
  <si>
    <t>MES</t>
  </si>
  <si>
    <t xml:space="preserve">HORA </t>
  </si>
  <si>
    <t>47 HORAS / 6</t>
  </si>
  <si>
    <t xml:space="preserve">DIA </t>
  </si>
  <si>
    <t>FP ( 45%)</t>
  </si>
  <si>
    <t xml:space="preserve">COSTO MINUTO </t>
  </si>
  <si>
    <t>COSTO POR SALCHIPAPAS</t>
  </si>
  <si>
    <t>COSTO TOTAL</t>
  </si>
  <si>
    <t>25 SALCHIPAPAS *30000</t>
  </si>
  <si>
    <t>PRODUCTIVIDAD TOTAL</t>
  </si>
  <si>
    <t>POR CADA PESO QUE INVERTI ME GENERA UN INGRESO BRUTO DE 2,51</t>
  </si>
  <si>
    <t>SE CONSIGUIO UN NUEVO PROVEEDOR QUE NOS OFRECE LAS CARNES FRIAS UN 15 % MAS ECONOMICO</t>
  </si>
  <si>
    <r>
      <rPr>
        <u/>
        <sz val="12"/>
        <color theme="1"/>
        <rFont val="Arial"/>
        <family val="2"/>
      </rPr>
      <t>pe(mt tela)=200 uniformes *110000$/uniforme</t>
    </r>
    <r>
      <rPr>
        <sz val="12"/>
        <color theme="1"/>
        <rFont val="Arial"/>
        <family val="2"/>
      </rPr>
      <t xml:space="preserve">s </t>
    </r>
    <r>
      <rPr>
        <u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 xml:space="preserve">                       400 metros </t>
    </r>
  </si>
  <si>
    <r>
      <t>p/hora (persna)=50almuerzos*20000$/almuerzos</t>
    </r>
    <r>
      <rPr>
        <sz val="12"/>
        <color theme="1"/>
        <rFont val="Arial"/>
        <family val="2"/>
      </rPr>
      <t xml:space="preserve">
                                    3,2</t>
    </r>
    <r>
      <rPr>
        <u/>
        <sz val="12"/>
        <color theme="1"/>
        <rFont val="Arial"/>
        <family val="2"/>
      </rPr>
      <t xml:space="preserve">
  </t>
    </r>
  </si>
  <si>
    <t>40 h/ por 4 persn.</t>
  </si>
  <si>
    <t>120 Gucales</t>
  </si>
  <si>
    <t>120 GUACA/40 H=120/40</t>
  </si>
  <si>
    <t>3 Guacales por hora</t>
  </si>
  <si>
    <t>120 GUACA/4 P = 120/4</t>
  </si>
  <si>
    <t>30 Guacales por persona</t>
  </si>
  <si>
    <t>125 Guacales</t>
  </si>
  <si>
    <t>125 GUACA/4 P = 125/4</t>
  </si>
  <si>
    <t>31,25 Guacales por persona</t>
  </si>
  <si>
    <r>
      <t xml:space="preserve"> La </t>
    </r>
    <r>
      <rPr>
        <sz val="12"/>
        <color theme="1"/>
        <rFont val="Century Gothic"/>
        <family val="2"/>
      </rPr>
      <t>productividad</t>
    </r>
    <r>
      <rPr>
        <sz val="12"/>
        <color rgb="FF000000"/>
        <rFont val="Century Gothic"/>
        <family val="2"/>
      </rPr>
      <t xml:space="preserve"> por hora de cada persona es de 3 Guacales</t>
    </r>
  </si>
  <si>
    <r>
      <rPr>
        <sz val="12"/>
        <color rgb="FF000000"/>
        <rFont val="Century Gothic"/>
        <family val="2"/>
      </rPr>
      <t xml:space="preserve"> P</t>
    </r>
    <r>
      <rPr>
        <sz val="12"/>
        <color theme="1"/>
        <rFont val="Century Gothic"/>
        <family val="2"/>
      </rPr>
      <t>roductividad</t>
    </r>
    <r>
      <rPr>
        <sz val="12"/>
        <color rgb="FF000000"/>
        <rFont val="Century Gothic"/>
        <family val="2"/>
      </rPr>
      <t xml:space="preserve"> por person es de 30 guacales por 10 horas de trabajo</t>
    </r>
  </si>
  <si>
    <t>La nueva productividad por persona seria 31,25 guacales pr 10 horas de trabajo</t>
  </si>
  <si>
    <t>La variación porcentual de la productividad por persona es  de  el 4%</t>
  </si>
  <si>
    <t>8h/ por 10 persn.</t>
  </si>
  <si>
    <t>160 Neveras</t>
  </si>
  <si>
    <r>
      <rPr>
        <u/>
        <sz val="12"/>
        <color theme="1"/>
        <rFont val="Century Gothic"/>
        <family val="2"/>
      </rPr>
      <t xml:space="preserve">31,25 guacales - 30 guacale
</t>
    </r>
    <r>
      <rPr>
        <sz val="12"/>
        <color theme="1"/>
        <rFont val="Century Gothic"/>
        <family val="2"/>
      </rPr>
      <t xml:space="preserve">                 30 </t>
    </r>
  </si>
  <si>
    <t>160 neveras / 8 h</t>
  </si>
  <si>
    <t>20 neveras por hora</t>
  </si>
  <si>
    <t>La productividad por hora de la empresa es de 20 neveras</t>
  </si>
  <si>
    <t>160 neveras / 10 personas</t>
  </si>
  <si>
    <t>16 neveras por persona</t>
  </si>
  <si>
    <t xml:space="preserve"> La productividad por persona es de 16 neveras</t>
  </si>
  <si>
    <t>5h/ por 1 persn.</t>
  </si>
  <si>
    <t>100 unids</t>
  </si>
  <si>
    <t>100 unds/ 5h</t>
  </si>
  <si>
    <t>20 unidades por hora</t>
  </si>
  <si>
    <t>5h / por 1 persn</t>
  </si>
  <si>
    <t>133 unids</t>
  </si>
  <si>
    <t>133unds/ 5h</t>
  </si>
  <si>
    <t>26,6 unidades por hora</t>
  </si>
  <si>
    <t>la productividad por hora esde 26,6 unidades</t>
  </si>
  <si>
    <t>la variación porcentual de la productividad 33%</t>
  </si>
  <si>
    <t>MO 250h por $7000/H</t>
  </si>
  <si>
    <t>50 lb resina por $ 36000/lb</t>
  </si>
  <si>
    <t>otros $ 3,000,000</t>
  </si>
  <si>
    <t>Energia 3000 kw por $ 800 kw</t>
  </si>
  <si>
    <t>1000 PULSERAS</t>
  </si>
  <si>
    <t>Valor recurso</t>
  </si>
  <si>
    <t>TOTAL RECURSOS</t>
  </si>
  <si>
    <t>MO 280h por $7000/H</t>
  </si>
  <si>
    <t>66 lb resina por $ 36000/lb</t>
  </si>
  <si>
    <t>Energia 3050 kw por $ 800 kw</t>
  </si>
  <si>
    <t>1200 PULSERAS</t>
  </si>
  <si>
    <t>MO 520H por 18U$/h</t>
  </si>
  <si>
    <t>Detergente 100 galones por 5U$/G</t>
  </si>
  <si>
    <t>Alq. Maq 20 días por 40U$/día</t>
  </si>
  <si>
    <t>600 mt2</t>
  </si>
  <si>
    <t>100 Galones</t>
  </si>
  <si>
    <t>$0,05 por Galon</t>
  </si>
  <si>
    <r>
      <t xml:space="preserve">26,6 unids-20 pasteles 
</t>
    </r>
    <r>
      <rPr>
        <sz val="12"/>
        <color theme="1"/>
        <rFont val="Century Gothic"/>
        <family val="2"/>
      </rPr>
      <t xml:space="preserve">             20</t>
    </r>
  </si>
  <si>
    <r>
      <rPr>
        <u/>
        <sz val="12"/>
        <color theme="1"/>
        <rFont val="Century Gothic"/>
        <family val="2"/>
      </rPr>
      <t>3,07-2,79</t>
    </r>
    <r>
      <rPr>
        <sz val="12"/>
        <color theme="1"/>
        <rFont val="Century Gothic"/>
        <family val="2"/>
      </rPr>
      <t xml:space="preserve">
2,79</t>
    </r>
  </si>
  <si>
    <t>$2,79 por mes</t>
  </si>
  <si>
    <t>2,79 pulseras por mes</t>
  </si>
  <si>
    <t>3,07 pulseras por mes</t>
  </si>
  <si>
    <t>$3,07 por mes</t>
  </si>
  <si>
    <t>la variación porcentual de la productividad es del 10%</t>
  </si>
  <si>
    <t>Piso mt2</t>
  </si>
  <si>
    <r>
      <rPr>
        <u/>
        <sz val="12"/>
        <color theme="1"/>
        <rFont val="Century Gothic"/>
        <family val="2"/>
      </rPr>
      <t>1000pulseras*$25.000</t>
    </r>
    <r>
      <rPr>
        <sz val="12"/>
        <color theme="1"/>
        <rFont val="Century Gothic"/>
        <family val="2"/>
      </rPr>
      <t xml:space="preserve">
$8.950.000</t>
    </r>
  </si>
  <si>
    <r>
      <rPr>
        <u/>
        <sz val="12"/>
        <color theme="1"/>
        <rFont val="Century Gothic"/>
        <family val="2"/>
      </rPr>
      <t>1200pulseras*$25.000</t>
    </r>
    <r>
      <rPr>
        <sz val="12"/>
        <color theme="1"/>
        <rFont val="Century Gothic"/>
        <family val="2"/>
      </rPr>
      <t xml:space="preserve">
$9.776.000</t>
    </r>
  </si>
  <si>
    <r>
      <rPr>
        <u/>
        <sz val="12"/>
        <color theme="1"/>
        <rFont val="Century Gothic"/>
        <family val="2"/>
      </rPr>
      <t>600mt2*30U$</t>
    </r>
    <r>
      <rPr>
        <sz val="12"/>
        <color theme="1"/>
        <rFont val="Century Gothic"/>
        <family val="2"/>
      </rPr>
      <t xml:space="preserve">
$10.660</t>
    </r>
  </si>
  <si>
    <t>$1,69 por mt2</t>
  </si>
  <si>
    <t>MO 350H por $5800/H</t>
  </si>
  <si>
    <t>Capital sin modificación</t>
  </si>
  <si>
    <t>MO 325H por $5800/H</t>
  </si>
  <si>
    <t>Capital con modificación</t>
  </si>
  <si>
    <t>Energia 2750kw por $800/kw</t>
  </si>
  <si>
    <t>Energia 3000kw por $800/kw</t>
  </si>
  <si>
    <t>Unidades</t>
  </si>
  <si>
    <t>Docenas</t>
  </si>
  <si>
    <t>1,68 Docenas por mes X</t>
  </si>
  <si>
    <t>1,38 Docenas por mes Y</t>
  </si>
  <si>
    <r>
      <rPr>
        <u/>
        <sz val="12"/>
        <color theme="1"/>
        <rFont val="Century Gothic"/>
        <family val="2"/>
      </rPr>
      <t>1,68-1,38</t>
    </r>
    <r>
      <rPr>
        <sz val="12"/>
        <color theme="1"/>
        <rFont val="Century Gothic"/>
        <family val="2"/>
      </rPr>
      <t xml:space="preserve">
1,38</t>
    </r>
  </si>
  <si>
    <t>3000kw</t>
  </si>
  <si>
    <r>
      <rPr>
        <u/>
        <sz val="12"/>
        <color theme="1"/>
        <rFont val="Century Gothic"/>
        <family val="2"/>
      </rPr>
      <t>3000kw*$800</t>
    </r>
    <r>
      <rPr>
        <sz val="12"/>
        <color theme="1"/>
        <rFont val="Century Gothic"/>
        <family val="2"/>
      </rPr>
      <t xml:space="preserve">
$19.030.000</t>
    </r>
  </si>
  <si>
    <t>2750kw</t>
  </si>
  <si>
    <r>
      <rPr>
        <u/>
        <sz val="12"/>
        <color theme="1"/>
        <rFont val="Century Gothic"/>
        <family val="2"/>
      </rPr>
      <t>2750kw*$800</t>
    </r>
    <r>
      <rPr>
        <sz val="12"/>
        <color theme="1"/>
        <rFont val="Century Gothic"/>
        <family val="2"/>
      </rPr>
      <t xml:space="preserve">
$23.885.000</t>
    </r>
  </si>
  <si>
    <r>
      <rPr>
        <u/>
        <sz val="12"/>
        <color theme="1"/>
        <rFont val="Century Gothic"/>
        <family val="2"/>
      </rPr>
      <t>0,13-0,09</t>
    </r>
    <r>
      <rPr>
        <sz val="12"/>
        <color theme="1"/>
        <rFont val="Century Gothic"/>
        <family val="2"/>
      </rPr>
      <t xml:space="preserve">
0,09</t>
    </r>
  </si>
  <si>
    <t>La variación porcentual de la productividad de la energia es de un 37%</t>
  </si>
  <si>
    <t>0,13 kw por mes X</t>
  </si>
  <si>
    <t>0,09 kw por mes Y</t>
  </si>
  <si>
    <t>la productividad por hora es de 20 unidades</t>
  </si>
  <si>
    <t xml:space="preserve">la productividad total del mes es de 2,79 pulseras </t>
  </si>
  <si>
    <r>
      <rPr>
        <u/>
        <sz val="12"/>
        <color theme="1"/>
        <rFont val="Century Gothic"/>
        <family val="2"/>
      </rPr>
      <t>1500doc*$24,000/unid</t>
    </r>
    <r>
      <rPr>
        <sz val="12"/>
        <color theme="1"/>
        <rFont val="Century Gothic"/>
        <family val="2"/>
      </rPr>
      <t xml:space="preserve">
$21.430.000</t>
    </r>
  </si>
  <si>
    <r>
      <rPr>
        <u/>
        <sz val="12"/>
        <color theme="1"/>
        <rFont val="Century Gothic"/>
        <family val="2"/>
      </rPr>
      <t>1500doc*$24.000/unid</t>
    </r>
    <r>
      <rPr>
        <sz val="12"/>
        <color theme="1"/>
        <rFont val="Century Gothic"/>
        <family val="2"/>
      </rPr>
      <t xml:space="preserve">
$26.085.000</t>
    </r>
  </si>
  <si>
    <t xml:space="preserve">OR UN </t>
  </si>
  <si>
    <t>Por un peso qu se invierte en se gana 1,68 de ingreso bruto</t>
  </si>
  <si>
    <t xml:space="preserve">total venta es </t>
  </si>
  <si>
    <t>Total venta</t>
  </si>
  <si>
    <t>vale la pena invertir por que a futuro se ven las ganancias . Aun que hubo productividad negativa  en el  mes actual el mes entrante no tendremos necesidad de invertir en mas recursos y por lo tanto ya tendremos muy buena productividad y mas ingresos brutos</t>
  </si>
  <si>
    <t>Por un peso que se invierte se gana 1.38 de ingreso bruto</t>
  </si>
  <si>
    <t>la variación porcentual de la productividad es del  18%</t>
  </si>
  <si>
    <t xml:space="preserve">600 met2/ 100 galones 
</t>
  </si>
  <si>
    <t>600 Mt2/500 Galones</t>
  </si>
  <si>
    <t>la productividad del detergente expresada en galones, es de 120 Galones por mt2</t>
  </si>
  <si>
    <t>por cada galon de detergente se puenen limpiar 6 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</si>
</sst>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\ * #,##0.0_-;\-&quot;$&quot;\ * #,##0.0_-;_-&quot;$&quot;\ * &quot;-&quot;??_-;_-@_-"/>
    <numFmt numFmtId="165" formatCode="_-&quot;$&quot;\ * #,##0_-;\-&quot;$&quot;\ * #,##0_-;_-&quot;$&quot;\ * &quot;-&quot;??_-;_-@_-"/>
    <numFmt numFmtId="166" formatCode="&quot;$&quot;\ #,##0"/>
    <numFmt numFmtId="167" formatCode="0.000"/>
    <numFmt numFmtId="168" formatCode="&quot;$&quot;\ #,##0.00"/>
    <numFmt numFmtId="169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2"/>
      <color rgb="FF333333"/>
      <name val="Arial"/>
      <family val="2"/>
    </font>
    <font>
      <sz val="12"/>
      <color rgb="FFA6A6A6"/>
      <name val="Arial"/>
      <family val="2"/>
    </font>
    <font>
      <sz val="12"/>
      <color rgb="FF333333"/>
      <name val="Arial"/>
      <family val="2"/>
    </font>
    <font>
      <u/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2"/>
      <color rgb="FF000000"/>
      <name val="Century Gothic"/>
      <family val="2"/>
    </font>
    <font>
      <sz val="12"/>
      <color theme="1"/>
      <name val="Century Gothic"/>
      <family val="2"/>
    </font>
    <font>
      <b/>
      <sz val="12"/>
      <color rgb="FF333333"/>
      <name val="Century Gothic"/>
      <family val="2"/>
    </font>
    <font>
      <b/>
      <sz val="12"/>
      <color theme="1"/>
      <name val="Century Gothic"/>
      <family val="2"/>
    </font>
    <font>
      <b/>
      <sz val="20"/>
      <color theme="1"/>
      <name val="Century Gothic"/>
      <family val="2"/>
    </font>
    <font>
      <u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22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theme="1"/>
      <name val="Century Gothic"/>
      <family val="2"/>
    </font>
    <font>
      <b/>
      <sz val="26"/>
      <color theme="1"/>
      <name val="Century Gothic"/>
      <family val="2"/>
    </font>
    <font>
      <b/>
      <sz val="36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AAC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6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7" xfId="0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0" fontId="2" fillId="0" borderId="11" xfId="0" applyFont="1" applyBorder="1" applyAlignment="1">
      <alignment horizontal="left"/>
    </xf>
    <xf numFmtId="0" fontId="2" fillId="0" borderId="11" xfId="0" applyFont="1" applyBorder="1"/>
    <xf numFmtId="2" fontId="0" fillId="0" borderId="7" xfId="0" applyNumberFormat="1" applyBorder="1"/>
    <xf numFmtId="6" fontId="0" fillId="0" borderId="7" xfId="0" applyNumberFormat="1" applyBorder="1"/>
    <xf numFmtId="44" fontId="0" fillId="0" borderId="7" xfId="1" applyFont="1" applyBorder="1"/>
    <xf numFmtId="164" fontId="0" fillId="0" borderId="7" xfId="1" applyNumberFormat="1" applyFont="1" applyBorder="1"/>
    <xf numFmtId="165" fontId="0" fillId="0" borderId="7" xfId="1" applyNumberFormat="1" applyFont="1" applyBorder="1"/>
    <xf numFmtId="0" fontId="2" fillId="2" borderId="10" xfId="0" applyFont="1" applyFill="1" applyBorder="1" applyAlignment="1">
      <alignment horizontal="left"/>
    </xf>
    <xf numFmtId="0" fontId="2" fillId="2" borderId="10" xfId="0" applyFont="1" applyFill="1" applyBorder="1"/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wrapText="1"/>
    </xf>
    <xf numFmtId="44" fontId="0" fillId="0" borderId="0" xfId="1" applyFont="1"/>
    <xf numFmtId="44" fontId="0" fillId="0" borderId="0" xfId="0" applyNumberFormat="1"/>
    <xf numFmtId="0" fontId="0" fillId="0" borderId="7" xfId="0" applyBorder="1" applyAlignment="1">
      <alignment horizontal="center"/>
    </xf>
    <xf numFmtId="44" fontId="0" fillId="0" borderId="7" xfId="0" applyNumberFormat="1" applyBorder="1"/>
    <xf numFmtId="0" fontId="0" fillId="5" borderId="7" xfId="0" applyFill="1" applyBorder="1" applyAlignment="1">
      <alignment horizontal="center"/>
    </xf>
    <xf numFmtId="167" fontId="0" fillId="5" borderId="7" xfId="0" applyNumberFormat="1" applyFill="1" applyBorder="1"/>
    <xf numFmtId="0" fontId="0" fillId="5" borderId="7" xfId="0" applyFill="1" applyBorder="1"/>
    <xf numFmtId="44" fontId="0" fillId="6" borderId="7" xfId="1" applyFont="1" applyFill="1" applyBorder="1" applyAlignment="1">
      <alignment horizontal="center"/>
    </xf>
    <xf numFmtId="44" fontId="0" fillId="6" borderId="7" xfId="1" applyFont="1" applyFill="1" applyBorder="1"/>
    <xf numFmtId="44" fontId="0" fillId="7" borderId="7" xfId="0" applyNumberFormat="1" applyFill="1" applyBorder="1"/>
    <xf numFmtId="164" fontId="0" fillId="6" borderId="7" xfId="1" applyNumberFormat="1" applyFont="1" applyFill="1" applyBorder="1"/>
    <xf numFmtId="0" fontId="9" fillId="0" borderId="7" xfId="0" applyFont="1" applyBorder="1" applyAlignment="1">
      <alignment vertical="center" wrapText="1"/>
    </xf>
    <xf numFmtId="6" fontId="9" fillId="0" borderId="7" xfId="0" applyNumberFormat="1" applyFont="1" applyBorder="1" applyAlignment="1">
      <alignment vertical="center" wrapText="1"/>
    </xf>
    <xf numFmtId="0" fontId="10" fillId="0" borderId="7" xfId="0" applyFont="1" applyBorder="1" applyAlignment="1">
      <alignment horizontal="center" vertical="top" wrapText="1"/>
    </xf>
    <xf numFmtId="166" fontId="9" fillId="0" borderId="7" xfId="0" applyNumberFormat="1" applyFont="1" applyBorder="1" applyAlignment="1">
      <alignment vertical="center" wrapText="1"/>
    </xf>
    <xf numFmtId="0" fontId="9" fillId="0" borderId="7" xfId="0" applyFont="1" applyBorder="1" applyAlignment="1">
      <alignment horizontal="left" vertical="center" wrapText="1"/>
    </xf>
    <xf numFmtId="0" fontId="6" fillId="8" borderId="3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12" fillId="0" borderId="0" xfId="0" applyFont="1"/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Alignment="1">
      <alignment vertical="center" wrapText="1"/>
    </xf>
    <xf numFmtId="0" fontId="12" fillId="0" borderId="0" xfId="0" applyFont="1" applyAlignment="1">
      <alignment horizontal="right"/>
    </xf>
    <xf numFmtId="0" fontId="12" fillId="0" borderId="0" xfId="0" applyFont="1" applyAlignment="1">
      <alignment wrapText="1"/>
    </xf>
    <xf numFmtId="9" fontId="12" fillId="0" borderId="0" xfId="2" applyFont="1" applyAlignment="1">
      <alignment horizontal="right" vertical="center"/>
    </xf>
    <xf numFmtId="0" fontId="12" fillId="0" borderId="0" xfId="0" applyFont="1" applyAlignment="1">
      <alignment horizontal="center" wrapText="1"/>
    </xf>
    <xf numFmtId="165" fontId="12" fillId="0" borderId="0" xfId="0" applyNumberFormat="1" applyFont="1"/>
    <xf numFmtId="0" fontId="12" fillId="0" borderId="0" xfId="0" applyFont="1" applyAlignment="1">
      <alignment horizontal="center" vertical="center" wrapText="1"/>
    </xf>
    <xf numFmtId="10" fontId="12" fillId="0" borderId="0" xfId="2" applyNumberFormat="1" applyFont="1"/>
    <xf numFmtId="167" fontId="12" fillId="0" borderId="0" xfId="2" applyNumberFormat="1" applyFont="1"/>
    <xf numFmtId="10" fontId="12" fillId="0" borderId="0" xfId="2" applyNumberFormat="1" applyFont="1" applyAlignment="1">
      <alignment horizontal="right" vertical="center"/>
    </xf>
    <xf numFmtId="0" fontId="12" fillId="0" borderId="7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 applyAlignment="1">
      <alignment wrapText="1"/>
    </xf>
    <xf numFmtId="9" fontId="12" fillId="0" borderId="7" xfId="2" applyFont="1" applyBorder="1" applyAlignment="1">
      <alignment horizontal="right" vertical="center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right" vertical="center" wrapText="1"/>
    </xf>
    <xf numFmtId="0" fontId="13" fillId="5" borderId="16" xfId="0" applyFont="1" applyFill="1" applyBorder="1" applyAlignment="1">
      <alignment vertical="center" wrapText="1"/>
    </xf>
    <xf numFmtId="0" fontId="12" fillId="0" borderId="18" xfId="0" applyFont="1" applyBorder="1"/>
    <xf numFmtId="0" fontId="12" fillId="0" borderId="18" xfId="0" applyFont="1" applyBorder="1" applyAlignment="1">
      <alignment horizontal="right"/>
    </xf>
    <xf numFmtId="0" fontId="11" fillId="0" borderId="19" xfId="0" applyFont="1" applyBorder="1"/>
    <xf numFmtId="0" fontId="12" fillId="0" borderId="21" xfId="0" applyFont="1" applyBorder="1" applyAlignment="1">
      <alignment horizontal="justify" vertical="center"/>
    </xf>
    <xf numFmtId="0" fontId="11" fillId="0" borderId="21" xfId="0" applyFont="1" applyBorder="1" applyAlignment="1">
      <alignment horizontal="center" vertical="center"/>
    </xf>
    <xf numFmtId="0" fontId="11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3" xfId="0" applyFont="1" applyBorder="1" applyAlignment="1">
      <alignment horizontal="right"/>
    </xf>
    <xf numFmtId="0" fontId="16" fillId="0" borderId="23" xfId="0" applyFont="1" applyBorder="1" applyAlignment="1">
      <alignment wrapText="1"/>
    </xf>
    <xf numFmtId="9" fontId="12" fillId="0" borderId="23" xfId="2" applyFont="1" applyBorder="1"/>
    <xf numFmtId="10" fontId="12" fillId="0" borderId="23" xfId="0" applyNumberFormat="1" applyFont="1" applyBorder="1"/>
    <xf numFmtId="0" fontId="11" fillId="0" borderId="24" xfId="0" applyFont="1" applyBorder="1"/>
    <xf numFmtId="165" fontId="12" fillId="0" borderId="7" xfId="1" applyNumberFormat="1" applyFont="1" applyBorder="1"/>
    <xf numFmtId="0" fontId="12" fillId="0" borderId="7" xfId="0" applyFont="1" applyBorder="1" applyAlignment="1">
      <alignment horizontal="center" vertical="center"/>
    </xf>
    <xf numFmtId="165" fontId="12" fillId="0" borderId="7" xfId="1" applyNumberFormat="1" applyFont="1" applyBorder="1" applyAlignment="1">
      <alignment horizontal="center" vertical="center"/>
    </xf>
    <xf numFmtId="2" fontId="12" fillId="0" borderId="7" xfId="0" applyNumberFormat="1" applyFont="1" applyBorder="1"/>
    <xf numFmtId="44" fontId="12" fillId="0" borderId="7" xfId="0" applyNumberFormat="1" applyFont="1" applyBorder="1"/>
    <xf numFmtId="0" fontId="14" fillId="0" borderId="7" xfId="0" applyFont="1" applyBorder="1" applyAlignment="1">
      <alignment horizontal="right"/>
    </xf>
    <xf numFmtId="165" fontId="14" fillId="0" borderId="7" xfId="0" applyNumberFormat="1" applyFont="1" applyBorder="1"/>
    <xf numFmtId="0" fontId="12" fillId="0" borderId="7" xfId="0" applyFont="1" applyBorder="1" applyAlignment="1">
      <alignment horizontal="center" wrapText="1"/>
    </xf>
    <xf numFmtId="9" fontId="12" fillId="0" borderId="7" xfId="2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5" fontId="12" fillId="0" borderId="7" xfId="1" applyNumberFormat="1" applyFont="1" applyBorder="1" applyAlignment="1">
      <alignment vertical="center"/>
    </xf>
    <xf numFmtId="0" fontId="12" fillId="0" borderId="16" xfId="0" applyFont="1" applyBorder="1" applyAlignment="1">
      <alignment horizontal="left" vertical="center"/>
    </xf>
    <xf numFmtId="1" fontId="12" fillId="0" borderId="16" xfId="1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2" fontId="12" fillId="0" borderId="16" xfId="1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4" fillId="0" borderId="7" xfId="0" applyFont="1" applyBorder="1"/>
    <xf numFmtId="2" fontId="12" fillId="0" borderId="7" xfId="2" applyNumberFormat="1" applyFont="1" applyBorder="1" applyAlignment="1">
      <alignment horizontal="right" vertical="center"/>
    </xf>
    <xf numFmtId="169" fontId="12" fillId="0" borderId="7" xfId="2" applyNumberFormat="1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2" fontId="12" fillId="0" borderId="0" xfId="0" applyNumberFormat="1" applyFont="1" applyAlignment="1">
      <alignment wrapText="1"/>
    </xf>
    <xf numFmtId="0" fontId="12" fillId="0" borderId="16" xfId="0" applyFont="1" applyBorder="1" applyAlignment="1">
      <alignment vertical="center"/>
    </xf>
    <xf numFmtId="0" fontId="11" fillId="10" borderId="15" xfId="0" applyFont="1" applyFill="1" applyBorder="1" applyAlignment="1">
      <alignment vertical="center" wrapText="1"/>
    </xf>
    <xf numFmtId="0" fontId="12" fillId="11" borderId="0" xfId="0" applyFont="1" applyFill="1"/>
    <xf numFmtId="0" fontId="12" fillId="11" borderId="0" xfId="0" applyFont="1" applyFill="1" applyAlignment="1">
      <alignment horizontal="right"/>
    </xf>
    <xf numFmtId="0" fontId="16" fillId="11" borderId="0" xfId="0" applyFont="1" applyFill="1" applyAlignment="1">
      <alignment wrapText="1"/>
    </xf>
    <xf numFmtId="9" fontId="12" fillId="11" borderId="0" xfId="2" applyFont="1" applyFill="1" applyBorder="1"/>
    <xf numFmtId="10" fontId="12" fillId="11" borderId="0" xfId="0" applyNumberFormat="1" applyFont="1" applyFill="1"/>
    <xf numFmtId="0" fontId="11" fillId="11" borderId="0" xfId="0" applyFont="1" applyFill="1"/>
    <xf numFmtId="0" fontId="12" fillId="0" borderId="21" xfId="0" applyFont="1" applyBorder="1"/>
    <xf numFmtId="0" fontId="0" fillId="8" borderId="8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6" fillId="8" borderId="3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vertical="center" wrapText="1"/>
    </xf>
    <xf numFmtId="165" fontId="6" fillId="0" borderId="2" xfId="0" applyNumberFormat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6" fontId="6" fillId="8" borderId="3" xfId="0" applyNumberFormat="1" applyFont="1" applyFill="1" applyBorder="1" applyAlignment="1">
      <alignment vertical="center" wrapText="1"/>
    </xf>
    <xf numFmtId="6" fontId="6" fillId="8" borderId="1" xfId="0" applyNumberFormat="1" applyFont="1" applyFill="1" applyBorder="1" applyAlignment="1">
      <alignment vertical="center" wrapText="1"/>
    </xf>
    <xf numFmtId="166" fontId="6" fillId="8" borderId="3" xfId="0" applyNumberFormat="1" applyFont="1" applyFill="1" applyBorder="1" applyAlignment="1">
      <alignment vertical="center" wrapText="1"/>
    </xf>
    <xf numFmtId="166" fontId="6" fillId="8" borderId="1" xfId="0" applyNumberFormat="1" applyFont="1" applyFill="1" applyBorder="1" applyAlignment="1">
      <alignment vertical="center" wrapText="1"/>
    </xf>
    <xf numFmtId="6" fontId="9" fillId="0" borderId="7" xfId="0" applyNumberFormat="1" applyFont="1" applyBorder="1" applyAlignment="1">
      <alignment vertical="center" wrapText="1"/>
    </xf>
    <xf numFmtId="6" fontId="6" fillId="0" borderId="1" xfId="0" applyNumberFormat="1" applyFont="1" applyBorder="1" applyAlignment="1">
      <alignment vertical="center" wrapText="1"/>
    </xf>
    <xf numFmtId="6" fontId="6" fillId="0" borderId="2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6" fontId="6" fillId="0" borderId="3" xfId="0" applyNumberFormat="1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3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5" fontId="12" fillId="0" borderId="7" xfId="1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/>
    </xf>
    <xf numFmtId="168" fontId="12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44" fontId="12" fillId="0" borderId="7" xfId="0" applyNumberFormat="1" applyFont="1" applyBorder="1" applyAlignment="1">
      <alignment vertical="center"/>
    </xf>
    <xf numFmtId="0" fontId="17" fillId="11" borderId="20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21" xfId="0" applyFont="1" applyFill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2" fillId="0" borderId="7" xfId="0" applyFont="1" applyBorder="1"/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4" fontId="12" fillId="0" borderId="16" xfId="0" applyNumberFormat="1" applyFont="1" applyBorder="1" applyAlignment="1">
      <alignment horizontal="center"/>
    </xf>
    <xf numFmtId="44" fontId="12" fillId="0" borderId="27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2" fillId="0" borderId="18" xfId="0" applyFont="1" applyBorder="1"/>
    <xf numFmtId="0" fontId="12" fillId="0" borderId="23" xfId="0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CA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="80" zoomScaleNormal="80" workbookViewId="0">
      <selection activeCell="E7" sqref="E7:E8"/>
    </sheetView>
  </sheetViews>
  <sheetFormatPr baseColWidth="10" defaultRowHeight="15" x14ac:dyDescent="0.25"/>
  <cols>
    <col min="1" max="1" width="21.85546875" customWidth="1"/>
    <col min="2" max="2" width="28.28515625" customWidth="1"/>
    <col min="3" max="3" width="26.5703125" customWidth="1"/>
    <col min="4" max="4" width="17" customWidth="1"/>
    <col min="5" max="5" width="53.5703125" customWidth="1"/>
    <col min="6" max="6" width="15.5703125" customWidth="1"/>
    <col min="7" max="7" width="26.7109375" style="1" customWidth="1"/>
    <col min="8" max="8" width="38.140625" customWidth="1"/>
    <col min="9" max="9" width="31.28515625" customWidth="1"/>
    <col min="10" max="10" width="18" customWidth="1"/>
  </cols>
  <sheetData>
    <row r="1" spans="1:16" ht="31.5" x14ac:dyDescent="0.25">
      <c r="A1" s="48" t="s">
        <v>0</v>
      </c>
      <c r="B1" s="48" t="s">
        <v>1</v>
      </c>
      <c r="C1" s="48" t="s">
        <v>2</v>
      </c>
      <c r="D1" s="48" t="s">
        <v>3</v>
      </c>
      <c r="E1" s="49" t="s">
        <v>4</v>
      </c>
      <c r="F1" s="48" t="s">
        <v>5</v>
      </c>
      <c r="G1" s="49" t="s">
        <v>21</v>
      </c>
      <c r="H1" s="48" t="s">
        <v>6</v>
      </c>
    </row>
    <row r="2" spans="1:16" x14ac:dyDescent="0.25">
      <c r="A2" s="3" t="s">
        <v>7</v>
      </c>
      <c r="B2" s="3" t="s">
        <v>8</v>
      </c>
      <c r="C2" s="3" t="s">
        <v>9</v>
      </c>
      <c r="D2" s="4">
        <v>90000</v>
      </c>
      <c r="E2" s="3"/>
      <c r="F2" s="3"/>
      <c r="G2" s="5"/>
      <c r="H2" s="3"/>
    </row>
    <row r="3" spans="1:16" ht="15" customHeight="1" x14ac:dyDescent="0.25">
      <c r="A3" s="120" t="s">
        <v>10</v>
      </c>
      <c r="B3" s="120" t="s">
        <v>11</v>
      </c>
      <c r="C3" s="120" t="s">
        <v>12</v>
      </c>
      <c r="D3" s="136">
        <v>400</v>
      </c>
      <c r="E3" s="138" t="s">
        <v>22</v>
      </c>
      <c r="F3" s="120">
        <f>20*400/2</f>
        <v>4000</v>
      </c>
      <c r="G3" s="129" t="s">
        <v>24</v>
      </c>
      <c r="H3" s="120" t="s">
        <v>23</v>
      </c>
    </row>
    <row r="4" spans="1:16" ht="31.5" customHeight="1" thickBot="1" x14ac:dyDescent="0.3">
      <c r="A4" s="121"/>
      <c r="B4" s="121"/>
      <c r="C4" s="121"/>
      <c r="D4" s="137"/>
      <c r="E4" s="139"/>
      <c r="F4" s="121"/>
      <c r="G4" s="130"/>
      <c r="H4" s="121"/>
    </row>
    <row r="5" spans="1:16" x14ac:dyDescent="0.25">
      <c r="A5" s="128" t="s">
        <v>13</v>
      </c>
      <c r="B5" s="128" t="s">
        <v>14</v>
      </c>
      <c r="C5" s="128" t="s">
        <v>15</v>
      </c>
      <c r="D5" s="140">
        <v>20000</v>
      </c>
      <c r="E5" s="141" t="s">
        <v>27</v>
      </c>
      <c r="F5" s="126">
        <f>50*20000/12</f>
        <v>83333.333333333328</v>
      </c>
      <c r="G5" s="6"/>
      <c r="H5" s="128" t="s">
        <v>26</v>
      </c>
    </row>
    <row r="6" spans="1:16" ht="47.25" customHeight="1" thickBot="1" x14ac:dyDescent="0.3">
      <c r="A6" s="121"/>
      <c r="B6" s="121"/>
      <c r="C6" s="121"/>
      <c r="D6" s="137"/>
      <c r="E6" s="130"/>
      <c r="F6" s="127"/>
      <c r="G6" s="11" t="s">
        <v>25</v>
      </c>
      <c r="H6" s="121"/>
    </row>
    <row r="7" spans="1:16" ht="96" customHeight="1" x14ac:dyDescent="0.25">
      <c r="A7" s="46" t="s">
        <v>16</v>
      </c>
      <c r="B7" s="118" t="s">
        <v>17</v>
      </c>
      <c r="C7" s="118" t="s">
        <v>15</v>
      </c>
      <c r="D7" s="131">
        <v>20000</v>
      </c>
      <c r="E7" s="118" t="s">
        <v>28</v>
      </c>
      <c r="F7" s="133">
        <f>50*20000/4</f>
        <v>250000</v>
      </c>
      <c r="G7" s="123" t="s">
        <v>29</v>
      </c>
      <c r="H7" s="118" t="s">
        <v>30</v>
      </c>
      <c r="I7" s="116" t="s">
        <v>38</v>
      </c>
      <c r="J7" s="117" t="s">
        <v>37</v>
      </c>
      <c r="K7" s="7"/>
      <c r="L7" s="7"/>
      <c r="M7" s="7"/>
      <c r="N7" s="7"/>
      <c r="O7" s="7"/>
      <c r="P7" s="7"/>
    </row>
    <row r="8" spans="1:16" ht="30.75" customHeight="1" x14ac:dyDescent="0.25">
      <c r="A8" s="47"/>
      <c r="B8" s="119"/>
      <c r="C8" s="119"/>
      <c r="D8" s="132"/>
      <c r="E8" s="119"/>
      <c r="F8" s="134"/>
      <c r="G8" s="124"/>
      <c r="H8" s="119"/>
      <c r="I8" s="116"/>
      <c r="J8" s="117"/>
    </row>
    <row r="9" spans="1:16" ht="22.5" customHeight="1" x14ac:dyDescent="0.25">
      <c r="A9" s="122" t="s">
        <v>18</v>
      </c>
      <c r="B9" s="122" t="s">
        <v>19</v>
      </c>
      <c r="C9" s="122" t="s">
        <v>20</v>
      </c>
      <c r="D9" s="135">
        <v>110000</v>
      </c>
      <c r="E9" s="122" t="s">
        <v>77</v>
      </c>
      <c r="F9" s="122">
        <f>200*110000/400</f>
        <v>55000</v>
      </c>
      <c r="G9" s="125" t="s">
        <v>32</v>
      </c>
      <c r="H9" s="122" t="s">
        <v>31</v>
      </c>
    </row>
    <row r="10" spans="1:16" ht="22.5" customHeight="1" x14ac:dyDescent="0.25">
      <c r="A10" s="122"/>
      <c r="B10" s="122"/>
      <c r="C10" s="122"/>
      <c r="D10" s="135"/>
      <c r="E10" s="122"/>
      <c r="F10" s="122"/>
      <c r="G10" s="125"/>
      <c r="H10" s="122"/>
    </row>
    <row r="11" spans="1:16" x14ac:dyDescent="0.25">
      <c r="A11" s="122"/>
      <c r="B11" s="122"/>
      <c r="C11" s="122"/>
      <c r="D11" s="135"/>
      <c r="E11" s="122"/>
      <c r="F11" s="122"/>
      <c r="G11" s="125"/>
      <c r="H11" s="122"/>
    </row>
    <row r="12" spans="1:16" ht="63.75" customHeight="1" x14ac:dyDescent="0.25">
      <c r="A12" s="41"/>
      <c r="B12" s="41" t="s">
        <v>36</v>
      </c>
      <c r="C12" s="41" t="s">
        <v>33</v>
      </c>
      <c r="D12" s="42">
        <v>20000</v>
      </c>
      <c r="E12" s="43" t="s">
        <v>78</v>
      </c>
      <c r="F12" s="44">
        <f>50*20000/3.2</f>
        <v>312500</v>
      </c>
      <c r="G12" s="45" t="s">
        <v>35</v>
      </c>
      <c r="H12" s="41" t="s">
        <v>34</v>
      </c>
    </row>
    <row r="13" spans="1:16" ht="71.25" customHeight="1" x14ac:dyDescent="0.25">
      <c r="A13" s="8"/>
      <c r="B13" s="8"/>
      <c r="C13" s="8"/>
      <c r="D13" s="9"/>
      <c r="E13" s="8"/>
      <c r="F13" s="8"/>
      <c r="G13" s="10"/>
      <c r="H13" s="8"/>
    </row>
    <row r="14" spans="1:16" ht="45.75" customHeight="1" x14ac:dyDescent="0.25">
      <c r="A14" s="2"/>
    </row>
    <row r="15" spans="1:16" ht="42" customHeight="1" x14ac:dyDescent="0.25">
      <c r="B15" s="1"/>
      <c r="G15"/>
    </row>
    <row r="16" spans="1:16" ht="49.5" customHeight="1" x14ac:dyDescent="0.25">
      <c r="B16" s="1"/>
      <c r="G16"/>
    </row>
    <row r="17" ht="54.75" customHeight="1" x14ac:dyDescent="0.25"/>
  </sheetData>
  <mergeCells count="32">
    <mergeCell ref="A5:A6"/>
    <mergeCell ref="B5:B6"/>
    <mergeCell ref="C5:C6"/>
    <mergeCell ref="D5:D6"/>
    <mergeCell ref="E5:E6"/>
    <mergeCell ref="A3:A4"/>
    <mergeCell ref="B3:B4"/>
    <mergeCell ref="C3:C4"/>
    <mergeCell ref="D3:D4"/>
    <mergeCell ref="E3:E4"/>
    <mergeCell ref="A9:A11"/>
    <mergeCell ref="B9:B11"/>
    <mergeCell ref="C9:C11"/>
    <mergeCell ref="D9:D11"/>
    <mergeCell ref="E9:E11"/>
    <mergeCell ref="B7:B8"/>
    <mergeCell ref="C7:C8"/>
    <mergeCell ref="D7:D8"/>
    <mergeCell ref="E7:E8"/>
    <mergeCell ref="F7:F8"/>
    <mergeCell ref="I7:I8"/>
    <mergeCell ref="J7:J8"/>
    <mergeCell ref="H7:H8"/>
    <mergeCell ref="H3:H4"/>
    <mergeCell ref="F9:F11"/>
    <mergeCell ref="H9:H11"/>
    <mergeCell ref="G7:G8"/>
    <mergeCell ref="G9:G11"/>
    <mergeCell ref="F5:F6"/>
    <mergeCell ref="H5:H6"/>
    <mergeCell ref="F3:F4"/>
    <mergeCell ref="G3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H6" sqref="H6"/>
    </sheetView>
  </sheetViews>
  <sheetFormatPr baseColWidth="10" defaultRowHeight="15" x14ac:dyDescent="0.25"/>
  <cols>
    <col min="1" max="1" width="23" customWidth="1"/>
    <col min="2" max="2" width="26.28515625" customWidth="1"/>
    <col min="3" max="3" width="26.42578125" customWidth="1"/>
    <col min="4" max="4" width="24.7109375" customWidth="1"/>
    <col min="5" max="5" width="22.85546875" customWidth="1"/>
  </cols>
  <sheetData>
    <row r="1" spans="1:8" ht="29.25" customHeight="1" thickBot="1" x14ac:dyDescent="0.3">
      <c r="A1" s="142" t="s">
        <v>59</v>
      </c>
      <c r="B1" s="143"/>
      <c r="C1" s="144"/>
    </row>
    <row r="2" spans="1:8" x14ac:dyDescent="0.25">
      <c r="A2" s="24" t="s">
        <v>39</v>
      </c>
      <c r="B2" s="25">
        <v>25</v>
      </c>
      <c r="C2" s="14"/>
    </row>
    <row r="3" spans="1:8" x14ac:dyDescent="0.25">
      <c r="A3" s="26" t="s">
        <v>40</v>
      </c>
      <c r="B3" s="27">
        <v>30000</v>
      </c>
      <c r="C3" s="13"/>
    </row>
    <row r="4" spans="1:8" x14ac:dyDescent="0.25">
      <c r="A4" s="17"/>
      <c r="B4" s="18"/>
      <c r="C4" s="18"/>
    </row>
    <row r="5" spans="1:8" ht="47.25" customHeight="1" x14ac:dyDescent="0.25">
      <c r="A5" s="28" t="s">
        <v>41</v>
      </c>
      <c r="B5" s="28" t="s">
        <v>42</v>
      </c>
      <c r="C5" s="28" t="s">
        <v>45</v>
      </c>
      <c r="D5" s="29" t="s">
        <v>60</v>
      </c>
      <c r="E5" s="29" t="s">
        <v>71</v>
      </c>
    </row>
    <row r="6" spans="1:8" x14ac:dyDescent="0.25">
      <c r="A6" s="15" t="s">
        <v>43</v>
      </c>
      <c r="B6" s="16">
        <v>1</v>
      </c>
      <c r="C6" s="16" t="s">
        <v>44</v>
      </c>
      <c r="D6" s="23">
        <v>1500</v>
      </c>
      <c r="E6" s="21">
        <f>+D6*B6</f>
        <v>1500</v>
      </c>
      <c r="G6" t="s">
        <v>76</v>
      </c>
    </row>
    <row r="7" spans="1:8" x14ac:dyDescent="0.25">
      <c r="A7" s="15" t="s">
        <v>46</v>
      </c>
      <c r="B7" s="16">
        <v>150</v>
      </c>
      <c r="C7" s="16" t="s">
        <v>47</v>
      </c>
      <c r="D7" s="22">
        <f>24500/1000</f>
        <v>24.5</v>
      </c>
      <c r="E7" s="21">
        <f t="shared" ref="E7:E13" si="0">+D7*B7</f>
        <v>3675</v>
      </c>
    </row>
    <row r="8" spans="1:8" x14ac:dyDescent="0.25">
      <c r="A8" s="15" t="s">
        <v>48</v>
      </c>
      <c r="B8" s="16">
        <v>100</v>
      </c>
      <c r="C8" s="16" t="s">
        <v>47</v>
      </c>
      <c r="D8" s="22">
        <f>19000/1000</f>
        <v>19</v>
      </c>
      <c r="E8" s="21">
        <f t="shared" si="0"/>
        <v>1900</v>
      </c>
    </row>
    <row r="9" spans="1:8" x14ac:dyDescent="0.25">
      <c r="A9" s="15" t="s">
        <v>49</v>
      </c>
      <c r="B9" s="16">
        <v>3</v>
      </c>
      <c r="C9" s="16" t="s">
        <v>50</v>
      </c>
      <c r="D9" s="22">
        <f>6500/24</f>
        <v>270.83333333333331</v>
      </c>
      <c r="E9" s="21">
        <f t="shared" si="0"/>
        <v>812.5</v>
      </c>
    </row>
    <row r="10" spans="1:8" x14ac:dyDescent="0.25">
      <c r="A10" s="15" t="s">
        <v>51</v>
      </c>
      <c r="B10" s="16">
        <v>2</v>
      </c>
      <c r="C10" s="16" t="s">
        <v>52</v>
      </c>
      <c r="D10" s="22">
        <f>9000/16</f>
        <v>562.5</v>
      </c>
      <c r="E10" s="21">
        <f t="shared" si="0"/>
        <v>1125</v>
      </c>
    </row>
    <row r="11" spans="1:8" x14ac:dyDescent="0.25">
      <c r="A11" s="15" t="s">
        <v>53</v>
      </c>
      <c r="B11" s="16">
        <v>40</v>
      </c>
      <c r="C11" s="16" t="s">
        <v>54</v>
      </c>
      <c r="D11" s="22">
        <f>28000/3000</f>
        <v>9.3333333333333339</v>
      </c>
      <c r="E11" s="21">
        <f t="shared" si="0"/>
        <v>373.33333333333337</v>
      </c>
    </row>
    <row r="12" spans="1:8" x14ac:dyDescent="0.25">
      <c r="A12" s="15" t="s">
        <v>55</v>
      </c>
      <c r="B12" s="16">
        <v>60</v>
      </c>
      <c r="C12" s="16" t="s">
        <v>54</v>
      </c>
      <c r="D12" s="21">
        <v>19.649999999999999</v>
      </c>
      <c r="E12" s="21">
        <f t="shared" si="0"/>
        <v>1179</v>
      </c>
      <c r="H12" s="30"/>
    </row>
    <row r="13" spans="1:8" x14ac:dyDescent="0.25">
      <c r="A13" s="15" t="s">
        <v>56</v>
      </c>
      <c r="B13" s="16">
        <v>1</v>
      </c>
      <c r="C13" s="16" t="s">
        <v>61</v>
      </c>
      <c r="D13" s="23">
        <v>600</v>
      </c>
      <c r="E13" s="21">
        <f t="shared" si="0"/>
        <v>600</v>
      </c>
    </row>
    <row r="14" spans="1:8" x14ac:dyDescent="0.25">
      <c r="A14" s="15" t="s">
        <v>57</v>
      </c>
      <c r="B14" s="16">
        <f>120/25</f>
        <v>4.8</v>
      </c>
      <c r="C14" s="16" t="s">
        <v>62</v>
      </c>
      <c r="D14" s="21">
        <f>+A24</f>
        <v>133.68794326241135</v>
      </c>
      <c r="E14" s="21">
        <f>+D14*B14</f>
        <v>641.70212765957444</v>
      </c>
    </row>
    <row r="15" spans="1:8" x14ac:dyDescent="0.25">
      <c r="A15" s="15" t="s">
        <v>58</v>
      </c>
      <c r="B15" s="16">
        <f>1.5/25</f>
        <v>0.06</v>
      </c>
      <c r="C15" s="16" t="s">
        <v>63</v>
      </c>
      <c r="D15" s="21">
        <f>110000/40</f>
        <v>2750</v>
      </c>
      <c r="E15" s="21">
        <f>+D15*B15</f>
        <v>165</v>
      </c>
    </row>
    <row r="16" spans="1:8" x14ac:dyDescent="0.25">
      <c r="A16" s="15"/>
      <c r="B16" s="16"/>
      <c r="C16" s="16"/>
      <c r="D16" s="37" t="s">
        <v>72</v>
      </c>
      <c r="E16" s="38">
        <f>SUM(E6:E15)</f>
        <v>11971.535460992909</v>
      </c>
    </row>
    <row r="18" spans="1:8" x14ac:dyDescent="0.25">
      <c r="A18" s="15" t="s">
        <v>64</v>
      </c>
      <c r="B18" s="12"/>
      <c r="C18" s="12"/>
    </row>
    <row r="19" spans="1:8" x14ac:dyDescent="0.25">
      <c r="A19" s="20">
        <v>1300000</v>
      </c>
      <c r="B19" s="12" t="s">
        <v>65</v>
      </c>
      <c r="C19" s="34" t="s">
        <v>67</v>
      </c>
      <c r="D19" s="32" t="s">
        <v>74</v>
      </c>
      <c r="E19" s="12" t="s">
        <v>73</v>
      </c>
      <c r="F19" s="39">
        <f>25*30000/E20</f>
        <v>2.5059442122315549</v>
      </c>
    </row>
    <row r="20" spans="1:8" x14ac:dyDescent="0.25">
      <c r="A20" s="33">
        <f>+A19/30</f>
        <v>43333.333333333336</v>
      </c>
      <c r="B20" s="12" t="s">
        <v>68</v>
      </c>
      <c r="C20" s="32">
        <f>47/6</f>
        <v>7.833333333333333</v>
      </c>
      <c r="D20" s="12"/>
      <c r="E20" s="33">
        <f>+E16*25</f>
        <v>299288.38652482274</v>
      </c>
      <c r="F20" s="12"/>
    </row>
    <row r="21" spans="1:8" ht="15.75" thickBot="1" x14ac:dyDescent="0.3">
      <c r="A21" s="33">
        <f>+A20/C20</f>
        <v>5531.9148936170222</v>
      </c>
      <c r="B21" s="12" t="s">
        <v>66</v>
      </c>
      <c r="C21" s="12"/>
    </row>
    <row r="22" spans="1:8" ht="17.25" customHeight="1" x14ac:dyDescent="0.25">
      <c r="A22" s="19">
        <f>+A21/60</f>
        <v>92.198581560283699</v>
      </c>
      <c r="B22" s="12" t="s">
        <v>62</v>
      </c>
      <c r="C22" s="12"/>
      <c r="E22" s="145" t="s">
        <v>75</v>
      </c>
      <c r="F22" s="7"/>
      <c r="G22" s="7"/>
      <c r="H22" s="7"/>
    </row>
    <row r="23" spans="1:8" x14ac:dyDescent="0.25">
      <c r="A23" s="19">
        <f>+A22*45%</f>
        <v>41.489361702127667</v>
      </c>
      <c r="B23" s="12" t="s">
        <v>69</v>
      </c>
      <c r="C23" s="12"/>
      <c r="E23" s="146"/>
    </row>
    <row r="24" spans="1:8" ht="15.75" thickBot="1" x14ac:dyDescent="0.3">
      <c r="A24" s="35">
        <f>+A23+A22</f>
        <v>133.68794326241135</v>
      </c>
      <c r="B24" s="36" t="s">
        <v>70</v>
      </c>
      <c r="C24" s="12"/>
      <c r="E24" s="147"/>
    </row>
  </sheetData>
  <mergeCells count="2">
    <mergeCell ref="A1:C1"/>
    <mergeCell ref="E22:E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opLeftCell="C1" workbookViewId="0">
      <selection activeCell="I7" sqref="I7"/>
    </sheetView>
  </sheetViews>
  <sheetFormatPr baseColWidth="10" defaultRowHeight="15" x14ac:dyDescent="0.25"/>
  <cols>
    <col min="1" max="1" width="23" customWidth="1"/>
    <col min="2" max="2" width="26.28515625" customWidth="1"/>
    <col min="3" max="3" width="26.42578125" customWidth="1"/>
    <col min="4" max="4" width="24.7109375" customWidth="1"/>
    <col min="5" max="5" width="22.85546875" customWidth="1"/>
  </cols>
  <sheetData>
    <row r="1" spans="1:8" ht="29.25" customHeight="1" thickBot="1" x14ac:dyDescent="0.3">
      <c r="A1" s="142" t="s">
        <v>59</v>
      </c>
      <c r="B1" s="143"/>
      <c r="C1" s="144"/>
    </row>
    <row r="2" spans="1:8" x14ac:dyDescent="0.25">
      <c r="A2" s="24" t="s">
        <v>39</v>
      </c>
      <c r="B2" s="25">
        <v>25</v>
      </c>
      <c r="C2" s="14"/>
    </row>
    <row r="3" spans="1:8" x14ac:dyDescent="0.25">
      <c r="A3" s="26" t="s">
        <v>40</v>
      </c>
      <c r="B3" s="27">
        <v>30000</v>
      </c>
      <c r="C3" s="13"/>
    </row>
    <row r="4" spans="1:8" x14ac:dyDescent="0.25">
      <c r="A4" s="17"/>
      <c r="B4" s="18"/>
      <c r="C4" s="18"/>
    </row>
    <row r="5" spans="1:8" ht="47.25" customHeight="1" x14ac:dyDescent="0.25">
      <c r="A5" s="28" t="s">
        <v>41</v>
      </c>
      <c r="B5" s="28" t="s">
        <v>42</v>
      </c>
      <c r="C5" s="28" t="s">
        <v>45</v>
      </c>
      <c r="D5" s="29" t="s">
        <v>60</v>
      </c>
      <c r="E5" s="29" t="s">
        <v>71</v>
      </c>
    </row>
    <row r="6" spans="1:8" x14ac:dyDescent="0.25">
      <c r="A6" s="15" t="s">
        <v>43</v>
      </c>
      <c r="B6" s="16">
        <v>1</v>
      </c>
      <c r="C6" s="16" t="s">
        <v>44</v>
      </c>
      <c r="D6" s="23">
        <v>1500</v>
      </c>
      <c r="E6" s="22">
        <f>+D6*B6</f>
        <v>1500</v>
      </c>
      <c r="G6" t="s">
        <v>76</v>
      </c>
    </row>
    <row r="7" spans="1:8" x14ac:dyDescent="0.25">
      <c r="A7" s="15" t="s">
        <v>46</v>
      </c>
      <c r="B7" s="16">
        <v>150</v>
      </c>
      <c r="C7" s="16" t="s">
        <v>47</v>
      </c>
      <c r="D7" s="22">
        <f>24500/1000</f>
        <v>24.5</v>
      </c>
      <c r="E7" s="22">
        <f t="shared" ref="E7:E13" si="0">+D7*B7</f>
        <v>3675</v>
      </c>
      <c r="G7">
        <f>+D7*15%</f>
        <v>3.6749999999999998</v>
      </c>
      <c r="H7" s="31">
        <f>+G7-15%</f>
        <v>3.5249999999999999</v>
      </c>
    </row>
    <row r="8" spans="1:8" x14ac:dyDescent="0.25">
      <c r="A8" s="15" t="s">
        <v>48</v>
      </c>
      <c r="B8" s="16">
        <v>100</v>
      </c>
      <c r="C8" s="16" t="s">
        <v>47</v>
      </c>
      <c r="D8" s="22">
        <f>19000/1000</f>
        <v>19</v>
      </c>
      <c r="E8" s="22">
        <f t="shared" si="0"/>
        <v>1900</v>
      </c>
    </row>
    <row r="9" spans="1:8" x14ac:dyDescent="0.25">
      <c r="A9" s="15" t="s">
        <v>49</v>
      </c>
      <c r="B9" s="16">
        <v>3</v>
      </c>
      <c r="C9" s="16" t="s">
        <v>50</v>
      </c>
      <c r="D9" s="22">
        <f>6500/24</f>
        <v>270.83333333333331</v>
      </c>
      <c r="E9" s="22">
        <f t="shared" si="0"/>
        <v>812.5</v>
      </c>
    </row>
    <row r="10" spans="1:8" x14ac:dyDescent="0.25">
      <c r="A10" s="15" t="s">
        <v>51</v>
      </c>
      <c r="B10" s="16">
        <v>2</v>
      </c>
      <c r="C10" s="16" t="s">
        <v>52</v>
      </c>
      <c r="D10" s="22">
        <f>9000/16</f>
        <v>562.5</v>
      </c>
      <c r="E10" s="22">
        <f t="shared" si="0"/>
        <v>1125</v>
      </c>
    </row>
    <row r="11" spans="1:8" x14ac:dyDescent="0.25">
      <c r="A11" s="15" t="s">
        <v>53</v>
      </c>
      <c r="B11" s="16">
        <v>40</v>
      </c>
      <c r="C11" s="16" t="s">
        <v>54</v>
      </c>
      <c r="D11" s="22">
        <f>28000/3000</f>
        <v>9.3333333333333339</v>
      </c>
      <c r="E11" s="22">
        <f t="shared" si="0"/>
        <v>373.33333333333337</v>
      </c>
    </row>
    <row r="12" spans="1:8" x14ac:dyDescent="0.25">
      <c r="A12" s="15" t="s">
        <v>55</v>
      </c>
      <c r="B12" s="16">
        <v>60</v>
      </c>
      <c r="C12" s="16" t="s">
        <v>54</v>
      </c>
      <c r="D12" s="21">
        <v>19.649999999999999</v>
      </c>
      <c r="E12" s="22">
        <f t="shared" si="0"/>
        <v>1179</v>
      </c>
      <c r="H12" s="30"/>
    </row>
    <row r="13" spans="1:8" x14ac:dyDescent="0.25">
      <c r="A13" s="15" t="s">
        <v>56</v>
      </c>
      <c r="B13" s="16">
        <v>1</v>
      </c>
      <c r="C13" s="16" t="s">
        <v>61</v>
      </c>
      <c r="D13" s="23">
        <v>600</v>
      </c>
      <c r="E13" s="22">
        <f t="shared" si="0"/>
        <v>600</v>
      </c>
    </row>
    <row r="14" spans="1:8" x14ac:dyDescent="0.25">
      <c r="A14" s="15" t="s">
        <v>57</v>
      </c>
      <c r="B14" s="16">
        <f>120/25</f>
        <v>4.8</v>
      </c>
      <c r="C14" s="16" t="s">
        <v>62</v>
      </c>
      <c r="D14" s="21">
        <f>+A24</f>
        <v>133.68794326241135</v>
      </c>
      <c r="E14" s="22">
        <f>+D14*B14</f>
        <v>641.70212765957444</v>
      </c>
    </row>
    <row r="15" spans="1:8" x14ac:dyDescent="0.25">
      <c r="A15" s="15" t="s">
        <v>58</v>
      </c>
      <c r="B15" s="16">
        <f>1.5/25</f>
        <v>0.06</v>
      </c>
      <c r="C15" s="16" t="s">
        <v>63</v>
      </c>
      <c r="D15" s="21">
        <f>110000/40</f>
        <v>2750</v>
      </c>
      <c r="E15" s="22">
        <f>+D15*B15</f>
        <v>165</v>
      </c>
    </row>
    <row r="16" spans="1:8" x14ac:dyDescent="0.25">
      <c r="A16" s="15"/>
      <c r="B16" s="16"/>
      <c r="C16" s="16"/>
      <c r="D16" s="37" t="s">
        <v>72</v>
      </c>
      <c r="E16" s="40">
        <f>SUM(E6:E15)</f>
        <v>11971.535460992909</v>
      </c>
    </row>
    <row r="18" spans="1:8" x14ac:dyDescent="0.25">
      <c r="A18" s="15" t="s">
        <v>64</v>
      </c>
      <c r="B18" s="12"/>
      <c r="C18" s="12"/>
    </row>
    <row r="19" spans="1:8" x14ac:dyDescent="0.25">
      <c r="A19" s="20">
        <v>1300000</v>
      </c>
      <c r="B19" s="12" t="s">
        <v>65</v>
      </c>
      <c r="C19" s="34" t="s">
        <v>67</v>
      </c>
      <c r="D19" s="32" t="s">
        <v>74</v>
      </c>
      <c r="E19" s="12" t="s">
        <v>73</v>
      </c>
      <c r="F19" s="39">
        <f>25*30000/E20</f>
        <v>2.5059442122315549</v>
      </c>
    </row>
    <row r="20" spans="1:8" x14ac:dyDescent="0.25">
      <c r="A20" s="33">
        <f>+A19/30</f>
        <v>43333.333333333336</v>
      </c>
      <c r="B20" s="12" t="s">
        <v>68</v>
      </c>
      <c r="C20" s="32">
        <f>47/6</f>
        <v>7.833333333333333</v>
      </c>
      <c r="D20" s="12"/>
      <c r="E20" s="33">
        <f>+E16*25</f>
        <v>299288.38652482274</v>
      </c>
      <c r="F20" s="12"/>
    </row>
    <row r="21" spans="1:8" ht="15.75" thickBot="1" x14ac:dyDescent="0.3">
      <c r="A21" s="33">
        <f>+A20/C20</f>
        <v>5531.9148936170222</v>
      </c>
      <c r="B21" s="12" t="s">
        <v>66</v>
      </c>
      <c r="C21" s="12"/>
    </row>
    <row r="22" spans="1:8" ht="17.25" customHeight="1" x14ac:dyDescent="0.25">
      <c r="A22" s="19">
        <f>+A21/60</f>
        <v>92.198581560283699</v>
      </c>
      <c r="B22" s="12" t="s">
        <v>62</v>
      </c>
      <c r="C22" s="12"/>
      <c r="E22" s="145" t="s">
        <v>75</v>
      </c>
      <c r="F22" s="7"/>
      <c r="G22" s="7"/>
      <c r="H22" s="7"/>
    </row>
    <row r="23" spans="1:8" x14ac:dyDescent="0.25">
      <c r="A23" s="19">
        <f>+A22*45%</f>
        <v>41.489361702127667</v>
      </c>
      <c r="B23" s="12" t="s">
        <v>69</v>
      </c>
      <c r="C23" s="12"/>
      <c r="E23" s="146"/>
    </row>
    <row r="24" spans="1:8" ht="15.75" thickBot="1" x14ac:dyDescent="0.3">
      <c r="A24" s="35">
        <f>+A23+A22</f>
        <v>133.68794326241135</v>
      </c>
      <c r="B24" s="36" t="s">
        <v>70</v>
      </c>
      <c r="C24" s="12"/>
      <c r="E24" s="147"/>
    </row>
  </sheetData>
  <mergeCells count="2">
    <mergeCell ref="A1:C1"/>
    <mergeCell ref="E22:E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3"/>
  <sheetViews>
    <sheetView tabSelected="1" topLeftCell="A10" zoomScale="70" zoomScaleNormal="70" workbookViewId="0">
      <selection activeCell="E37" sqref="E37"/>
    </sheetView>
  </sheetViews>
  <sheetFormatPr baseColWidth="10" defaultRowHeight="17.25" x14ac:dyDescent="0.3"/>
  <cols>
    <col min="1" max="1" width="11.42578125" style="50"/>
    <col min="2" max="2" width="38.140625" style="50" bestFit="1" customWidth="1"/>
    <col min="3" max="3" width="19.28515625" style="50" bestFit="1" customWidth="1"/>
    <col min="4" max="4" width="16.42578125" style="50" customWidth="1"/>
    <col min="5" max="5" width="18.7109375" style="54" bestFit="1" customWidth="1"/>
    <col min="6" max="6" width="32.7109375" style="50" bestFit="1" customWidth="1"/>
    <col min="7" max="7" width="27.7109375" style="50" customWidth="1"/>
    <col min="8" max="8" width="32.7109375" style="50" bestFit="1" customWidth="1"/>
    <col min="9" max="9" width="96" style="50" bestFit="1" customWidth="1"/>
    <col min="10" max="16384" width="11.42578125" style="50"/>
  </cols>
  <sheetData>
    <row r="1" spans="1:9" ht="30.75" thickBot="1" x14ac:dyDescent="0.35">
      <c r="A1" s="67" t="s">
        <v>0</v>
      </c>
      <c r="B1" s="67" t="s">
        <v>1</v>
      </c>
      <c r="C1" s="67"/>
      <c r="D1" s="67" t="s">
        <v>2</v>
      </c>
      <c r="E1" s="68" t="s">
        <v>3</v>
      </c>
      <c r="F1" s="69" t="s">
        <v>4</v>
      </c>
      <c r="G1" s="67" t="s">
        <v>5</v>
      </c>
      <c r="H1" s="69" t="s">
        <v>21</v>
      </c>
      <c r="I1" s="67" t="s">
        <v>6</v>
      </c>
    </row>
    <row r="2" spans="1:9" x14ac:dyDescent="0.3">
      <c r="A2" s="168">
        <v>1</v>
      </c>
      <c r="B2" s="170" t="s">
        <v>79</v>
      </c>
      <c r="C2" s="170"/>
      <c r="D2" s="70" t="s">
        <v>80</v>
      </c>
      <c r="E2" s="71">
        <v>0</v>
      </c>
      <c r="F2" s="70" t="s">
        <v>81</v>
      </c>
      <c r="G2" s="70">
        <f>120/40</f>
        <v>3</v>
      </c>
      <c r="H2" s="70" t="s">
        <v>82</v>
      </c>
      <c r="I2" s="72" t="s">
        <v>88</v>
      </c>
    </row>
    <row r="3" spans="1:9" x14ac:dyDescent="0.3">
      <c r="A3" s="169"/>
      <c r="B3" s="163" t="s">
        <v>79</v>
      </c>
      <c r="C3" s="163"/>
      <c r="D3" s="63" t="s">
        <v>80</v>
      </c>
      <c r="E3" s="64">
        <v>0</v>
      </c>
      <c r="F3" s="63" t="s">
        <v>83</v>
      </c>
      <c r="G3" s="63">
        <f>120/4</f>
        <v>30</v>
      </c>
      <c r="H3" s="63" t="s">
        <v>84</v>
      </c>
      <c r="I3" s="73" t="s">
        <v>89</v>
      </c>
    </row>
    <row r="4" spans="1:9" x14ac:dyDescent="0.3">
      <c r="A4" s="169"/>
      <c r="B4" s="163" t="s">
        <v>79</v>
      </c>
      <c r="C4" s="163"/>
      <c r="D4" s="63" t="s">
        <v>85</v>
      </c>
      <c r="E4" s="64">
        <v>0</v>
      </c>
      <c r="F4" s="63" t="s">
        <v>86</v>
      </c>
      <c r="G4" s="63">
        <f>125/4</f>
        <v>31.25</v>
      </c>
      <c r="H4" s="63" t="s">
        <v>87</v>
      </c>
      <c r="I4" s="74" t="s">
        <v>90</v>
      </c>
    </row>
    <row r="5" spans="1:9" ht="51.75" x14ac:dyDescent="0.3">
      <c r="A5" s="169"/>
      <c r="B5" s="163"/>
      <c r="C5" s="163"/>
      <c r="D5" s="63"/>
      <c r="E5" s="64"/>
      <c r="F5" s="65" t="s">
        <v>94</v>
      </c>
      <c r="G5" s="66">
        <f>+(G4-G3)/G3</f>
        <v>4.1666666666666664E-2</v>
      </c>
      <c r="H5" s="63"/>
      <c r="I5" s="74" t="s">
        <v>91</v>
      </c>
    </row>
    <row r="6" spans="1:9" ht="18.75" x14ac:dyDescent="0.3">
      <c r="A6" s="158"/>
      <c r="B6" s="159"/>
      <c r="C6" s="159"/>
      <c r="D6" s="159"/>
      <c r="E6" s="159"/>
      <c r="F6" s="159"/>
      <c r="G6" s="159"/>
      <c r="H6" s="159"/>
      <c r="I6" s="160"/>
    </row>
    <row r="7" spans="1:9" ht="17.25" customHeight="1" x14ac:dyDescent="0.3">
      <c r="A7" s="162">
        <v>2</v>
      </c>
      <c r="B7" s="163" t="s">
        <v>92</v>
      </c>
      <c r="C7" s="163"/>
      <c r="D7" s="63" t="s">
        <v>93</v>
      </c>
      <c r="E7" s="64">
        <v>0</v>
      </c>
      <c r="F7" s="63" t="s">
        <v>95</v>
      </c>
      <c r="G7" s="63">
        <f>160/8</f>
        <v>20</v>
      </c>
      <c r="H7" s="63" t="s">
        <v>96</v>
      </c>
      <c r="I7" s="75" t="s">
        <v>97</v>
      </c>
    </row>
    <row r="8" spans="1:9" x14ac:dyDescent="0.3">
      <c r="A8" s="162"/>
      <c r="B8" s="163" t="s">
        <v>92</v>
      </c>
      <c r="C8" s="163"/>
      <c r="D8" s="63" t="s">
        <v>93</v>
      </c>
      <c r="E8" s="64">
        <v>0</v>
      </c>
      <c r="F8" s="63" t="s">
        <v>98</v>
      </c>
      <c r="G8" s="63">
        <f>160/10</f>
        <v>16</v>
      </c>
      <c r="H8" s="63" t="s">
        <v>99</v>
      </c>
      <c r="I8" s="75" t="s">
        <v>100</v>
      </c>
    </row>
    <row r="9" spans="1:9" ht="18.75" x14ac:dyDescent="0.3">
      <c r="A9" s="158"/>
      <c r="B9" s="159"/>
      <c r="C9" s="159"/>
      <c r="D9" s="159"/>
      <c r="E9" s="159"/>
      <c r="F9" s="159"/>
      <c r="G9" s="159"/>
      <c r="H9" s="159"/>
      <c r="I9" s="160"/>
    </row>
    <row r="10" spans="1:9" x14ac:dyDescent="0.3">
      <c r="A10" s="162">
        <v>3</v>
      </c>
      <c r="B10" s="163" t="s">
        <v>101</v>
      </c>
      <c r="C10" s="163"/>
      <c r="D10" s="63" t="s">
        <v>102</v>
      </c>
      <c r="E10" s="64">
        <v>0</v>
      </c>
      <c r="F10" s="63" t="s">
        <v>103</v>
      </c>
      <c r="G10" s="63">
        <f>100/5</f>
        <v>20</v>
      </c>
      <c r="H10" s="63" t="s">
        <v>104</v>
      </c>
      <c r="I10" s="75" t="s">
        <v>159</v>
      </c>
    </row>
    <row r="11" spans="1:9" x14ac:dyDescent="0.3">
      <c r="A11" s="162"/>
      <c r="B11" s="163" t="s">
        <v>105</v>
      </c>
      <c r="C11" s="163"/>
      <c r="D11" s="63" t="s">
        <v>106</v>
      </c>
      <c r="E11" s="64">
        <v>0</v>
      </c>
      <c r="F11" s="63" t="s">
        <v>107</v>
      </c>
      <c r="G11" s="63">
        <f>133/5</f>
        <v>26.6</v>
      </c>
      <c r="H11" s="63" t="s">
        <v>108</v>
      </c>
      <c r="I11" s="75" t="s">
        <v>109</v>
      </c>
    </row>
    <row r="12" spans="1:9" ht="35.25" thickBot="1" x14ac:dyDescent="0.35">
      <c r="A12" s="76"/>
      <c r="B12" s="171"/>
      <c r="C12" s="171"/>
      <c r="D12" s="77"/>
      <c r="E12" s="78"/>
      <c r="F12" s="79" t="s">
        <v>128</v>
      </c>
      <c r="G12" s="80">
        <f>+(26.6-20)/20</f>
        <v>0.33000000000000007</v>
      </c>
      <c r="H12" s="81"/>
      <c r="I12" s="82" t="s">
        <v>110</v>
      </c>
    </row>
    <row r="13" spans="1:9" x14ac:dyDescent="0.3">
      <c r="A13" s="109"/>
      <c r="B13" s="109"/>
      <c r="C13" s="109"/>
      <c r="D13" s="109"/>
      <c r="E13" s="110"/>
      <c r="F13" s="111"/>
      <c r="G13" s="112"/>
      <c r="H13" s="113"/>
      <c r="I13" s="114"/>
    </row>
    <row r="14" spans="1:9" ht="30" x14ac:dyDescent="0.3">
      <c r="A14" s="51" t="s">
        <v>0</v>
      </c>
      <c r="B14" s="51" t="s">
        <v>1</v>
      </c>
      <c r="C14" s="51" t="s">
        <v>116</v>
      </c>
      <c r="D14" s="51" t="s">
        <v>2</v>
      </c>
      <c r="E14" s="52" t="s">
        <v>3</v>
      </c>
      <c r="F14" s="53" t="s">
        <v>4</v>
      </c>
      <c r="G14" s="51" t="s">
        <v>5</v>
      </c>
      <c r="H14" s="53" t="s">
        <v>21</v>
      </c>
      <c r="I14" s="51" t="s">
        <v>6</v>
      </c>
    </row>
    <row r="15" spans="1:9" ht="16.5" customHeight="1" x14ac:dyDescent="0.3">
      <c r="A15" s="161">
        <v>4</v>
      </c>
      <c r="B15" s="63" t="s">
        <v>111</v>
      </c>
      <c r="C15" s="83">
        <f>250*7000</f>
        <v>1750000</v>
      </c>
      <c r="D15" s="149" t="s">
        <v>115</v>
      </c>
      <c r="E15" s="150">
        <v>25000</v>
      </c>
      <c r="F15" s="151" t="s">
        <v>136</v>
      </c>
      <c r="G15" s="86">
        <f>(1000*E15)/C19</f>
        <v>2.7932960893854748</v>
      </c>
      <c r="H15" s="63" t="s">
        <v>131</v>
      </c>
      <c r="I15" s="164" t="s">
        <v>160</v>
      </c>
    </row>
    <row r="16" spans="1:9" ht="16.5" customHeight="1" x14ac:dyDescent="0.3">
      <c r="A16" s="161"/>
      <c r="B16" s="63" t="s">
        <v>112</v>
      </c>
      <c r="C16" s="83">
        <f>50*36000</f>
        <v>1800000</v>
      </c>
      <c r="D16" s="149"/>
      <c r="E16" s="150"/>
      <c r="F16" s="149"/>
      <c r="G16" s="87">
        <f>+(1000*E15)/(C15+C16+C17+C18)</f>
        <v>2.7932960893854748</v>
      </c>
      <c r="H16" s="63" t="s">
        <v>130</v>
      </c>
      <c r="I16" s="165"/>
    </row>
    <row r="17" spans="1:9" ht="16.5" customHeight="1" x14ac:dyDescent="0.3">
      <c r="A17" s="161"/>
      <c r="B17" s="63" t="s">
        <v>113</v>
      </c>
      <c r="C17" s="83">
        <v>3000000</v>
      </c>
      <c r="D17" s="149"/>
      <c r="E17" s="150"/>
      <c r="F17" s="149"/>
      <c r="G17" s="63"/>
      <c r="H17" s="63"/>
      <c r="I17" s="63"/>
    </row>
    <row r="18" spans="1:9" ht="16.5" customHeight="1" x14ac:dyDescent="0.3">
      <c r="A18" s="161"/>
      <c r="B18" s="63" t="s">
        <v>114</v>
      </c>
      <c r="C18" s="83">
        <f>3000*800</f>
        <v>2400000</v>
      </c>
      <c r="D18" s="149"/>
      <c r="E18" s="150"/>
      <c r="F18" s="149"/>
      <c r="G18" s="63"/>
      <c r="H18" s="63"/>
      <c r="I18" s="63"/>
    </row>
    <row r="19" spans="1:9" ht="16.5" customHeight="1" x14ac:dyDescent="0.3">
      <c r="A19" s="161"/>
      <c r="B19" s="88" t="s">
        <v>117</v>
      </c>
      <c r="C19" s="89">
        <f>SUM(C15:C18)</f>
        <v>8950000</v>
      </c>
      <c r="D19" s="149"/>
      <c r="E19" s="150"/>
      <c r="F19" s="149"/>
      <c r="G19" s="63"/>
      <c r="H19" s="63"/>
      <c r="I19" s="63"/>
    </row>
    <row r="20" spans="1:9" ht="16.5" customHeight="1" x14ac:dyDescent="0.3">
      <c r="A20" s="161"/>
      <c r="B20" s="63"/>
      <c r="C20" s="63"/>
      <c r="D20" s="63"/>
      <c r="E20" s="64"/>
      <c r="F20" s="63"/>
      <c r="G20" s="63"/>
      <c r="H20" s="63"/>
      <c r="I20" s="63"/>
    </row>
    <row r="21" spans="1:9" ht="16.5" customHeight="1" x14ac:dyDescent="0.3">
      <c r="A21" s="161"/>
      <c r="B21" s="63" t="s">
        <v>118</v>
      </c>
      <c r="C21" s="83">
        <f>280*7000</f>
        <v>1960000</v>
      </c>
      <c r="D21" s="149" t="s">
        <v>121</v>
      </c>
      <c r="E21" s="150">
        <v>25000</v>
      </c>
      <c r="F21" s="151" t="s">
        <v>137</v>
      </c>
      <c r="G21" s="86">
        <f>(1200*E21)/C25</f>
        <v>3.0687397708674307</v>
      </c>
      <c r="H21" s="63" t="s">
        <v>132</v>
      </c>
      <c r="I21" s="63"/>
    </row>
    <row r="22" spans="1:9" ht="16.5" customHeight="1" x14ac:dyDescent="0.3">
      <c r="A22" s="161"/>
      <c r="B22" s="63" t="s">
        <v>119</v>
      </c>
      <c r="C22" s="83">
        <f>66*36000</f>
        <v>2376000</v>
      </c>
      <c r="D22" s="149"/>
      <c r="E22" s="150"/>
      <c r="F22" s="149"/>
      <c r="G22" s="87">
        <f>(1200*E21)/(C21+C22+C23+C24)</f>
        <v>3.0687397708674307</v>
      </c>
      <c r="H22" s="63" t="s">
        <v>133</v>
      </c>
      <c r="I22" s="63"/>
    </row>
    <row r="23" spans="1:9" ht="16.5" customHeight="1" x14ac:dyDescent="0.3">
      <c r="A23" s="161"/>
      <c r="B23" s="63" t="s">
        <v>113</v>
      </c>
      <c r="C23" s="83">
        <v>3000000</v>
      </c>
      <c r="D23" s="149"/>
      <c r="E23" s="150"/>
      <c r="F23" s="149"/>
      <c r="G23" s="63"/>
      <c r="H23" s="63"/>
      <c r="I23" s="63"/>
    </row>
    <row r="24" spans="1:9" ht="16.5" customHeight="1" x14ac:dyDescent="0.3">
      <c r="A24" s="161"/>
      <c r="B24" s="63" t="s">
        <v>120</v>
      </c>
      <c r="C24" s="83">
        <f>3050*800</f>
        <v>2440000</v>
      </c>
      <c r="D24" s="149"/>
      <c r="E24" s="150"/>
      <c r="F24" s="149"/>
      <c r="G24" s="63"/>
      <c r="H24" s="63"/>
      <c r="I24" s="63"/>
    </row>
    <row r="25" spans="1:9" ht="16.5" customHeight="1" x14ac:dyDescent="0.3">
      <c r="A25" s="161"/>
      <c r="B25" s="88" t="s">
        <v>117</v>
      </c>
      <c r="C25" s="89">
        <f>SUM(C21:C24)</f>
        <v>9776000</v>
      </c>
      <c r="D25" s="149"/>
      <c r="E25" s="150"/>
      <c r="F25" s="149"/>
      <c r="G25" s="63"/>
      <c r="H25" s="63"/>
      <c r="I25" s="63"/>
    </row>
    <row r="26" spans="1:9" ht="34.5" x14ac:dyDescent="0.3">
      <c r="A26" s="161"/>
      <c r="B26" s="63"/>
      <c r="C26" s="63"/>
      <c r="D26" s="63"/>
      <c r="E26" s="64"/>
      <c r="F26" s="90" t="s">
        <v>129</v>
      </c>
      <c r="G26" s="91">
        <f>(G21-G15)/G15</f>
        <v>9.8608837970540195E-2</v>
      </c>
      <c r="H26" s="92"/>
      <c r="I26" s="93" t="s">
        <v>134</v>
      </c>
    </row>
    <row r="27" spans="1:9" ht="30" x14ac:dyDescent="0.3">
      <c r="A27" s="51" t="s">
        <v>0</v>
      </c>
      <c r="B27" s="51" t="s">
        <v>1</v>
      </c>
      <c r="C27" s="51" t="s">
        <v>116</v>
      </c>
      <c r="D27" s="51" t="s">
        <v>2</v>
      </c>
      <c r="E27" s="52" t="s">
        <v>3</v>
      </c>
      <c r="F27" s="53" t="s">
        <v>4</v>
      </c>
      <c r="G27" s="51" t="s">
        <v>5</v>
      </c>
      <c r="H27" s="53" t="s">
        <v>21</v>
      </c>
      <c r="I27" s="51" t="s">
        <v>6</v>
      </c>
    </row>
    <row r="28" spans="1:9" x14ac:dyDescent="0.3">
      <c r="A28" s="155">
        <v>5</v>
      </c>
      <c r="B28" s="63" t="s">
        <v>122</v>
      </c>
      <c r="C28" s="83">
        <f>520*18</f>
        <v>9360</v>
      </c>
      <c r="D28" s="149" t="s">
        <v>125</v>
      </c>
      <c r="E28" s="150">
        <v>30</v>
      </c>
      <c r="F28" s="151" t="s">
        <v>138</v>
      </c>
      <c r="G28" s="157">
        <f>(600*E28)/(C28+C29+C30)</f>
        <v>1.6885553470919326</v>
      </c>
      <c r="H28" s="149" t="s">
        <v>139</v>
      </c>
      <c r="I28" s="63"/>
    </row>
    <row r="29" spans="1:9" x14ac:dyDescent="0.3">
      <c r="A29" s="155"/>
      <c r="B29" s="63" t="s">
        <v>123</v>
      </c>
      <c r="C29" s="83">
        <f>100*5</f>
        <v>500</v>
      </c>
      <c r="D29" s="149"/>
      <c r="E29" s="150"/>
      <c r="F29" s="149"/>
      <c r="G29" s="157"/>
      <c r="H29" s="149"/>
      <c r="I29" s="63"/>
    </row>
    <row r="30" spans="1:9" x14ac:dyDescent="0.3">
      <c r="A30" s="155"/>
      <c r="B30" s="63" t="s">
        <v>124</v>
      </c>
      <c r="C30" s="83">
        <f>20*40</f>
        <v>800</v>
      </c>
      <c r="D30" s="149"/>
      <c r="E30" s="150"/>
      <c r="F30" s="149"/>
      <c r="G30" s="157"/>
      <c r="H30" s="149"/>
      <c r="I30" s="63"/>
    </row>
    <row r="31" spans="1:9" x14ac:dyDescent="0.3">
      <c r="A31" s="155"/>
      <c r="B31" s="88" t="s">
        <v>117</v>
      </c>
      <c r="C31" s="89">
        <f>SUM(C28:C30)</f>
        <v>10660</v>
      </c>
      <c r="D31" s="149"/>
      <c r="E31" s="150"/>
      <c r="F31" s="149"/>
      <c r="G31" s="157"/>
      <c r="H31" s="149"/>
      <c r="I31" s="63"/>
    </row>
    <row r="32" spans="1:9" x14ac:dyDescent="0.3">
      <c r="A32" s="155"/>
      <c r="B32" s="63"/>
      <c r="C32" s="63"/>
      <c r="D32" s="63"/>
      <c r="E32" s="64"/>
      <c r="F32" s="63"/>
      <c r="G32" s="63"/>
      <c r="H32" s="63"/>
      <c r="I32" s="63"/>
    </row>
    <row r="33" spans="1:10" x14ac:dyDescent="0.3">
      <c r="A33" s="155"/>
      <c r="B33" s="63" t="s">
        <v>122</v>
      </c>
      <c r="C33" s="83">
        <f>520*18</f>
        <v>9360</v>
      </c>
      <c r="D33" s="149" t="s">
        <v>126</v>
      </c>
      <c r="E33" s="150">
        <v>5</v>
      </c>
      <c r="F33" s="151" t="s">
        <v>170</v>
      </c>
      <c r="G33" s="153">
        <v>6</v>
      </c>
      <c r="H33" s="149" t="s">
        <v>127</v>
      </c>
      <c r="I33" s="152" t="s">
        <v>173</v>
      </c>
    </row>
    <row r="34" spans="1:10" x14ac:dyDescent="0.3">
      <c r="A34" s="155"/>
      <c r="B34" s="63" t="s">
        <v>124</v>
      </c>
      <c r="C34" s="83">
        <f>20*40</f>
        <v>800</v>
      </c>
      <c r="D34" s="149"/>
      <c r="E34" s="150"/>
      <c r="F34" s="149"/>
      <c r="G34" s="153"/>
      <c r="H34" s="149"/>
      <c r="I34" s="152"/>
    </row>
    <row r="35" spans="1:10" x14ac:dyDescent="0.3">
      <c r="A35" s="155"/>
      <c r="B35" s="88" t="s">
        <v>117</v>
      </c>
      <c r="C35" s="89">
        <f>SUM(C33:C34)</f>
        <v>10160</v>
      </c>
      <c r="D35" s="149"/>
      <c r="E35" s="150"/>
      <c r="F35" s="149"/>
      <c r="G35" s="153"/>
      <c r="H35" s="149"/>
      <c r="I35" s="152"/>
    </row>
    <row r="36" spans="1:10" x14ac:dyDescent="0.3">
      <c r="A36" s="155"/>
      <c r="B36" s="63"/>
      <c r="C36" s="63"/>
      <c r="D36" s="92"/>
      <c r="E36" s="94"/>
      <c r="F36" s="63"/>
      <c r="G36" s="63"/>
      <c r="H36" s="63"/>
      <c r="I36" s="63"/>
    </row>
    <row r="37" spans="1:10" x14ac:dyDescent="0.3">
      <c r="A37" s="156"/>
      <c r="B37" s="95" t="s">
        <v>135</v>
      </c>
      <c r="C37" s="96">
        <v>600</v>
      </c>
      <c r="D37" s="97" t="s">
        <v>126</v>
      </c>
      <c r="E37" s="98">
        <v>5</v>
      </c>
      <c r="F37" s="99" t="s">
        <v>171</v>
      </c>
      <c r="G37" s="100">
        <v>1.2</v>
      </c>
      <c r="H37" s="97"/>
      <c r="I37" s="101" t="s">
        <v>172</v>
      </c>
    </row>
    <row r="38" spans="1:10" ht="18.75" customHeight="1" x14ac:dyDescent="0.3">
      <c r="A38" s="154"/>
      <c r="B38" s="154"/>
      <c r="C38" s="154"/>
      <c r="D38" s="154"/>
      <c r="E38" s="154"/>
      <c r="F38" s="154"/>
      <c r="G38" s="154"/>
      <c r="H38" s="154"/>
      <c r="I38" s="154"/>
      <c r="J38" s="154"/>
    </row>
    <row r="39" spans="1:10" ht="17.25" customHeight="1" x14ac:dyDescent="0.3">
      <c r="A39" s="148">
        <v>6</v>
      </c>
      <c r="B39" s="63" t="s">
        <v>140</v>
      </c>
      <c r="C39" s="83">
        <f>350*5800</f>
        <v>2030000</v>
      </c>
      <c r="D39" s="102" t="s">
        <v>147</v>
      </c>
      <c r="E39" s="102" t="s">
        <v>147</v>
      </c>
      <c r="F39" s="151" t="s">
        <v>161</v>
      </c>
      <c r="G39" s="86">
        <f>+(15000*24000)/C42</f>
        <v>16.798880074661689</v>
      </c>
      <c r="H39" s="63" t="s">
        <v>148</v>
      </c>
      <c r="I39" s="63" t="s">
        <v>164</v>
      </c>
      <c r="J39" s="63" t="s">
        <v>163</v>
      </c>
    </row>
    <row r="40" spans="1:10" ht="17.25" customHeight="1" x14ac:dyDescent="0.3">
      <c r="A40" s="148"/>
      <c r="B40" s="63" t="s">
        <v>141</v>
      </c>
      <c r="C40" s="83">
        <v>17000000</v>
      </c>
      <c r="D40" s="92">
        <v>1500</v>
      </c>
      <c r="E40" s="94">
        <v>24000</v>
      </c>
      <c r="F40" s="151"/>
      <c r="G40" s="86">
        <f>(D42*E42)/C42</f>
        <v>1.6798880074661688</v>
      </c>
      <c r="H40" s="63"/>
      <c r="I40" s="63" t="s">
        <v>165</v>
      </c>
      <c r="J40" s="63"/>
    </row>
    <row r="41" spans="1:10" ht="17.25" customHeight="1" x14ac:dyDescent="0.3">
      <c r="A41" s="148"/>
      <c r="B41" s="63" t="s">
        <v>145</v>
      </c>
      <c r="C41" s="83">
        <f>3000*800</f>
        <v>2400000</v>
      </c>
      <c r="D41" s="102" t="s">
        <v>146</v>
      </c>
      <c r="E41" s="102" t="s">
        <v>146</v>
      </c>
      <c r="F41" s="151"/>
      <c r="G41" s="166">
        <f>1500*24000</f>
        <v>36000000</v>
      </c>
      <c r="H41" s="63"/>
      <c r="I41" s="63"/>
      <c r="J41" s="63"/>
    </row>
    <row r="42" spans="1:10" ht="17.25" customHeight="1" x14ac:dyDescent="0.3">
      <c r="A42" s="148"/>
      <c r="B42" s="88" t="s">
        <v>117</v>
      </c>
      <c r="C42" s="89">
        <f>SUM(C39:C41)</f>
        <v>21430000</v>
      </c>
      <c r="D42" s="92">
        <f>D40*12</f>
        <v>18000</v>
      </c>
      <c r="E42" s="94">
        <v>2000</v>
      </c>
      <c r="F42" s="151"/>
      <c r="G42" s="167"/>
      <c r="H42" s="63" t="s">
        <v>166</v>
      </c>
      <c r="I42" s="63"/>
      <c r="J42" s="63"/>
    </row>
    <row r="43" spans="1:10" ht="17.25" customHeight="1" x14ac:dyDescent="0.3">
      <c r="A43" s="148"/>
      <c r="B43" s="63"/>
      <c r="C43" s="63"/>
      <c r="D43" s="63"/>
      <c r="E43" s="64"/>
      <c r="F43" s="63"/>
      <c r="G43" s="63"/>
      <c r="H43" s="63"/>
      <c r="I43" s="63"/>
      <c r="J43" s="63"/>
    </row>
    <row r="44" spans="1:10" ht="17.25" customHeight="1" x14ac:dyDescent="0.3">
      <c r="A44" s="148"/>
      <c r="B44" s="63" t="s">
        <v>142</v>
      </c>
      <c r="C44" s="83">
        <f>325*5800</f>
        <v>1885000</v>
      </c>
      <c r="D44" s="102" t="s">
        <v>147</v>
      </c>
      <c r="E44" s="102" t="s">
        <v>147</v>
      </c>
      <c r="F44" s="151" t="s">
        <v>162</v>
      </c>
      <c r="G44" s="86">
        <f>(D45*E45)/C47</f>
        <v>1.3801035077630823</v>
      </c>
      <c r="H44" s="63" t="s">
        <v>149</v>
      </c>
      <c r="I44" s="63"/>
      <c r="J44" s="63"/>
    </row>
    <row r="45" spans="1:10" ht="17.25" customHeight="1" x14ac:dyDescent="0.3">
      <c r="A45" s="148"/>
      <c r="B45" s="63" t="s">
        <v>143</v>
      </c>
      <c r="C45" s="83">
        <v>22000000</v>
      </c>
      <c r="D45" s="92">
        <v>1500</v>
      </c>
      <c r="E45" s="94">
        <f>12*E47</f>
        <v>24000</v>
      </c>
      <c r="F45" s="151"/>
      <c r="G45" s="86">
        <f>(D47*E47)/C47</f>
        <v>1.3801035077630823</v>
      </c>
      <c r="H45" s="63"/>
      <c r="I45" s="115" t="s">
        <v>168</v>
      </c>
      <c r="J45" s="63"/>
    </row>
    <row r="46" spans="1:10" ht="17.25" customHeight="1" x14ac:dyDescent="0.3">
      <c r="A46" s="148"/>
      <c r="B46" s="63" t="s">
        <v>144</v>
      </c>
      <c r="C46" s="83">
        <f>2750*800</f>
        <v>2200000</v>
      </c>
      <c r="D46" s="102" t="s">
        <v>146</v>
      </c>
      <c r="E46" s="102" t="s">
        <v>146</v>
      </c>
      <c r="F46" s="151"/>
      <c r="G46" s="63"/>
      <c r="H46" s="63"/>
      <c r="I46" s="63"/>
      <c r="J46" s="63"/>
    </row>
    <row r="47" spans="1:10" ht="17.25" customHeight="1" x14ac:dyDescent="0.3">
      <c r="A47" s="148"/>
      <c r="B47" s="88" t="s">
        <v>117</v>
      </c>
      <c r="C47" s="89">
        <f>SUM(C44:C46)</f>
        <v>26085000</v>
      </c>
      <c r="D47" s="92">
        <f>+D45*12</f>
        <v>18000</v>
      </c>
      <c r="E47" s="94">
        <v>2000</v>
      </c>
      <c r="F47" s="151"/>
      <c r="G47" s="63"/>
      <c r="H47" s="63"/>
      <c r="I47" s="63"/>
      <c r="J47" s="63"/>
    </row>
    <row r="48" spans="1:10" ht="34.5" x14ac:dyDescent="0.3">
      <c r="A48" s="148"/>
      <c r="B48" s="63"/>
      <c r="C48" s="63"/>
      <c r="D48" s="63"/>
      <c r="E48" s="64"/>
      <c r="F48" s="90" t="s">
        <v>150</v>
      </c>
      <c r="G48" s="104">
        <f>+(G44-G40)/G40</f>
        <v>-0.17845505079547624</v>
      </c>
      <c r="H48" s="63"/>
      <c r="I48" s="93" t="s">
        <v>169</v>
      </c>
      <c r="J48" s="63"/>
    </row>
    <row r="49" spans="1:10" x14ac:dyDescent="0.3">
      <c r="A49" s="148"/>
      <c r="B49" s="63"/>
      <c r="C49" s="63"/>
      <c r="D49" s="63"/>
      <c r="E49" s="64"/>
      <c r="F49" s="90"/>
      <c r="G49" s="66"/>
      <c r="H49" s="63"/>
      <c r="I49" s="93"/>
      <c r="J49" s="63"/>
    </row>
    <row r="50" spans="1:10" x14ac:dyDescent="0.3">
      <c r="A50" s="148"/>
      <c r="B50" s="63" t="s">
        <v>140</v>
      </c>
      <c r="C50" s="83">
        <f>350*5800</f>
        <v>2030000</v>
      </c>
      <c r="D50" s="149" t="s">
        <v>151</v>
      </c>
      <c r="E50" s="150">
        <v>800</v>
      </c>
      <c r="F50" s="151" t="s">
        <v>152</v>
      </c>
      <c r="G50" s="103">
        <f>(3000*E50)/C52</f>
        <v>0.12611665790856541</v>
      </c>
      <c r="H50" s="63" t="s">
        <v>157</v>
      </c>
      <c r="I50" s="93"/>
      <c r="J50" s="63"/>
    </row>
    <row r="51" spans="1:10" x14ac:dyDescent="0.3">
      <c r="A51" s="148"/>
      <c r="B51" s="63" t="s">
        <v>141</v>
      </c>
      <c r="C51" s="83">
        <v>17000000</v>
      </c>
      <c r="D51" s="149"/>
      <c r="E51" s="150"/>
      <c r="F51" s="151"/>
      <c r="G51" s="66"/>
      <c r="H51" s="63"/>
      <c r="I51" s="93"/>
      <c r="J51" s="63"/>
    </row>
    <row r="52" spans="1:10" x14ac:dyDescent="0.3">
      <c r="A52" s="148"/>
      <c r="B52" s="88" t="s">
        <v>117</v>
      </c>
      <c r="C52" s="89">
        <f>SUM(C50:C51)</f>
        <v>19030000</v>
      </c>
      <c r="D52" s="149"/>
      <c r="E52" s="150"/>
      <c r="F52" s="151"/>
      <c r="G52" s="66"/>
      <c r="H52" s="63"/>
      <c r="I52" s="93"/>
      <c r="J52" s="63"/>
    </row>
    <row r="53" spans="1:10" x14ac:dyDescent="0.3">
      <c r="A53" s="148"/>
      <c r="B53" s="88"/>
      <c r="C53" s="89"/>
      <c r="D53" s="84"/>
      <c r="E53" s="85"/>
      <c r="F53" s="90"/>
      <c r="G53" s="66"/>
      <c r="H53" s="63"/>
      <c r="I53" s="93"/>
      <c r="J53" s="63"/>
    </row>
    <row r="54" spans="1:10" x14ac:dyDescent="0.3">
      <c r="A54" s="148"/>
      <c r="B54" s="63" t="s">
        <v>142</v>
      </c>
      <c r="C54" s="83">
        <f>325*5800</f>
        <v>1885000</v>
      </c>
      <c r="D54" s="149" t="s">
        <v>153</v>
      </c>
      <c r="E54" s="150">
        <v>800</v>
      </c>
      <c r="F54" s="151" t="s">
        <v>154</v>
      </c>
      <c r="G54" s="103">
        <f>(2750*E54)/C56</f>
        <v>9.2108017584257906E-2</v>
      </c>
      <c r="H54" s="63" t="s">
        <v>158</v>
      </c>
      <c r="I54" s="93"/>
      <c r="J54" s="63"/>
    </row>
    <row r="55" spans="1:10" x14ac:dyDescent="0.3">
      <c r="A55" s="148"/>
      <c r="B55" s="63" t="s">
        <v>143</v>
      </c>
      <c r="C55" s="83">
        <v>22000000</v>
      </c>
      <c r="D55" s="149"/>
      <c r="E55" s="150"/>
      <c r="F55" s="151"/>
      <c r="G55" s="66"/>
      <c r="H55" s="63"/>
      <c r="I55" s="93"/>
      <c r="J55" s="63"/>
    </row>
    <row r="56" spans="1:10" x14ac:dyDescent="0.3">
      <c r="A56" s="148"/>
      <c r="B56" s="88" t="s">
        <v>117</v>
      </c>
      <c r="C56" s="89">
        <f>SUM(C54:C55)</f>
        <v>23885000</v>
      </c>
      <c r="D56" s="149"/>
      <c r="E56" s="150"/>
      <c r="F56" s="151"/>
      <c r="G56" s="66"/>
      <c r="H56" s="63"/>
      <c r="I56" s="93"/>
      <c r="J56" s="63"/>
    </row>
    <row r="57" spans="1:10" ht="35.25" thickBot="1" x14ac:dyDescent="0.35">
      <c r="A57" s="148"/>
      <c r="B57" s="63"/>
      <c r="C57" s="63"/>
      <c r="D57" s="63"/>
      <c r="E57" s="64"/>
      <c r="F57" s="90" t="s">
        <v>155</v>
      </c>
      <c r="G57" s="66">
        <f>(G50-G54)/G54</f>
        <v>0.36922562461185671</v>
      </c>
      <c r="H57" s="63"/>
      <c r="I57" s="107" t="s">
        <v>156</v>
      </c>
      <c r="J57" s="63"/>
    </row>
    <row r="58" spans="1:10" ht="69.75" thickBot="1" x14ac:dyDescent="0.35">
      <c r="F58" s="57"/>
      <c r="G58" s="56"/>
      <c r="I58" s="108" t="s">
        <v>167</v>
      </c>
    </row>
    <row r="59" spans="1:10" x14ac:dyDescent="0.3">
      <c r="F59" s="57"/>
      <c r="G59" s="56"/>
      <c r="I59" s="105"/>
    </row>
    <row r="60" spans="1:10" x14ac:dyDescent="0.3">
      <c r="F60" s="57"/>
      <c r="G60" s="56"/>
      <c r="I60" s="105"/>
    </row>
    <row r="61" spans="1:10" x14ac:dyDescent="0.3">
      <c r="F61" s="57"/>
      <c r="G61" s="56"/>
      <c r="I61" s="105"/>
    </row>
    <row r="62" spans="1:10" x14ac:dyDescent="0.3">
      <c r="C62" s="58"/>
      <c r="D62" s="61"/>
      <c r="F62" s="59"/>
      <c r="G62" s="62"/>
      <c r="I62" s="106"/>
    </row>
    <row r="63" spans="1:10" x14ac:dyDescent="0.3">
      <c r="C63" s="60"/>
      <c r="I63" s="55"/>
    </row>
  </sheetData>
  <mergeCells count="45">
    <mergeCell ref="G41:G42"/>
    <mergeCell ref="A2:A5"/>
    <mergeCell ref="B2:C2"/>
    <mergeCell ref="B3:C3"/>
    <mergeCell ref="B4:C4"/>
    <mergeCell ref="B5:C5"/>
    <mergeCell ref="A10:A11"/>
    <mergeCell ref="D21:D25"/>
    <mergeCell ref="E21:E25"/>
    <mergeCell ref="F21:F25"/>
    <mergeCell ref="B10:C10"/>
    <mergeCell ref="B11:C11"/>
    <mergeCell ref="B12:C12"/>
    <mergeCell ref="E28:E31"/>
    <mergeCell ref="D15:D19"/>
    <mergeCell ref="E15:E19"/>
    <mergeCell ref="F15:F19"/>
    <mergeCell ref="A6:I6"/>
    <mergeCell ref="A9:I9"/>
    <mergeCell ref="A15:A26"/>
    <mergeCell ref="A7:A8"/>
    <mergeCell ref="B7:C7"/>
    <mergeCell ref="B8:C8"/>
    <mergeCell ref="I15:I16"/>
    <mergeCell ref="F50:F52"/>
    <mergeCell ref="F54:F56"/>
    <mergeCell ref="F44:F47"/>
    <mergeCell ref="I33:I35"/>
    <mergeCell ref="F39:F42"/>
    <mergeCell ref="G33:G35"/>
    <mergeCell ref="A38:J38"/>
    <mergeCell ref="A28:A37"/>
    <mergeCell ref="G28:G31"/>
    <mergeCell ref="H28:H31"/>
    <mergeCell ref="H33:H35"/>
    <mergeCell ref="F28:F31"/>
    <mergeCell ref="D33:D35"/>
    <mergeCell ref="E33:E35"/>
    <mergeCell ref="F33:F35"/>
    <mergeCell ref="D28:D31"/>
    <mergeCell ref="A39:A57"/>
    <mergeCell ref="D50:D52"/>
    <mergeCell ref="E50:E52"/>
    <mergeCell ref="D54:D56"/>
    <mergeCell ref="E54:E5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CLASE</vt:lpstr>
      <vt:lpstr>ANTES</vt:lpstr>
      <vt:lpstr>DESPUES</vt:lpstr>
      <vt:lpstr>TALLER 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diseño y desarrollo</dc:creator>
  <cp:lastModifiedBy>diseño y desarrollo</cp:lastModifiedBy>
  <dcterms:created xsi:type="dcterms:W3CDTF">2024-03-08T18:14:26Z</dcterms:created>
  <dcterms:modified xsi:type="dcterms:W3CDTF">2024-03-22T18:30:15Z</dcterms:modified>
</cp:coreProperties>
</file>