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11595" activeTab="2"/>
  </bookViews>
  <sheets>
    <sheet name="hojade trabajo" sheetId="1" r:id="rId1"/>
    <sheet name="ajustes" sheetId="2" r:id="rId2"/>
    <sheet name="calculo" sheetId="3" r:id="rId3"/>
  </sheets>
  <calcPr calcId="144525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4" i="1" l="1"/>
  <c r="F29" i="1"/>
  <c r="G29" i="1" s="1"/>
  <c r="K29" i="1" s="1"/>
  <c r="B57" i="3" l="1"/>
  <c r="C58" i="3"/>
  <c r="M13" i="1"/>
  <c r="C59" i="3" l="1"/>
  <c r="C61" i="3" s="1"/>
  <c r="B58" i="3"/>
  <c r="B60" i="3" s="1"/>
  <c r="B61" i="3" s="1"/>
  <c r="C62" i="3" l="1"/>
  <c r="H44" i="1" l="1"/>
  <c r="N44" i="1" s="1"/>
  <c r="G43" i="1"/>
  <c r="K43" i="1" s="1"/>
  <c r="H42" i="1"/>
  <c r="N42" i="1" s="1"/>
  <c r="G41" i="1"/>
  <c r="M41" i="1" s="1"/>
  <c r="G40" i="1"/>
  <c r="K40" i="1" s="1"/>
  <c r="H39" i="1"/>
  <c r="N39" i="1" s="1"/>
  <c r="G38" i="1"/>
  <c r="K38" i="1" s="1"/>
  <c r="H37" i="1"/>
  <c r="H35" i="1"/>
  <c r="N35" i="1" s="1"/>
  <c r="G34" i="1"/>
  <c r="K34" i="1" s="1"/>
  <c r="G33" i="1"/>
  <c r="K33" i="1" s="1"/>
  <c r="G32" i="1"/>
  <c r="K32" i="1" s="1"/>
  <c r="G31" i="1"/>
  <c r="K31" i="1" s="1"/>
  <c r="H28" i="1"/>
  <c r="L28" i="1" s="1"/>
  <c r="G27" i="1"/>
  <c r="M27" i="1" s="1"/>
  <c r="G25" i="1"/>
  <c r="K25" i="1" s="1"/>
  <c r="G22" i="1"/>
  <c r="K22" i="1" s="1"/>
  <c r="G21" i="1"/>
  <c r="K21" i="1" s="1"/>
  <c r="G20" i="1"/>
  <c r="K20" i="1" s="1"/>
  <c r="G19" i="1"/>
  <c r="K19" i="1" s="1"/>
  <c r="H18" i="1"/>
  <c r="N18" i="1" s="1"/>
  <c r="G17" i="1"/>
  <c r="M17" i="1" s="1"/>
  <c r="G16" i="1"/>
  <c r="I16" i="1" s="1"/>
  <c r="G13" i="1"/>
  <c r="I13" i="1" s="1"/>
  <c r="G12" i="1"/>
  <c r="M12" i="1" s="1"/>
  <c r="G11" i="1"/>
  <c r="M11" i="1" s="1"/>
  <c r="G10" i="1"/>
  <c r="M10" i="1" s="1"/>
  <c r="G9" i="1"/>
  <c r="M9" i="1" s="1"/>
  <c r="E30" i="1"/>
  <c r="H30" i="1" s="1"/>
  <c r="N30" i="1" s="1"/>
  <c r="I71" i="1" l="1"/>
  <c r="J37" i="1"/>
  <c r="F63" i="1"/>
  <c r="H63" i="1" s="1"/>
  <c r="N63" i="1" s="1"/>
  <c r="E36" i="1"/>
  <c r="H36" i="1" s="1"/>
  <c r="N36" i="1" s="1"/>
  <c r="C53" i="2"/>
  <c r="D53" i="2"/>
  <c r="D49" i="2"/>
  <c r="D15" i="1"/>
  <c r="H15" i="1" s="1"/>
  <c r="N15" i="1" s="1"/>
  <c r="D14" i="1"/>
  <c r="H14" i="1" s="1"/>
  <c r="N14" i="1" s="1"/>
  <c r="J71" i="1" l="1"/>
  <c r="C42" i="2"/>
  <c r="E56" i="1" l="1"/>
  <c r="G56" i="1" s="1"/>
  <c r="K56" i="1" s="1"/>
  <c r="A50" i="3" l="1"/>
  <c r="A44" i="3"/>
  <c r="A45" i="3" s="1"/>
  <c r="D43" i="2" s="1"/>
  <c r="B42" i="3"/>
  <c r="D82" i="1"/>
  <c r="B49" i="3" l="1"/>
  <c r="C51" i="3"/>
  <c r="C46" i="2" s="1"/>
  <c r="C52" i="3"/>
  <c r="C47" i="2" s="1"/>
  <c r="E62" i="1" s="1"/>
  <c r="G62" i="1" s="1"/>
  <c r="K62" i="1" s="1"/>
  <c r="F60" i="1"/>
  <c r="H60" i="1" s="1"/>
  <c r="L60" i="1" s="1"/>
  <c r="L71" i="1" s="1"/>
  <c r="B60" i="1"/>
  <c r="E26" i="1"/>
  <c r="G26" i="1" s="1"/>
  <c r="K26" i="1" s="1"/>
  <c r="B59" i="1"/>
  <c r="B56" i="1"/>
  <c r="F23" i="1"/>
  <c r="G23" i="1" s="1"/>
  <c r="M23" i="1" s="1"/>
  <c r="B51" i="1"/>
  <c r="B50" i="1"/>
  <c r="B49" i="1"/>
  <c r="B48" i="1"/>
  <c r="B47" i="1"/>
  <c r="B46" i="1"/>
  <c r="B45" i="1"/>
  <c r="A35" i="3"/>
  <c r="C30" i="2" s="1"/>
  <c r="C32" i="2" s="1"/>
  <c r="A31" i="3"/>
  <c r="C31" i="3" s="1"/>
  <c r="C49" i="2" l="1"/>
  <c r="E61" i="1"/>
  <c r="G61" i="1" s="1"/>
  <c r="K61" i="1" s="1"/>
  <c r="D31" i="2"/>
  <c r="C44" i="2"/>
  <c r="D44" i="2"/>
  <c r="D32" i="2" l="1"/>
  <c r="F24" i="1"/>
  <c r="G24" i="1" s="1"/>
  <c r="K24" i="1" s="1"/>
  <c r="C40" i="2"/>
  <c r="D40" i="2"/>
  <c r="D36" i="2"/>
  <c r="C36" i="2" s="1"/>
  <c r="E59" i="1" l="1"/>
  <c r="G59" i="1" s="1"/>
  <c r="M59" i="1" s="1"/>
  <c r="A26" i="3"/>
  <c r="C26" i="3" s="1"/>
  <c r="C26" i="2" s="1"/>
  <c r="D27" i="2" l="1"/>
  <c r="D28" i="2" s="1"/>
  <c r="C28" i="2" s="1"/>
  <c r="E57" i="1"/>
  <c r="G57" i="1" s="1"/>
  <c r="K57" i="1" s="1"/>
  <c r="C71" i="1"/>
  <c r="D71" i="1"/>
  <c r="D72" i="1" l="1"/>
  <c r="F58" i="1"/>
  <c r="H58" i="1" s="1"/>
  <c r="N58" i="1" s="1"/>
  <c r="C15" i="2" l="1"/>
  <c r="E52" i="1" s="1"/>
  <c r="G52" i="1" s="1"/>
  <c r="K52" i="1" s="1"/>
  <c r="D18" i="2" l="1"/>
  <c r="C24" i="2"/>
  <c r="D24" i="2"/>
  <c r="C18" i="3"/>
  <c r="C19" i="3" s="1"/>
  <c r="A15" i="3"/>
  <c r="C14" i="3" s="1"/>
  <c r="C15" i="3" s="1"/>
  <c r="C6" i="3"/>
  <c r="E6" i="3" s="1"/>
  <c r="A8" i="3" s="1"/>
  <c r="D17" i="2" l="1"/>
  <c r="F8" i="1" s="1"/>
  <c r="F54" i="1"/>
  <c r="H54" i="1" s="1"/>
  <c r="N54" i="1" s="1"/>
  <c r="D10" i="3"/>
  <c r="E10" i="3" s="1"/>
  <c r="C7" i="2" s="1"/>
  <c r="E46" i="1" s="1"/>
  <c r="G46" i="1" s="1"/>
  <c r="K46" i="1" s="1"/>
  <c r="D9" i="3"/>
  <c r="E9" i="3" s="1"/>
  <c r="D12" i="2"/>
  <c r="F51" i="1" s="1"/>
  <c r="H51" i="1" s="1"/>
  <c r="N51" i="1" s="1"/>
  <c r="C9" i="2"/>
  <c r="E48" i="1" s="1"/>
  <c r="G48" i="1" s="1"/>
  <c r="K48" i="1" s="1"/>
  <c r="C8" i="2"/>
  <c r="E47" i="1" s="1"/>
  <c r="G47" i="1" s="1"/>
  <c r="K47" i="1" s="1"/>
  <c r="D11" i="2"/>
  <c r="F50" i="1" s="1"/>
  <c r="H50" i="1" s="1"/>
  <c r="N50" i="1" s="1"/>
  <c r="C16" i="2"/>
  <c r="G8" i="1" l="1"/>
  <c r="M8" i="1" s="1"/>
  <c r="D19" i="2"/>
  <c r="F55" i="1" s="1"/>
  <c r="H55" i="1" s="1"/>
  <c r="N55" i="1" s="1"/>
  <c r="E53" i="1"/>
  <c r="G53" i="1" s="1"/>
  <c r="M53" i="1" s="1"/>
  <c r="C6" i="2"/>
  <c r="E45" i="1" s="1"/>
  <c r="G45" i="1" s="1"/>
  <c r="K45" i="1" s="1"/>
  <c r="K71" i="1" s="1"/>
  <c r="D10" i="2"/>
  <c r="D20" i="2"/>
  <c r="C20" i="2"/>
  <c r="M71" i="1" l="1"/>
  <c r="E71" i="1"/>
  <c r="D13" i="2"/>
  <c r="F49" i="1"/>
  <c r="F71" i="1" s="1"/>
  <c r="H49" i="1" l="1"/>
  <c r="N49" i="1" s="1"/>
  <c r="N71" i="1" s="1"/>
  <c r="C13" i="2"/>
  <c r="G71" i="1"/>
  <c r="H71" i="1"/>
</calcChain>
</file>

<file path=xl/sharedStrings.xml><?xml version="1.0" encoding="utf-8"?>
<sst xmlns="http://schemas.openxmlformats.org/spreadsheetml/2006/main" count="168" uniqueCount="147">
  <si>
    <t>No.</t>
  </si>
  <si>
    <t>cuenta</t>
  </si>
  <si>
    <t>saldos</t>
  </si>
  <si>
    <t>ajustes</t>
  </si>
  <si>
    <t>resultados</t>
  </si>
  <si>
    <t>balance general</t>
  </si>
  <si>
    <t>saldos ajustes</t>
  </si>
  <si>
    <t>deudor</t>
  </si>
  <si>
    <t>debe</t>
  </si>
  <si>
    <t>haber</t>
  </si>
  <si>
    <t>acreedor</t>
  </si>
  <si>
    <t>activo</t>
  </si>
  <si>
    <t>pasivo</t>
  </si>
  <si>
    <t>ganancia</t>
  </si>
  <si>
    <t>perdida</t>
  </si>
  <si>
    <t>Libro Diario</t>
  </si>
  <si>
    <t>Correspondiente al 1 de enero al 31 de Diciembre</t>
  </si>
  <si>
    <t xml:space="preserve"> cifras en Quetzales</t>
  </si>
  <si>
    <t>p#1</t>
  </si>
  <si>
    <t>p#2</t>
  </si>
  <si>
    <t>p#3</t>
  </si>
  <si>
    <t>p#4</t>
  </si>
  <si>
    <t>p#5</t>
  </si>
  <si>
    <t>p#6</t>
  </si>
  <si>
    <t>p#7</t>
  </si>
  <si>
    <t>p#8</t>
  </si>
  <si>
    <t>p#9</t>
  </si>
  <si>
    <t>IVA por cobrar</t>
  </si>
  <si>
    <t>#10</t>
  </si>
  <si>
    <t>p#11</t>
  </si>
  <si>
    <t>costos de venta</t>
  </si>
  <si>
    <t>sumas iguales</t>
  </si>
  <si>
    <t>cajay bancos</t>
  </si>
  <si>
    <t>caja chica</t>
  </si>
  <si>
    <t>inmuebles</t>
  </si>
  <si>
    <t>equipo de computacion</t>
  </si>
  <si>
    <t>inmueble</t>
  </si>
  <si>
    <t>ajuste no1</t>
  </si>
  <si>
    <t>mts cuadrado</t>
  </si>
  <si>
    <t>depreciacion</t>
  </si>
  <si>
    <t>x</t>
  </si>
  <si>
    <t xml:space="preserve">mts cuadrados venta </t>
  </si>
  <si>
    <t>mts cuadrados  oficina</t>
  </si>
  <si>
    <t>ajuste no 2</t>
  </si>
  <si>
    <t>equipo de compurtaciom</t>
  </si>
  <si>
    <t xml:space="preserve">gasto de organización </t>
  </si>
  <si>
    <t xml:space="preserve">depreciacion gastos de organización </t>
  </si>
  <si>
    <t xml:space="preserve">depreciacion equipo de computacion </t>
  </si>
  <si>
    <t>depreciacion de edificios sala  de oficina</t>
  </si>
  <si>
    <t>depreciacion edificios sala de ventas</t>
  </si>
  <si>
    <t xml:space="preserve">  A depreciacion acumulada inmuebles </t>
  </si>
  <si>
    <t xml:space="preserve">      depresacion acumulada equipo de computacion</t>
  </si>
  <si>
    <t xml:space="preserve">       mortizacion acumulada gastos de organización</t>
  </si>
  <si>
    <t>ALMACEN las guacamayas .</t>
  </si>
  <si>
    <t xml:space="preserve">por calculos de drepreciaciones y amortizaciones al procentaje </t>
  </si>
  <si>
    <t>gastos generales</t>
  </si>
  <si>
    <t xml:space="preserve">    IVA retenido por pagar sobre factura especial </t>
  </si>
  <si>
    <t xml:space="preserve">    ISR retenido por pagar sobre facturas especiales </t>
  </si>
  <si>
    <t>por pago de extraccion de basuera factura especial factura no 019</t>
  </si>
  <si>
    <t>papeleria y utiles consumido</t>
  </si>
  <si>
    <t xml:space="preserve">  A papeleria y utiles </t>
  </si>
  <si>
    <t xml:space="preserve">por el consumo de papeleria y utiles hasta el dia de hoy </t>
  </si>
  <si>
    <t xml:space="preserve">GASTOS SDE ORGANIZACIÓN </t>
  </si>
  <si>
    <t xml:space="preserve">mercaderia </t>
  </si>
  <si>
    <t>cruz,cuenta capital</t>
  </si>
  <si>
    <t>rojas, cuenta capital</t>
  </si>
  <si>
    <t>compras</t>
  </si>
  <si>
    <t xml:space="preserve">clientes </t>
  </si>
  <si>
    <t>IVA(acreedor)</t>
  </si>
  <si>
    <t>sueldo sala de venta</t>
  </si>
  <si>
    <t>sueldo de oficina</t>
  </si>
  <si>
    <t xml:space="preserve">prestaciones laborales sala de venta </t>
  </si>
  <si>
    <t xml:space="preserve">prestaciones laborales de oficina </t>
  </si>
  <si>
    <t xml:space="preserve">papeleria y utiles </t>
  </si>
  <si>
    <t xml:space="preserve">publicicdad </t>
  </si>
  <si>
    <t>timbre de prensa</t>
  </si>
  <si>
    <t>donativo</t>
  </si>
  <si>
    <t>deudores varios</t>
  </si>
  <si>
    <t>ventas</t>
  </si>
  <si>
    <t xml:space="preserve">alquileres cobrados no ganados </t>
  </si>
  <si>
    <t xml:space="preserve">impuestos unico sobre inmuebles </t>
  </si>
  <si>
    <t>bonificacion insentivo sala de venta</t>
  </si>
  <si>
    <t xml:space="preserve">bonificacion insentivo de ofiina </t>
  </si>
  <si>
    <t>cuotas patronales sala de venta</t>
  </si>
  <si>
    <t>cuotas patronales de oficina</t>
  </si>
  <si>
    <t>proveedores</t>
  </si>
  <si>
    <t>hipotecas a lagor plazo</t>
  </si>
  <si>
    <t>devoluciones y rebajas s/compras</t>
  </si>
  <si>
    <t>devoluciones y rebajas s/ventas</t>
  </si>
  <si>
    <t>anticipos sobre venta</t>
  </si>
  <si>
    <t>intereses gastos</t>
  </si>
  <si>
    <t>IGSSpor pagar</t>
  </si>
  <si>
    <t>ISR por pagar sobre compras</t>
  </si>
  <si>
    <t xml:space="preserve">   </t>
  </si>
  <si>
    <t xml:space="preserve">   a   publicidad </t>
  </si>
  <si>
    <t>ajuste no 3</t>
  </si>
  <si>
    <t xml:space="preserve">   donativo </t>
  </si>
  <si>
    <t xml:space="preserve">        a banco </t>
  </si>
  <si>
    <t xml:space="preserve">      a alquileres cobrados </t>
  </si>
  <si>
    <t>+</t>
  </si>
  <si>
    <t>-</t>
  </si>
  <si>
    <t xml:space="preserve">interes gastos </t>
  </si>
  <si>
    <t xml:space="preserve">     a interes por pagar</t>
  </si>
  <si>
    <t>por calculo  de intereses del prente mes de 13.65%</t>
  </si>
  <si>
    <t xml:space="preserve">intereses </t>
  </si>
  <si>
    <t xml:space="preserve">publicidad </t>
  </si>
  <si>
    <t>31 de  septiembre</t>
  </si>
  <si>
    <t>31 de octubre</t>
  </si>
  <si>
    <t>31 de noviembre</t>
  </si>
  <si>
    <t xml:space="preserve">31 de diciembre </t>
  </si>
  <si>
    <t>31 de enero</t>
  </si>
  <si>
    <t>31 de febrero</t>
  </si>
  <si>
    <t xml:space="preserve">publicidad  pagada anticipada </t>
  </si>
  <si>
    <t>por el pago de anticipo de meses de publicidad</t>
  </si>
  <si>
    <t xml:space="preserve">ajuste no4 </t>
  </si>
  <si>
    <t xml:space="preserve">          A caja chica </t>
  </si>
  <si>
    <t xml:space="preserve">           aventas por realizar</t>
  </si>
  <si>
    <t xml:space="preserve">por envio de mercaderia a la empresa del oriente para venta de nuestro nombre </t>
  </si>
  <si>
    <t>envio de donativo al  los bomberos  voluntarios  no 23</t>
  </si>
  <si>
    <t>ajuste no 4</t>
  </si>
  <si>
    <t xml:space="preserve">se cobraron el 1 de octubre </t>
  </si>
  <si>
    <t>c/u</t>
  </si>
  <si>
    <t xml:space="preserve">alquieres cobrados no ganados </t>
  </si>
  <si>
    <t xml:space="preserve">meses </t>
  </si>
  <si>
    <t>31-nove</t>
  </si>
  <si>
    <t>31-febe</t>
  </si>
  <si>
    <t xml:space="preserve">alquilers ya ganados </t>
  </si>
  <si>
    <t xml:space="preserve">por el servicio de 3 meses de aquiler ya ganado </t>
  </si>
  <si>
    <t>iusi</t>
  </si>
  <si>
    <t xml:space="preserve">IUSI ventas </t>
  </si>
  <si>
    <t xml:space="preserve">IUSI oficina </t>
  </si>
  <si>
    <t xml:space="preserve">IUSI VENTAS </t>
  </si>
  <si>
    <t xml:space="preserve">IUSI OFICINA </t>
  </si>
  <si>
    <t xml:space="preserve">    A IMPUESTO UNICIO SOBRE INMUEBLES </t>
  </si>
  <si>
    <t xml:space="preserve">por distribucion de IUSI según los metros cuadrados que mide el edificio </t>
  </si>
  <si>
    <t>hipotecas a largo plazo</t>
  </si>
  <si>
    <t xml:space="preserve"> a himpotecas a corto plazo</t>
  </si>
  <si>
    <t xml:space="preserve">hipotecas a corto plazo </t>
  </si>
  <si>
    <t>costo de venta</t>
  </si>
  <si>
    <t xml:space="preserve">ganancia ante el impuesto de ventsa </t>
  </si>
  <si>
    <t>calculo de ISR</t>
  </si>
  <si>
    <t>ganancia ante del impuesto de reserva</t>
  </si>
  <si>
    <t>isr pagar (25%)</t>
  </si>
  <si>
    <t>reserva legal</t>
  </si>
  <si>
    <t xml:space="preserve">ganancia despues de reserva </t>
  </si>
  <si>
    <t>mercaderia enviada en consideracion</t>
  </si>
  <si>
    <t>ISR trimestral por acreditar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</si>
</sst>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Q&quot;* #,##0.00_);_(&quot;Q&quot;* \(#,##0.00\);_(&quot;Q&quot;* &quot;-&quot;??_);_(@_)"/>
    <numFmt numFmtId="164" formatCode="_-&quot;Q&quot;* #,##0.00_-;\-&quot;Q&quot;* #,##0.00_-;_-&quot;Q&quot;* &quot;-&quot;??_-;_-@_-"/>
    <numFmt numFmtId="165" formatCode="[$-F800]dddd\,\ mmmm\ dd\,\ 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Rockwell Extra Bold"/>
      <family val="1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0" fillId="0" borderId="1" xfId="0" applyBorder="1"/>
    <xf numFmtId="44" fontId="0" fillId="0" borderId="1" xfId="0" applyNumberFormat="1" applyBorder="1"/>
    <xf numFmtId="44" fontId="0" fillId="0" borderId="0" xfId="0" applyNumberFormat="1"/>
    <xf numFmtId="44" fontId="0" fillId="0" borderId="3" xfId="0" applyNumberFormat="1" applyBorder="1"/>
    <xf numFmtId="44" fontId="0" fillId="0" borderId="4" xfId="0" applyNumberFormat="1" applyBorder="1"/>
    <xf numFmtId="0" fontId="0" fillId="0" borderId="3" xfId="0" applyBorder="1"/>
    <xf numFmtId="16" fontId="0" fillId="0" borderId="0" xfId="0" applyNumberFormat="1"/>
    <xf numFmtId="0" fontId="0" fillId="0" borderId="0" xfId="0" applyNumberFormat="1"/>
    <xf numFmtId="44" fontId="0" fillId="0" borderId="5" xfId="0" applyNumberFormat="1" applyBorder="1"/>
    <xf numFmtId="0" fontId="0" fillId="0" borderId="2" xfId="0" applyBorder="1"/>
    <xf numFmtId="44" fontId="0" fillId="0" borderId="0" xfId="0" applyNumberFormat="1" applyBorder="1"/>
    <xf numFmtId="44" fontId="0" fillId="0" borderId="8" xfId="0" applyNumberFormat="1" applyBorder="1"/>
    <xf numFmtId="0" fontId="2" fillId="0" borderId="0" xfId="0" applyFont="1"/>
    <xf numFmtId="44" fontId="0" fillId="0" borderId="9" xfId="0" applyNumberFormat="1" applyBorder="1"/>
    <xf numFmtId="44" fontId="0" fillId="0" borderId="0" xfId="1" applyFont="1"/>
    <xf numFmtId="44" fontId="3" fillId="0" borderId="0" xfId="0" applyNumberFormat="1" applyFont="1" applyBorder="1"/>
    <xf numFmtId="0" fontId="0" fillId="0" borderId="0" xfId="0" applyFill="1"/>
    <xf numFmtId="164" fontId="0" fillId="0" borderId="1" xfId="0" applyNumberFormat="1" applyBorder="1"/>
    <xf numFmtId="164" fontId="0" fillId="0" borderId="1" xfId="1" applyNumberFormat="1" applyFont="1" applyBorder="1"/>
    <xf numFmtId="164" fontId="0" fillId="0" borderId="0" xfId="0" applyNumberFormat="1"/>
    <xf numFmtId="164" fontId="0" fillId="0" borderId="9" xfId="0" applyNumberFormat="1" applyBorder="1"/>
    <xf numFmtId="44" fontId="0" fillId="0" borderId="10" xfId="0" applyNumberFormat="1" applyBorder="1"/>
    <xf numFmtId="0" fontId="0" fillId="0" borderId="0" xfId="0" applyBorder="1"/>
    <xf numFmtId="14" fontId="0" fillId="0" borderId="0" xfId="0" applyNumberFormat="1" applyFill="1" applyAlignment="1">
      <alignment horizontal="left"/>
    </xf>
    <xf numFmtId="14" fontId="0" fillId="0" borderId="1" xfId="0" applyNumberFormat="1" applyFill="1" applyBorder="1" applyAlignment="1">
      <alignment horizontal="left"/>
    </xf>
    <xf numFmtId="0" fontId="0" fillId="0" borderId="1" xfId="0" applyFill="1" applyBorder="1"/>
    <xf numFmtId="44" fontId="0" fillId="0" borderId="12" xfId="0" applyNumberFormat="1" applyBorder="1"/>
    <xf numFmtId="44" fontId="0" fillId="0" borderId="13" xfId="0" applyNumberFormat="1" applyBorder="1"/>
    <xf numFmtId="44" fontId="0" fillId="0" borderId="14" xfId="0" applyNumberFormat="1" applyBorder="1"/>
    <xf numFmtId="9" fontId="0" fillId="0" borderId="0" xfId="0" applyNumberFormat="1" applyBorder="1"/>
    <xf numFmtId="44" fontId="0" fillId="0" borderId="15" xfId="0" applyNumberFormat="1" applyBorder="1"/>
    <xf numFmtId="0" fontId="0" fillId="0" borderId="0" xfId="0" applyNumberFormat="1" applyBorder="1"/>
    <xf numFmtId="16" fontId="0" fillId="0" borderId="0" xfId="0" applyNumberFormat="1" applyBorder="1"/>
    <xf numFmtId="16" fontId="0" fillId="0" borderId="15" xfId="0" applyNumberFormat="1" applyBorder="1"/>
    <xf numFmtId="10" fontId="0" fillId="0" borderId="0" xfId="0" applyNumberFormat="1" applyBorder="1"/>
    <xf numFmtId="44" fontId="4" fillId="0" borderId="0" xfId="0" applyNumberFormat="1" applyFont="1" applyBorder="1"/>
    <xf numFmtId="44" fontId="0" fillId="0" borderId="16" xfId="0" applyNumberFormat="1" applyBorder="1"/>
    <xf numFmtId="44" fontId="0" fillId="0" borderId="17" xfId="0" applyNumberFormat="1" applyBorder="1"/>
    <xf numFmtId="44" fontId="4" fillId="0" borderId="17" xfId="0" applyNumberFormat="1" applyFont="1" applyBorder="1"/>
    <xf numFmtId="44" fontId="0" fillId="0" borderId="18" xfId="0" applyNumberFormat="1" applyBorder="1"/>
    <xf numFmtId="10" fontId="0" fillId="0" borderId="12" xfId="0" applyNumberFormat="1" applyBorder="1"/>
    <xf numFmtId="164" fontId="0" fillId="0" borderId="19" xfId="0" applyNumberFormat="1" applyFont="1" applyFill="1" applyBorder="1"/>
    <xf numFmtId="164" fontId="0" fillId="0" borderId="0" xfId="0" applyNumberFormat="1" applyBorder="1"/>
    <xf numFmtId="164" fontId="0" fillId="0" borderId="15" xfId="0" applyNumberFormat="1" applyBorder="1"/>
    <xf numFmtId="164" fontId="0" fillId="0" borderId="14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4" fillId="0" borderId="0" xfId="0" applyNumberFormat="1" applyFont="1" applyBorder="1"/>
    <xf numFmtId="164" fontId="6" fillId="0" borderId="14" xfId="0" applyNumberFormat="1" applyFont="1" applyBorder="1"/>
    <xf numFmtId="164" fontId="6" fillId="0" borderId="0" xfId="0" applyNumberFormat="1" applyFont="1" applyBorder="1"/>
    <xf numFmtId="164" fontId="4" fillId="0" borderId="16" xfId="0" applyNumberFormat="1" applyFont="1" applyBorder="1"/>
    <xf numFmtId="164" fontId="6" fillId="0" borderId="0" xfId="0" applyNumberFormat="1" applyFont="1" applyFill="1"/>
    <xf numFmtId="164" fontId="7" fillId="0" borderId="14" xfId="0" applyNumberFormat="1" applyFont="1" applyBorder="1"/>
    <xf numFmtId="16" fontId="7" fillId="0" borderId="14" xfId="0" applyNumberFormat="1" applyFont="1" applyBorder="1"/>
    <xf numFmtId="165" fontId="0" fillId="0" borderId="0" xfId="0" applyNumberFormat="1" applyBorder="1"/>
    <xf numFmtId="0" fontId="0" fillId="0" borderId="15" xfId="0" applyNumberFormat="1" applyBorder="1"/>
    <xf numFmtId="164" fontId="4" fillId="0" borderId="17" xfId="0" applyNumberFormat="1" applyFont="1" applyBorder="1"/>
    <xf numFmtId="44" fontId="0" fillId="0" borderId="20" xfId="0" applyNumberFormat="1" applyBorder="1"/>
    <xf numFmtId="44" fontId="0" fillId="0" borderId="21" xfId="0" applyNumberFormat="1" applyBorder="1"/>
    <xf numFmtId="0" fontId="0" fillId="0" borderId="14" xfId="0" applyBorder="1"/>
    <xf numFmtId="0" fontId="0" fillId="0" borderId="15" xfId="0" applyBorder="1"/>
    <xf numFmtId="44" fontId="0" fillId="0" borderId="6" xfId="0" applyNumberFormat="1" applyBorder="1"/>
    <xf numFmtId="44" fontId="0" fillId="0" borderId="7" xfId="0" applyNumberFormat="1" applyBorder="1"/>
    <xf numFmtId="44" fontId="0" fillId="0" borderId="22" xfId="0" applyNumberFormat="1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0" xfId="0" applyFont="1" applyAlignment="1">
      <alignment horizontal="center"/>
    </xf>
    <xf numFmtId="164" fontId="0" fillId="0" borderId="7" xfId="0" applyNumberFormat="1" applyBorder="1"/>
    <xf numFmtId="0" fontId="0" fillId="2" borderId="0" xfId="0" applyFill="1"/>
    <xf numFmtId="14" fontId="0" fillId="2" borderId="0" xfId="0" applyNumberFormat="1" applyFill="1" applyAlignment="1">
      <alignment horizontal="center"/>
    </xf>
    <xf numFmtId="14" fontId="0" fillId="2" borderId="0" xfId="0" applyNumberFormat="1" applyFont="1" applyFill="1" applyAlignment="1">
      <alignment horizontal="center"/>
    </xf>
    <xf numFmtId="44" fontId="0" fillId="2" borderId="11" xfId="0" applyNumberFormat="1" applyFill="1" applyBorder="1"/>
    <xf numFmtId="164" fontId="0" fillId="2" borderId="11" xfId="0" applyNumberFormat="1" applyFill="1" applyBorder="1"/>
    <xf numFmtId="164" fontId="6" fillId="2" borderId="11" xfId="0" applyNumberFormat="1" applyFont="1" applyFill="1" applyBorder="1"/>
    <xf numFmtId="164" fontId="3" fillId="2" borderId="11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P90"/>
  <sheetViews>
    <sheetView topLeftCell="A4" zoomScale="84" zoomScaleNormal="84" workbookViewId="0">
      <pane xSplit="2" ySplit="4" topLeftCell="G26" activePane="bottomRight" state="frozen"/>
      <selection activeCell="A4" sqref="A4"/>
      <selection pane="topRight" activeCell="C4" sqref="C4"/>
      <selection pane="bottomLeft" activeCell="A8" sqref="A8"/>
      <selection pane="bottomRight" activeCell="K49" sqref="K49:K50"/>
    </sheetView>
  </sheetViews>
  <sheetFormatPr baseColWidth="10" defaultRowHeight="15" x14ac:dyDescent="0.25"/>
  <cols>
    <col min="1" max="1" width="4.140625" bestFit="1" customWidth="1"/>
    <col min="2" max="2" width="66.85546875" customWidth="1"/>
    <col min="3" max="3" width="19.42578125" customWidth="1"/>
    <col min="4" max="4" width="19.85546875" customWidth="1"/>
    <col min="5" max="5" width="18.28515625" customWidth="1"/>
    <col min="6" max="6" width="15.42578125" customWidth="1"/>
    <col min="7" max="7" width="18.85546875" customWidth="1"/>
    <col min="8" max="8" width="14.5703125" bestFit="1" customWidth="1"/>
    <col min="9" max="9" width="16.85546875" customWidth="1"/>
    <col min="10" max="10" width="17.140625" customWidth="1"/>
    <col min="11" max="11" width="17.85546875" customWidth="1"/>
    <col min="12" max="12" width="16.7109375" customWidth="1"/>
    <col min="13" max="13" width="15" bestFit="1" customWidth="1"/>
    <col min="14" max="14" width="17.28515625" customWidth="1"/>
  </cols>
  <sheetData>
    <row r="5" spans="1:14" x14ac:dyDescent="0.25">
      <c r="C5" t="s">
        <v>99</v>
      </c>
      <c r="D5" t="s">
        <v>100</v>
      </c>
      <c r="E5" t="s">
        <v>99</v>
      </c>
      <c r="F5" t="s">
        <v>100</v>
      </c>
    </row>
    <row r="6" spans="1:14" x14ac:dyDescent="0.25">
      <c r="A6" s="1" t="s">
        <v>0</v>
      </c>
      <c r="B6" s="1" t="s">
        <v>1</v>
      </c>
      <c r="C6" s="68" t="s">
        <v>2</v>
      </c>
      <c r="D6" s="68"/>
      <c r="E6" s="68" t="s">
        <v>3</v>
      </c>
      <c r="F6" s="68"/>
      <c r="G6" s="68" t="s">
        <v>6</v>
      </c>
      <c r="H6" s="68"/>
      <c r="I6" s="69" t="s">
        <v>30</v>
      </c>
      <c r="J6" s="70"/>
      <c r="K6" s="68" t="s">
        <v>4</v>
      </c>
      <c r="L6" s="68"/>
      <c r="M6" s="68" t="s">
        <v>5</v>
      </c>
      <c r="N6" s="68"/>
    </row>
    <row r="7" spans="1:14" x14ac:dyDescent="0.25">
      <c r="A7" s="1"/>
      <c r="B7" s="1"/>
      <c r="C7" s="18" t="s">
        <v>7</v>
      </c>
      <c r="D7" s="18" t="s">
        <v>10</v>
      </c>
      <c r="E7" s="18" t="s">
        <v>8</v>
      </c>
      <c r="F7" s="18" t="s">
        <v>9</v>
      </c>
      <c r="G7" s="18" t="s">
        <v>7</v>
      </c>
      <c r="H7" s="18" t="s">
        <v>10</v>
      </c>
      <c r="I7" s="18" t="s">
        <v>8</v>
      </c>
      <c r="J7" s="18" t="s">
        <v>9</v>
      </c>
      <c r="K7" s="18" t="s">
        <v>14</v>
      </c>
      <c r="L7" s="18" t="s">
        <v>13</v>
      </c>
      <c r="M7" s="18" t="s">
        <v>11</v>
      </c>
      <c r="N7" s="18" t="s">
        <v>12</v>
      </c>
    </row>
    <row r="8" spans="1:14" x14ac:dyDescent="0.25">
      <c r="A8" s="1">
        <v>1</v>
      </c>
      <c r="B8" s="1" t="s">
        <v>32</v>
      </c>
      <c r="C8" s="18">
        <v>143625.5</v>
      </c>
      <c r="D8" s="18"/>
      <c r="F8" s="18">
        <f>+ajustes!D17+E26</f>
        <v>2076</v>
      </c>
      <c r="G8" s="18">
        <f>+C8-F8</f>
        <v>141549.5</v>
      </c>
      <c r="H8" s="18"/>
      <c r="I8" s="18"/>
      <c r="J8" s="18"/>
      <c r="K8" s="18"/>
      <c r="L8" s="18"/>
      <c r="M8" s="18">
        <f>+G8</f>
        <v>141549.5</v>
      </c>
      <c r="N8" s="18"/>
    </row>
    <row r="9" spans="1:14" x14ac:dyDescent="0.25">
      <c r="A9" s="1">
        <v>2</v>
      </c>
      <c r="B9" s="1" t="s">
        <v>33</v>
      </c>
      <c r="C9" s="18">
        <v>1000</v>
      </c>
      <c r="D9" s="18"/>
      <c r="E9" s="18"/>
      <c r="F9" s="18"/>
      <c r="G9" s="18">
        <f>+C9</f>
        <v>1000</v>
      </c>
      <c r="H9" s="18"/>
      <c r="I9" s="18"/>
      <c r="J9" s="18"/>
      <c r="K9" s="18"/>
      <c r="L9" s="18"/>
      <c r="M9" s="18">
        <f>+G9</f>
        <v>1000</v>
      </c>
      <c r="N9" s="18"/>
    </row>
    <row r="10" spans="1:14" x14ac:dyDescent="0.25">
      <c r="A10" s="1">
        <v>3</v>
      </c>
      <c r="B10" s="1" t="s">
        <v>34</v>
      </c>
      <c r="C10" s="18">
        <v>580000</v>
      </c>
      <c r="D10" s="18"/>
      <c r="E10" s="18"/>
      <c r="F10" s="18"/>
      <c r="G10" s="18">
        <f>+C10</f>
        <v>580000</v>
      </c>
      <c r="H10" s="18"/>
      <c r="I10" s="18"/>
      <c r="J10" s="18"/>
      <c r="K10" s="18"/>
      <c r="L10" s="18"/>
      <c r="M10" s="18">
        <f>+G10</f>
        <v>580000</v>
      </c>
      <c r="N10" s="18"/>
    </row>
    <row r="11" spans="1:14" x14ac:dyDescent="0.25">
      <c r="A11" s="1">
        <v>4</v>
      </c>
      <c r="B11" s="1" t="s">
        <v>35</v>
      </c>
      <c r="C11" s="18">
        <v>35460</v>
      </c>
      <c r="D11" s="18"/>
      <c r="E11" s="18"/>
      <c r="F11" s="18"/>
      <c r="G11" s="18">
        <f>+C11</f>
        <v>35460</v>
      </c>
      <c r="H11" s="18"/>
      <c r="I11" s="18"/>
      <c r="J11" s="18"/>
      <c r="K11" s="18"/>
      <c r="L11" s="18"/>
      <c r="M11" s="18">
        <f>+G11</f>
        <v>35460</v>
      </c>
      <c r="N11" s="18"/>
    </row>
    <row r="12" spans="1:14" x14ac:dyDescent="0.25">
      <c r="A12" s="1">
        <v>5</v>
      </c>
      <c r="B12" s="1" t="s">
        <v>62</v>
      </c>
      <c r="C12" s="19">
        <v>17000</v>
      </c>
      <c r="D12" s="18"/>
      <c r="E12" s="18"/>
      <c r="F12" s="18"/>
      <c r="G12" s="18">
        <f>+C12</f>
        <v>17000</v>
      </c>
      <c r="H12" s="18"/>
      <c r="I12" s="18"/>
      <c r="J12" s="18"/>
      <c r="K12" s="18"/>
      <c r="L12" s="18"/>
      <c r="M12" s="18">
        <f>+G12</f>
        <v>17000</v>
      </c>
      <c r="N12" s="18"/>
    </row>
    <row r="13" spans="1:14" x14ac:dyDescent="0.25">
      <c r="A13" s="1">
        <v>6</v>
      </c>
      <c r="B13" s="1" t="s">
        <v>63</v>
      </c>
      <c r="C13" s="19">
        <v>97000</v>
      </c>
      <c r="D13" s="18"/>
      <c r="E13" s="18"/>
      <c r="F13" s="18"/>
      <c r="G13" s="18">
        <f>+C13</f>
        <v>97000</v>
      </c>
      <c r="H13" s="18"/>
      <c r="I13" s="18">
        <f>+G13</f>
        <v>97000</v>
      </c>
      <c r="J13" s="18">
        <v>86000</v>
      </c>
      <c r="K13" s="18"/>
      <c r="L13" s="18"/>
      <c r="M13" s="18">
        <f>+J13</f>
        <v>86000</v>
      </c>
      <c r="N13" s="18"/>
    </row>
    <row r="14" spans="1:14" x14ac:dyDescent="0.25">
      <c r="A14" s="1">
        <v>7</v>
      </c>
      <c r="B14" s="1" t="s">
        <v>64</v>
      </c>
      <c r="C14" s="20"/>
      <c r="D14" s="18">
        <f>200000*60%</f>
        <v>120000</v>
      </c>
      <c r="E14" s="18"/>
      <c r="F14" s="18"/>
      <c r="G14" s="18"/>
      <c r="H14" s="18">
        <f>+D14</f>
        <v>120000</v>
      </c>
      <c r="I14" s="18"/>
      <c r="K14" s="18"/>
      <c r="L14" s="18"/>
      <c r="M14" s="20"/>
      <c r="N14" s="18">
        <f>+H14</f>
        <v>120000</v>
      </c>
    </row>
    <row r="15" spans="1:14" x14ac:dyDescent="0.25">
      <c r="A15" s="1">
        <v>8</v>
      </c>
      <c r="B15" s="1" t="s">
        <v>65</v>
      </c>
      <c r="C15" s="19"/>
      <c r="D15" s="18">
        <f>200000*40%</f>
        <v>80000</v>
      </c>
      <c r="E15" s="18"/>
      <c r="F15" s="18"/>
      <c r="G15" s="18"/>
      <c r="H15" s="18">
        <f>+D15</f>
        <v>80000</v>
      </c>
      <c r="I15" s="18"/>
      <c r="J15" s="18"/>
      <c r="K15" s="18"/>
      <c r="L15" s="18"/>
      <c r="M15" s="18"/>
      <c r="N15" s="18">
        <f>+H15</f>
        <v>80000</v>
      </c>
    </row>
    <row r="16" spans="1:14" x14ac:dyDescent="0.25">
      <c r="A16" s="1">
        <v>9</v>
      </c>
      <c r="B16" s="1" t="s">
        <v>66</v>
      </c>
      <c r="C16" s="19">
        <v>104200</v>
      </c>
      <c r="D16" s="18"/>
      <c r="E16" s="18"/>
      <c r="F16" s="18"/>
      <c r="G16" s="18">
        <f>+C16</f>
        <v>104200</v>
      </c>
      <c r="H16" s="18"/>
      <c r="I16" s="18">
        <f>+G16</f>
        <v>104200</v>
      </c>
      <c r="K16" s="18"/>
      <c r="L16" s="18"/>
      <c r="M16" s="18"/>
      <c r="N16" s="18"/>
    </row>
    <row r="17" spans="1:14" x14ac:dyDescent="0.25">
      <c r="A17" s="1">
        <v>10</v>
      </c>
      <c r="B17" s="1" t="s">
        <v>67</v>
      </c>
      <c r="C17" s="18">
        <v>43000</v>
      </c>
      <c r="D17" s="18"/>
      <c r="E17" s="18"/>
      <c r="F17" s="18"/>
      <c r="G17" s="18">
        <f>+C17</f>
        <v>43000</v>
      </c>
      <c r="H17" s="18"/>
      <c r="I17" s="18"/>
      <c r="J17" s="18"/>
      <c r="K17" s="18"/>
      <c r="L17" s="18"/>
      <c r="M17" s="18">
        <f>+G17</f>
        <v>43000</v>
      </c>
      <c r="N17" s="18"/>
    </row>
    <row r="18" spans="1:14" x14ac:dyDescent="0.25">
      <c r="A18" s="1">
        <v>11</v>
      </c>
      <c r="B18" s="1" t="s">
        <v>68</v>
      </c>
      <c r="D18" s="18">
        <v>4200</v>
      </c>
      <c r="E18" s="18"/>
      <c r="F18" s="18"/>
      <c r="G18" s="18"/>
      <c r="H18" s="18">
        <f>+D18</f>
        <v>4200</v>
      </c>
      <c r="I18" s="18"/>
      <c r="J18" s="18"/>
      <c r="K18" s="18"/>
      <c r="L18" s="18"/>
      <c r="N18" s="18">
        <f>+H18</f>
        <v>4200</v>
      </c>
    </row>
    <row r="19" spans="1:14" x14ac:dyDescent="0.25">
      <c r="A19" s="1">
        <v>12</v>
      </c>
      <c r="B19" s="1" t="s">
        <v>69</v>
      </c>
      <c r="C19" s="18">
        <v>68000</v>
      </c>
      <c r="D19" s="18"/>
      <c r="E19" s="18"/>
      <c r="F19" s="18"/>
      <c r="G19" s="18">
        <f>+C19</f>
        <v>68000</v>
      </c>
      <c r="H19" s="18"/>
      <c r="I19" s="18"/>
      <c r="J19" s="18"/>
      <c r="K19" s="18">
        <f>+G19</f>
        <v>68000</v>
      </c>
      <c r="L19" s="18"/>
      <c r="M19" s="18"/>
      <c r="N19" s="18"/>
    </row>
    <row r="20" spans="1:14" x14ac:dyDescent="0.25">
      <c r="A20" s="1">
        <v>13</v>
      </c>
      <c r="B20" s="1" t="s">
        <v>70</v>
      </c>
      <c r="C20" s="18">
        <v>81000</v>
      </c>
      <c r="D20" s="18"/>
      <c r="E20" s="18"/>
      <c r="F20" s="18"/>
      <c r="G20" s="18">
        <f>+C20</f>
        <v>81000</v>
      </c>
      <c r="H20" s="18"/>
      <c r="I20" s="18"/>
      <c r="J20" s="18"/>
      <c r="K20" s="18">
        <f>+G20</f>
        <v>81000</v>
      </c>
      <c r="L20" s="18"/>
      <c r="M20" s="18"/>
      <c r="N20" s="18"/>
    </row>
    <row r="21" spans="1:14" x14ac:dyDescent="0.25">
      <c r="A21" s="1">
        <v>14</v>
      </c>
      <c r="B21" s="1" t="s">
        <v>71</v>
      </c>
      <c r="C21" s="18">
        <v>7366.67</v>
      </c>
      <c r="E21" s="18"/>
      <c r="F21" s="18"/>
      <c r="G21" s="18">
        <f>+C21</f>
        <v>7366.67</v>
      </c>
      <c r="H21" s="18"/>
      <c r="I21" s="18"/>
      <c r="J21" s="18"/>
      <c r="K21" s="18">
        <f>+G21</f>
        <v>7366.67</v>
      </c>
      <c r="L21" s="18"/>
      <c r="M21" s="18"/>
      <c r="N21" s="18"/>
    </row>
    <row r="22" spans="1:14" x14ac:dyDescent="0.25">
      <c r="A22" s="1">
        <v>15</v>
      </c>
      <c r="B22" s="1" t="s">
        <v>72</v>
      </c>
      <c r="C22" s="18">
        <v>8775</v>
      </c>
      <c r="D22" s="18"/>
      <c r="E22" s="18"/>
      <c r="F22" s="18"/>
      <c r="G22" s="18">
        <f>+C22</f>
        <v>8775</v>
      </c>
      <c r="H22" s="18"/>
      <c r="I22" s="18"/>
      <c r="J22" s="18"/>
      <c r="K22" s="18">
        <f>+G22</f>
        <v>8775</v>
      </c>
      <c r="L22" s="18"/>
      <c r="M22" s="18"/>
      <c r="N22" s="18"/>
    </row>
    <row r="23" spans="1:14" x14ac:dyDescent="0.25">
      <c r="A23" s="1">
        <v>16</v>
      </c>
      <c r="B23" s="1" t="s">
        <v>73</v>
      </c>
      <c r="C23" s="18">
        <v>4200</v>
      </c>
      <c r="D23" s="18"/>
      <c r="F23" s="18">
        <f>+ajustes!D23</f>
        <v>3100</v>
      </c>
      <c r="G23" s="18">
        <f>+C23-F23</f>
        <v>1100</v>
      </c>
      <c r="H23" s="18"/>
      <c r="I23" s="18"/>
      <c r="J23" s="18"/>
      <c r="K23" s="18"/>
      <c r="L23" s="18"/>
      <c r="M23" s="20">
        <f>+G23</f>
        <v>1100</v>
      </c>
      <c r="N23" s="18"/>
    </row>
    <row r="24" spans="1:14" x14ac:dyDescent="0.25">
      <c r="A24" s="1">
        <v>17</v>
      </c>
      <c r="B24" s="1" t="s">
        <v>74</v>
      </c>
      <c r="C24" s="18">
        <v>25200</v>
      </c>
      <c r="D24" s="18"/>
      <c r="E24" s="18"/>
      <c r="F24" s="18">
        <f>+ajustes!D31</f>
        <v>8400</v>
      </c>
      <c r="G24" s="20">
        <f>+C24-F24</f>
        <v>16800</v>
      </c>
      <c r="H24" s="18"/>
      <c r="I24" s="18"/>
      <c r="J24" s="18"/>
      <c r="K24" s="18">
        <f>+G24</f>
        <v>16800</v>
      </c>
      <c r="L24" s="18"/>
      <c r="M24" s="18"/>
      <c r="N24" s="18"/>
    </row>
    <row r="25" spans="1:14" x14ac:dyDescent="0.25">
      <c r="A25" s="1">
        <v>18</v>
      </c>
      <c r="B25" s="1" t="s">
        <v>75</v>
      </c>
      <c r="C25" s="18">
        <v>126</v>
      </c>
      <c r="E25" s="18"/>
      <c r="F25" s="18"/>
      <c r="G25" s="18">
        <f>+C25</f>
        <v>126</v>
      </c>
      <c r="H25" s="18"/>
      <c r="I25" s="18"/>
      <c r="J25" s="18"/>
      <c r="K25" s="18">
        <f>+G25</f>
        <v>126</v>
      </c>
      <c r="L25" s="18"/>
      <c r="M25" s="18"/>
      <c r="N25" s="18"/>
    </row>
    <row r="26" spans="1:14" x14ac:dyDescent="0.25">
      <c r="A26" s="1">
        <v>19</v>
      </c>
      <c r="B26" s="1" t="s">
        <v>76</v>
      </c>
      <c r="C26" s="18">
        <v>2000</v>
      </c>
      <c r="D26" s="18"/>
      <c r="E26" s="18">
        <f>+ajustes!C38</f>
        <v>2000</v>
      </c>
      <c r="F26" s="18"/>
      <c r="G26" s="18">
        <f>+C26+E26</f>
        <v>4000</v>
      </c>
      <c r="H26" s="18"/>
      <c r="I26" s="18"/>
      <c r="J26" s="18"/>
      <c r="K26" s="18">
        <f>+G26</f>
        <v>4000</v>
      </c>
      <c r="L26" s="18"/>
      <c r="M26" s="18"/>
      <c r="N26" s="18"/>
    </row>
    <row r="27" spans="1:14" x14ac:dyDescent="0.25">
      <c r="A27" s="1">
        <v>20</v>
      </c>
      <c r="B27" s="1" t="s">
        <v>77</v>
      </c>
      <c r="C27" s="18">
        <v>2400</v>
      </c>
      <c r="D27" s="18"/>
      <c r="E27" s="18"/>
      <c r="F27" s="18"/>
      <c r="G27" s="18">
        <f>+C27</f>
        <v>2400</v>
      </c>
      <c r="H27" s="18"/>
      <c r="I27" s="18"/>
      <c r="J27" s="18"/>
      <c r="K27" s="18"/>
      <c r="L27" s="18"/>
      <c r="M27" s="18">
        <f>+G27</f>
        <v>2400</v>
      </c>
      <c r="N27" s="1"/>
    </row>
    <row r="28" spans="1:14" x14ac:dyDescent="0.25">
      <c r="A28" s="1">
        <v>21</v>
      </c>
      <c r="B28" s="1" t="s">
        <v>78</v>
      </c>
      <c r="D28" s="18">
        <v>915667.27</v>
      </c>
      <c r="E28" s="18"/>
      <c r="F28" s="18"/>
      <c r="H28" s="18">
        <f>+D28</f>
        <v>915667.27</v>
      </c>
      <c r="I28" s="18"/>
      <c r="J28" s="18"/>
      <c r="K28" s="18"/>
      <c r="L28" s="18">
        <f>+H28</f>
        <v>915667.27</v>
      </c>
      <c r="M28" s="18"/>
      <c r="N28" s="18"/>
    </row>
    <row r="29" spans="1:14" x14ac:dyDescent="0.25">
      <c r="A29" s="1">
        <v>22</v>
      </c>
      <c r="B29" s="1" t="s">
        <v>80</v>
      </c>
      <c r="C29" s="18">
        <v>4350</v>
      </c>
      <c r="E29" s="18"/>
      <c r="F29" s="18">
        <f>+ajustes!D48</f>
        <v>4350</v>
      </c>
      <c r="G29" s="18">
        <f>+C29-F29</f>
        <v>0</v>
      </c>
      <c r="H29" s="18"/>
      <c r="I29" s="18"/>
      <c r="J29" s="18"/>
      <c r="K29" s="18">
        <f>+G29</f>
        <v>0</v>
      </c>
      <c r="L29" s="18"/>
      <c r="M29" s="18"/>
      <c r="N29" s="18"/>
    </row>
    <row r="30" spans="1:14" x14ac:dyDescent="0.25">
      <c r="A30" s="1">
        <v>23</v>
      </c>
      <c r="B30" s="1" t="s">
        <v>79</v>
      </c>
      <c r="C30" s="18"/>
      <c r="D30" s="18">
        <v>12000</v>
      </c>
      <c r="E30" s="18">
        <f>+ajustes!C42</f>
        <v>7200</v>
      </c>
      <c r="G30" s="18"/>
      <c r="H30" s="18">
        <f>+D30-E30</f>
        <v>4800</v>
      </c>
      <c r="I30" s="18"/>
      <c r="J30" s="18"/>
      <c r="L30" s="18"/>
      <c r="M30" s="1"/>
      <c r="N30" s="18">
        <f>+H30</f>
        <v>4800</v>
      </c>
    </row>
    <row r="31" spans="1:14" x14ac:dyDescent="0.25">
      <c r="A31" s="1">
        <v>24</v>
      </c>
      <c r="B31" s="1" t="s">
        <v>81</v>
      </c>
      <c r="C31" s="18">
        <v>12500</v>
      </c>
      <c r="D31" s="18"/>
      <c r="E31" s="18"/>
      <c r="F31" s="18"/>
      <c r="G31" s="18">
        <f>+C31</f>
        <v>12500</v>
      </c>
      <c r="H31" s="18"/>
      <c r="I31" s="18"/>
      <c r="J31" s="18"/>
      <c r="K31" s="18">
        <f>+G31</f>
        <v>12500</v>
      </c>
      <c r="L31" s="20"/>
      <c r="M31" s="18"/>
      <c r="N31" s="18"/>
    </row>
    <row r="32" spans="1:14" x14ac:dyDescent="0.25">
      <c r="A32" s="1">
        <v>25</v>
      </c>
      <c r="B32" s="1" t="s">
        <v>82</v>
      </c>
      <c r="C32" s="18">
        <v>15000</v>
      </c>
      <c r="E32" s="18"/>
      <c r="F32" s="18"/>
      <c r="G32" s="18">
        <f>+C32</f>
        <v>15000</v>
      </c>
      <c r="H32" s="18"/>
      <c r="I32" s="18"/>
      <c r="J32" s="18"/>
      <c r="K32" s="18">
        <f>+G32</f>
        <v>15000</v>
      </c>
      <c r="L32" s="18"/>
      <c r="M32" s="18"/>
      <c r="N32" s="18"/>
    </row>
    <row r="33" spans="1:14" x14ac:dyDescent="0.25">
      <c r="A33" s="1">
        <v>26</v>
      </c>
      <c r="B33" s="1" t="s">
        <v>83</v>
      </c>
      <c r="C33" s="18">
        <v>8615.6</v>
      </c>
      <c r="D33" s="18"/>
      <c r="E33" s="18"/>
      <c r="F33" s="18"/>
      <c r="G33" s="18">
        <f>+C33</f>
        <v>8615.6</v>
      </c>
      <c r="H33" s="18"/>
      <c r="I33" s="18"/>
      <c r="J33" s="18"/>
      <c r="K33" s="18">
        <f>+G33</f>
        <v>8615.6</v>
      </c>
      <c r="L33" s="18"/>
      <c r="M33" s="18"/>
      <c r="N33" s="18"/>
    </row>
    <row r="34" spans="1:14" x14ac:dyDescent="0.25">
      <c r="A34" s="1">
        <v>27</v>
      </c>
      <c r="B34" s="1" t="s">
        <v>84</v>
      </c>
      <c r="C34" s="18">
        <v>10262.700000000001</v>
      </c>
      <c r="D34" s="18"/>
      <c r="E34" s="18"/>
      <c r="F34" s="18"/>
      <c r="G34" s="18">
        <f>+C34</f>
        <v>10262.700000000001</v>
      </c>
      <c r="H34" s="18"/>
      <c r="I34" s="18"/>
      <c r="J34" s="18"/>
      <c r="K34" s="18">
        <f>+G34</f>
        <v>10262.700000000001</v>
      </c>
      <c r="L34" s="18"/>
      <c r="M34" s="18"/>
      <c r="N34" s="18"/>
    </row>
    <row r="35" spans="1:14" x14ac:dyDescent="0.25">
      <c r="A35" s="1">
        <v>28</v>
      </c>
      <c r="B35" s="1" t="s">
        <v>85</v>
      </c>
      <c r="C35" s="18"/>
      <c r="D35" s="18">
        <v>25626.639999999999</v>
      </c>
      <c r="E35" s="18"/>
      <c r="F35" s="18"/>
      <c r="G35" s="18"/>
      <c r="H35" s="18">
        <f>+D35</f>
        <v>25626.639999999999</v>
      </c>
      <c r="I35" s="18"/>
      <c r="J35" s="18"/>
      <c r="K35" s="18"/>
      <c r="L35" s="18"/>
      <c r="M35" s="18"/>
      <c r="N35" s="18">
        <f>+H35</f>
        <v>25626.639999999999</v>
      </c>
    </row>
    <row r="36" spans="1:14" x14ac:dyDescent="0.25">
      <c r="A36" s="1">
        <v>29</v>
      </c>
      <c r="B36" s="1" t="s">
        <v>86</v>
      </c>
      <c r="C36" s="18"/>
      <c r="D36" s="18">
        <v>120000</v>
      </c>
      <c r="E36" s="18">
        <f>+ajustes!C51</f>
        <v>72000</v>
      </c>
      <c r="F36" s="18"/>
      <c r="G36" s="18"/>
      <c r="H36" s="18">
        <f>+D36-E36</f>
        <v>48000</v>
      </c>
      <c r="I36" s="18"/>
      <c r="J36" s="18"/>
      <c r="K36" s="18"/>
      <c r="L36" s="18"/>
      <c r="M36" s="18"/>
      <c r="N36" s="18">
        <f>+H36</f>
        <v>48000</v>
      </c>
    </row>
    <row r="37" spans="1:14" x14ac:dyDescent="0.25">
      <c r="A37" s="1">
        <v>30</v>
      </c>
      <c r="B37" s="1" t="s">
        <v>87</v>
      </c>
      <c r="D37" s="18">
        <v>3800</v>
      </c>
      <c r="E37" s="18"/>
      <c r="F37" s="18"/>
      <c r="G37" s="18"/>
      <c r="H37" s="18">
        <f>+D37</f>
        <v>3800</v>
      </c>
      <c r="J37" s="18">
        <f>+H37</f>
        <v>3800</v>
      </c>
      <c r="K37" s="18"/>
      <c r="L37" s="18"/>
      <c r="M37" s="18"/>
      <c r="N37" s="18"/>
    </row>
    <row r="38" spans="1:14" x14ac:dyDescent="0.25">
      <c r="A38" s="1">
        <v>31</v>
      </c>
      <c r="B38" s="1" t="s">
        <v>88</v>
      </c>
      <c r="C38" s="18">
        <v>2300</v>
      </c>
      <c r="D38" s="18"/>
      <c r="E38" s="18"/>
      <c r="F38" s="18"/>
      <c r="G38" s="18">
        <f>+C38</f>
        <v>2300</v>
      </c>
      <c r="H38" s="18"/>
      <c r="I38" s="18"/>
      <c r="J38" s="18"/>
      <c r="K38" s="18">
        <f>+G38</f>
        <v>2300</v>
      </c>
      <c r="L38" s="18"/>
      <c r="M38" s="18"/>
      <c r="N38" s="18"/>
    </row>
    <row r="39" spans="1:14" x14ac:dyDescent="0.25">
      <c r="A39" s="1">
        <v>32</v>
      </c>
      <c r="B39" s="1" t="s">
        <v>89</v>
      </c>
      <c r="D39" s="18">
        <v>7240</v>
      </c>
      <c r="E39" s="18"/>
      <c r="F39" s="18"/>
      <c r="G39" s="18"/>
      <c r="H39" s="18">
        <f>+D39</f>
        <v>7240</v>
      </c>
      <c r="I39" s="18"/>
      <c r="J39" s="18"/>
      <c r="K39" s="18"/>
      <c r="L39" s="20"/>
      <c r="M39" s="18"/>
      <c r="N39" s="18">
        <f>+H39</f>
        <v>7240</v>
      </c>
    </row>
    <row r="40" spans="1:14" x14ac:dyDescent="0.25">
      <c r="A40" s="1">
        <v>33</v>
      </c>
      <c r="B40" s="1" t="s">
        <v>90</v>
      </c>
      <c r="C40" s="18">
        <v>14339.94</v>
      </c>
      <c r="D40" s="18"/>
      <c r="E40" s="18"/>
      <c r="F40" s="18"/>
      <c r="G40" s="18">
        <f>+C40</f>
        <v>14339.94</v>
      </c>
      <c r="H40" s="18"/>
      <c r="I40" s="18"/>
      <c r="J40" s="18"/>
      <c r="K40" s="20">
        <f>+G40</f>
        <v>14339.94</v>
      </c>
      <c r="L40" s="18"/>
      <c r="M40" s="18"/>
      <c r="N40" s="18"/>
    </row>
    <row r="41" spans="1:14" x14ac:dyDescent="0.25">
      <c r="A41" s="1">
        <v>34</v>
      </c>
      <c r="B41" s="1" t="s">
        <v>146</v>
      </c>
      <c r="C41" s="18">
        <v>7700</v>
      </c>
      <c r="E41" s="18"/>
      <c r="F41" s="20"/>
      <c r="G41" s="18">
        <f>+C41</f>
        <v>7700</v>
      </c>
      <c r="H41" s="20"/>
      <c r="I41" s="18"/>
      <c r="J41" s="18"/>
      <c r="K41" s="1"/>
      <c r="L41" s="20"/>
      <c r="M41" s="18">
        <f>+G41</f>
        <v>7700</v>
      </c>
      <c r="N41" s="18"/>
    </row>
    <row r="42" spans="1:14" x14ac:dyDescent="0.25">
      <c r="A42" s="1">
        <v>35</v>
      </c>
      <c r="B42" s="1" t="s">
        <v>91</v>
      </c>
      <c r="C42" s="18"/>
      <c r="D42" s="18">
        <v>2607.5</v>
      </c>
      <c r="E42" s="18"/>
      <c r="F42" s="18"/>
      <c r="G42" s="18"/>
      <c r="H42" s="18">
        <f>+D42</f>
        <v>2607.5</v>
      </c>
      <c r="I42" s="18"/>
      <c r="J42" s="18"/>
      <c r="K42" s="18"/>
      <c r="L42" s="72"/>
      <c r="M42" s="18"/>
      <c r="N42" s="18">
        <f>+H42</f>
        <v>2607.5</v>
      </c>
    </row>
    <row r="43" spans="1:14" x14ac:dyDescent="0.25">
      <c r="A43" s="1">
        <v>36</v>
      </c>
      <c r="B43" s="1" t="s">
        <v>55</v>
      </c>
      <c r="C43" s="18">
        <v>720</v>
      </c>
      <c r="E43" s="18"/>
      <c r="F43" s="18"/>
      <c r="G43" s="18">
        <f>+C43</f>
        <v>720</v>
      </c>
      <c r="H43" s="18"/>
      <c r="I43" s="18"/>
      <c r="J43" s="18"/>
      <c r="K43" s="18">
        <f>+G43</f>
        <v>720</v>
      </c>
      <c r="L43" s="18"/>
      <c r="M43" s="18"/>
      <c r="N43" s="18"/>
    </row>
    <row r="44" spans="1:14" x14ac:dyDescent="0.25">
      <c r="A44" s="1">
        <v>37</v>
      </c>
      <c r="B44" s="1" t="s">
        <v>92</v>
      </c>
      <c r="D44" s="18">
        <v>5000</v>
      </c>
      <c r="E44" s="18"/>
      <c r="F44" s="18"/>
      <c r="G44" s="18"/>
      <c r="H44" s="18">
        <f>+D44</f>
        <v>5000</v>
      </c>
      <c r="I44" s="18"/>
      <c r="J44" s="18"/>
      <c r="L44" s="18"/>
      <c r="N44" s="18">
        <f>+H44</f>
        <v>5000</v>
      </c>
    </row>
    <row r="45" spans="1:14" x14ac:dyDescent="0.25">
      <c r="A45" s="1">
        <v>39</v>
      </c>
      <c r="B45" s="1" t="str">
        <f>+ajustes!B6</f>
        <v>depreciacion edificios sala de ventas</v>
      </c>
      <c r="C45" s="18"/>
      <c r="D45" s="18"/>
      <c r="E45" s="18">
        <f>+ajustes!C6</f>
        <v>10572.916666666668</v>
      </c>
      <c r="F45" s="18"/>
      <c r="G45" s="18">
        <f>+E45</f>
        <v>10572.916666666668</v>
      </c>
      <c r="H45" s="18"/>
      <c r="I45" s="18"/>
      <c r="J45" s="18"/>
      <c r="K45" s="18">
        <f>+G45</f>
        <v>10572.916666666668</v>
      </c>
      <c r="L45" s="18"/>
      <c r="M45" s="18"/>
      <c r="N45" s="18"/>
    </row>
    <row r="46" spans="1:14" x14ac:dyDescent="0.25">
      <c r="A46" s="1">
        <v>40</v>
      </c>
      <c r="B46" s="1" t="str">
        <f>+ajustes!B7</f>
        <v>depreciacion de edificios sala  de oficina</v>
      </c>
      <c r="C46" s="18"/>
      <c r="D46" s="18"/>
      <c r="E46" s="18">
        <f>+ajustes!C7</f>
        <v>6343.75</v>
      </c>
      <c r="F46" s="18"/>
      <c r="G46" s="18">
        <f>+E46</f>
        <v>6343.75</v>
      </c>
      <c r="H46" s="18"/>
      <c r="I46" s="18"/>
      <c r="J46" s="18"/>
      <c r="K46" s="18">
        <f>+G46</f>
        <v>6343.75</v>
      </c>
      <c r="L46" s="18"/>
      <c r="M46" s="18"/>
      <c r="N46" s="18"/>
    </row>
    <row r="47" spans="1:14" x14ac:dyDescent="0.25">
      <c r="A47" s="1">
        <v>41</v>
      </c>
      <c r="B47" s="1" t="str">
        <f>+ajustes!B8</f>
        <v xml:space="preserve">depreciacion equipo de computacion </v>
      </c>
      <c r="C47" s="18"/>
      <c r="D47" s="18"/>
      <c r="E47" s="18">
        <f>+ajustes!C8</f>
        <v>9571.2649999999994</v>
      </c>
      <c r="F47" s="18"/>
      <c r="G47" s="18">
        <f>+E47</f>
        <v>9571.2649999999994</v>
      </c>
      <c r="H47" s="18"/>
      <c r="I47" s="18"/>
      <c r="J47" s="18"/>
      <c r="K47" s="18">
        <f>+G47</f>
        <v>9571.2649999999994</v>
      </c>
      <c r="L47" s="18"/>
      <c r="M47" s="18"/>
      <c r="N47" s="18"/>
    </row>
    <row r="48" spans="1:14" x14ac:dyDescent="0.25">
      <c r="A48" s="1">
        <v>42</v>
      </c>
      <c r="B48" s="1" t="str">
        <f>+ajustes!B9</f>
        <v xml:space="preserve">depreciacion gastos de organización </v>
      </c>
      <c r="C48" s="18"/>
      <c r="D48" s="18"/>
      <c r="E48" s="18">
        <f>+ajustes!C9</f>
        <v>2833.333333333333</v>
      </c>
      <c r="F48" s="18"/>
      <c r="G48" s="18">
        <f>+E48</f>
        <v>2833.333333333333</v>
      </c>
      <c r="H48" s="18"/>
      <c r="I48" s="18"/>
      <c r="J48" s="18"/>
      <c r="K48" s="18">
        <f>+G48</f>
        <v>2833.333333333333</v>
      </c>
      <c r="L48" s="18"/>
      <c r="M48" s="18"/>
      <c r="N48" s="18"/>
    </row>
    <row r="49" spans="1:16" x14ac:dyDescent="0.25">
      <c r="A49" s="1">
        <v>43</v>
      </c>
      <c r="B49" s="1" t="str">
        <f>+ajustes!B10</f>
        <v xml:space="preserve">  A depreciacion acumulada inmuebles </v>
      </c>
      <c r="C49" s="18"/>
      <c r="D49" s="18"/>
      <c r="E49" s="18"/>
      <c r="F49" s="18">
        <f>+ajustes!D10</f>
        <v>16916.666666666668</v>
      </c>
      <c r="G49" s="18"/>
      <c r="H49" s="18">
        <f>+F49</f>
        <v>16916.666666666668</v>
      </c>
      <c r="I49" s="18"/>
      <c r="J49" s="18"/>
      <c r="K49" s="1"/>
      <c r="L49" s="18"/>
      <c r="M49" s="18"/>
      <c r="N49" s="18">
        <f>+H49</f>
        <v>16916.666666666668</v>
      </c>
    </row>
    <row r="50" spans="1:16" x14ac:dyDescent="0.25">
      <c r="A50" s="1">
        <v>44</v>
      </c>
      <c r="B50" s="1" t="str">
        <f>+ajustes!B11</f>
        <v xml:space="preserve">      depresacion acumulada equipo de computacion</v>
      </c>
      <c r="C50" s="18"/>
      <c r="D50" s="18"/>
      <c r="E50" s="18"/>
      <c r="F50" s="18">
        <f>+ajustes!D11</f>
        <v>9571.2649999999994</v>
      </c>
      <c r="G50" s="18"/>
      <c r="H50" s="18">
        <f>+F50</f>
        <v>9571.2649999999994</v>
      </c>
      <c r="I50" s="18"/>
      <c r="J50" s="18"/>
      <c r="K50" s="1"/>
      <c r="L50" s="18"/>
      <c r="M50" s="20"/>
      <c r="N50" s="18">
        <f>+H50</f>
        <v>9571.2649999999994</v>
      </c>
    </row>
    <row r="51" spans="1:16" x14ac:dyDescent="0.25">
      <c r="A51" s="1">
        <v>45</v>
      </c>
      <c r="B51" s="1" t="str">
        <f>+ajustes!B12</f>
        <v xml:space="preserve">       mortizacion acumulada gastos de organización</v>
      </c>
      <c r="C51" s="18"/>
      <c r="D51" s="18"/>
      <c r="E51" s="18"/>
      <c r="F51" s="18">
        <f>+ajustes!D12</f>
        <v>2833.333333333333</v>
      </c>
      <c r="G51" s="18"/>
      <c r="H51" s="18">
        <f>+F51</f>
        <v>2833.333333333333</v>
      </c>
      <c r="I51" s="18"/>
      <c r="J51" s="18"/>
      <c r="K51" s="18"/>
      <c r="L51" s="18"/>
      <c r="M51" s="18"/>
      <c r="N51" s="18">
        <f>+H51</f>
        <v>2833.333333333333</v>
      </c>
    </row>
    <row r="52" spans="1:16" x14ac:dyDescent="0.25">
      <c r="A52" s="1">
        <v>46</v>
      </c>
      <c r="B52" s="1" t="s">
        <v>55</v>
      </c>
      <c r="C52" s="18"/>
      <c r="D52" s="18"/>
      <c r="E52" s="18">
        <f>+ajustes!C15</f>
        <v>79.999999999999986</v>
      </c>
      <c r="F52" s="18"/>
      <c r="G52" s="18">
        <f>+E52</f>
        <v>79.999999999999986</v>
      </c>
      <c r="H52" s="18"/>
      <c r="I52" s="18"/>
      <c r="J52" s="18"/>
      <c r="K52" s="18">
        <f>+G52</f>
        <v>79.999999999999986</v>
      </c>
      <c r="L52" s="18"/>
      <c r="M52" s="18"/>
      <c r="N52" s="18"/>
    </row>
    <row r="53" spans="1:16" x14ac:dyDescent="0.25">
      <c r="A53" s="1">
        <v>47</v>
      </c>
      <c r="B53" s="1" t="s">
        <v>27</v>
      </c>
      <c r="C53" s="18"/>
      <c r="D53" s="18"/>
      <c r="E53" s="18">
        <f>+ajustes!C16</f>
        <v>9.5999999999999979</v>
      </c>
      <c r="F53" s="18"/>
      <c r="G53" s="18">
        <f>+E53</f>
        <v>9.5999999999999979</v>
      </c>
      <c r="H53" s="18"/>
      <c r="I53" s="18"/>
      <c r="J53" s="18"/>
      <c r="K53" s="18"/>
      <c r="L53" s="18"/>
      <c r="M53" s="18">
        <f>+G53</f>
        <v>9.5999999999999979</v>
      </c>
      <c r="N53" s="18"/>
    </row>
    <row r="54" spans="1:16" x14ac:dyDescent="0.25">
      <c r="A54" s="1">
        <v>48</v>
      </c>
      <c r="B54" s="1" t="s">
        <v>57</v>
      </c>
      <c r="C54" s="18"/>
      <c r="D54" s="18"/>
      <c r="E54" s="18"/>
      <c r="F54" s="18">
        <f>+ajustes!D18</f>
        <v>3.9999999999999996</v>
      </c>
      <c r="G54" s="18"/>
      <c r="H54" s="18">
        <f>+F54</f>
        <v>3.9999999999999996</v>
      </c>
      <c r="I54" s="18"/>
      <c r="J54" s="18"/>
      <c r="K54" s="18"/>
      <c r="L54" s="18"/>
      <c r="M54" s="20"/>
      <c r="N54" s="18">
        <f>+H54</f>
        <v>3.9999999999999996</v>
      </c>
    </row>
    <row r="55" spans="1:16" x14ac:dyDescent="0.25">
      <c r="A55" s="1">
        <v>49</v>
      </c>
      <c r="B55" s="1" t="s">
        <v>56</v>
      </c>
      <c r="C55" s="18"/>
      <c r="D55" s="18"/>
      <c r="E55" s="18"/>
      <c r="F55" s="18">
        <f>+ajustes!D19</f>
        <v>9.5999999999999979</v>
      </c>
      <c r="G55" s="18"/>
      <c r="H55" s="18">
        <f>+F55</f>
        <v>9.5999999999999979</v>
      </c>
      <c r="I55" s="18"/>
      <c r="J55" s="18"/>
      <c r="K55" s="18"/>
      <c r="L55" s="18"/>
      <c r="M55" s="18"/>
      <c r="N55" s="18">
        <f>+H55</f>
        <v>9.5999999999999979</v>
      </c>
    </row>
    <row r="56" spans="1:16" x14ac:dyDescent="0.25">
      <c r="A56" s="1">
        <v>50</v>
      </c>
      <c r="B56" s="1" t="str">
        <f>+ajustes!B22</f>
        <v>papeleria y utiles consumido</v>
      </c>
      <c r="C56" s="18"/>
      <c r="D56" s="18"/>
      <c r="E56" s="18">
        <f>+ajustes!C22</f>
        <v>3100</v>
      </c>
      <c r="F56" s="18"/>
      <c r="G56" s="18">
        <f>+E56</f>
        <v>3100</v>
      </c>
      <c r="H56" s="18"/>
      <c r="I56" s="18"/>
      <c r="J56" s="18"/>
      <c r="K56" s="18">
        <f>+G56</f>
        <v>3100</v>
      </c>
      <c r="L56" s="18"/>
      <c r="M56" s="18"/>
      <c r="N56" s="18"/>
    </row>
    <row r="57" spans="1:16" x14ac:dyDescent="0.25">
      <c r="A57" s="1">
        <v>51</v>
      </c>
      <c r="B57" s="25" t="s">
        <v>101</v>
      </c>
      <c r="C57" s="18"/>
      <c r="D57" s="18"/>
      <c r="E57" s="18">
        <f>+ajustes!C26</f>
        <v>1375.8904109589043</v>
      </c>
      <c r="F57" s="18"/>
      <c r="G57" s="18">
        <f>+E57</f>
        <v>1375.8904109589043</v>
      </c>
      <c r="H57" s="18"/>
      <c r="I57" s="18"/>
      <c r="J57" s="18"/>
      <c r="K57" s="18">
        <f>+G57</f>
        <v>1375.8904109589043</v>
      </c>
      <c r="L57" s="18"/>
      <c r="M57" s="18"/>
      <c r="N57" s="18"/>
    </row>
    <row r="58" spans="1:16" x14ac:dyDescent="0.25">
      <c r="A58" s="1">
        <v>52</v>
      </c>
      <c r="B58" s="26" t="s">
        <v>102</v>
      </c>
      <c r="C58" s="18"/>
      <c r="D58" s="18"/>
      <c r="E58" s="18"/>
      <c r="F58" s="18">
        <f>+E57</f>
        <v>1375.8904109589043</v>
      </c>
      <c r="G58" s="18"/>
      <c r="H58" s="18">
        <f>+F58</f>
        <v>1375.8904109589043</v>
      </c>
      <c r="I58" s="18"/>
      <c r="J58" s="18"/>
      <c r="K58" s="18"/>
      <c r="L58" s="18"/>
      <c r="M58" s="18"/>
      <c r="N58" s="18">
        <f>+H58</f>
        <v>1375.8904109589043</v>
      </c>
    </row>
    <row r="59" spans="1:16" x14ac:dyDescent="0.25">
      <c r="A59" s="1">
        <v>53</v>
      </c>
      <c r="B59" s="1" t="str">
        <f>+ajustes!B30</f>
        <v xml:space="preserve">publicidad  pagada anticipada </v>
      </c>
      <c r="C59" s="18"/>
      <c r="D59" s="18"/>
      <c r="E59" s="18">
        <f>+F24</f>
        <v>8400</v>
      </c>
      <c r="G59" s="18">
        <f>+E59</f>
        <v>8400</v>
      </c>
      <c r="H59" s="18"/>
      <c r="I59" s="18"/>
      <c r="J59" s="18"/>
      <c r="L59" s="18"/>
      <c r="M59" s="18">
        <f>+G59</f>
        <v>8400</v>
      </c>
      <c r="N59" s="18"/>
    </row>
    <row r="60" spans="1:16" x14ac:dyDescent="0.25">
      <c r="A60" s="1">
        <v>54</v>
      </c>
      <c r="B60" s="1" t="str">
        <f>+ajustes!B43</f>
        <v xml:space="preserve">      a alquileres cobrados </v>
      </c>
      <c r="C60" s="18"/>
      <c r="D60" s="18"/>
      <c r="E60" s="18"/>
      <c r="F60" s="18">
        <f>+ajustes!D43</f>
        <v>7200</v>
      </c>
      <c r="G60" s="18"/>
      <c r="H60" s="18">
        <f>+F60</f>
        <v>7200</v>
      </c>
      <c r="I60" s="18"/>
      <c r="J60" s="18"/>
      <c r="K60" s="18"/>
      <c r="L60" s="18">
        <f>+H60</f>
        <v>7200</v>
      </c>
      <c r="M60" s="18"/>
      <c r="N60" s="18"/>
    </row>
    <row r="61" spans="1:16" x14ac:dyDescent="0.25">
      <c r="A61" s="1">
        <v>55</v>
      </c>
      <c r="B61" s="1" t="s">
        <v>129</v>
      </c>
      <c r="C61" s="21"/>
      <c r="D61" s="21"/>
      <c r="E61" s="21">
        <f>+ajustes!C46</f>
        <v>2718.75</v>
      </c>
      <c r="F61" s="21"/>
      <c r="G61" s="18">
        <f>+E61</f>
        <v>2718.75</v>
      </c>
      <c r="H61" s="18"/>
      <c r="I61" s="18"/>
      <c r="J61" s="18"/>
      <c r="K61" s="18">
        <f>+G61</f>
        <v>2718.75</v>
      </c>
      <c r="L61" s="18"/>
      <c r="M61" s="18"/>
      <c r="N61" s="18"/>
    </row>
    <row r="62" spans="1:16" x14ac:dyDescent="0.25">
      <c r="A62" s="1">
        <v>56</v>
      </c>
      <c r="B62" s="1" t="s">
        <v>130</v>
      </c>
      <c r="C62" s="21"/>
      <c r="D62" s="21"/>
      <c r="E62" s="21">
        <f>+ajustes!C47</f>
        <v>1631.25</v>
      </c>
      <c r="F62" s="21"/>
      <c r="G62" s="18">
        <f>+E62</f>
        <v>1631.25</v>
      </c>
      <c r="I62" s="18"/>
      <c r="J62" s="18"/>
      <c r="K62" s="18">
        <f>+G62</f>
        <v>1631.25</v>
      </c>
      <c r="L62" s="18"/>
      <c r="M62" s="18"/>
      <c r="N62" s="18"/>
    </row>
    <row r="63" spans="1:16" x14ac:dyDescent="0.25">
      <c r="A63" s="1">
        <v>57</v>
      </c>
      <c r="B63" s="1" t="s">
        <v>137</v>
      </c>
      <c r="C63" s="21"/>
      <c r="D63" s="21"/>
      <c r="E63" s="21"/>
      <c r="F63" s="21">
        <f>+ajustes!D52</f>
        <v>72000</v>
      </c>
      <c r="G63" s="18"/>
      <c r="H63" s="18">
        <f>+F63</f>
        <v>72000</v>
      </c>
      <c r="I63" s="18"/>
      <c r="J63" s="18"/>
      <c r="K63" s="18"/>
      <c r="L63" s="18"/>
      <c r="M63" s="18"/>
      <c r="N63" s="18">
        <f>+H63</f>
        <v>72000</v>
      </c>
      <c r="P63">
        <v>19416.907500000001</v>
      </c>
    </row>
    <row r="64" spans="1:16" x14ac:dyDescent="0.25">
      <c r="A64" s="1">
        <v>58</v>
      </c>
      <c r="B64" s="1" t="s">
        <v>138</v>
      </c>
      <c r="C64" s="21"/>
      <c r="D64" s="21"/>
      <c r="E64" s="21"/>
      <c r="F64" s="21"/>
      <c r="G64" s="18"/>
      <c r="H64" s="18"/>
      <c r="I64" s="18"/>
      <c r="J64" s="2">
        <v>111400</v>
      </c>
      <c r="K64" s="18">
        <f>+J64</f>
        <v>111400</v>
      </c>
      <c r="L64" s="18"/>
      <c r="M64" s="18"/>
      <c r="N64" s="18"/>
      <c r="P64">
        <v>368921.24250000005</v>
      </c>
    </row>
    <row r="65" spans="1:14" x14ac:dyDescent="0.25">
      <c r="A65" s="1">
        <v>59</v>
      </c>
      <c r="B65" s="26" t="s">
        <v>139</v>
      </c>
      <c r="C65" s="14"/>
      <c r="D65" s="14"/>
      <c r="E65" s="14"/>
      <c r="F65" s="14"/>
      <c r="G65" s="2"/>
      <c r="H65" s="2"/>
      <c r="I65" s="65"/>
      <c r="J65" s="1"/>
      <c r="K65" s="66">
        <v>523434.2</v>
      </c>
      <c r="L65" s="2"/>
      <c r="M65" s="1"/>
      <c r="N65" s="2"/>
    </row>
    <row r="66" spans="1:14" x14ac:dyDescent="0.25">
      <c r="A66" s="1"/>
      <c r="B66" s="1" t="s">
        <v>142</v>
      </c>
      <c r="C66" s="14"/>
      <c r="D66" s="14"/>
      <c r="E66" s="14"/>
      <c r="F66" s="14"/>
      <c r="G66" s="2"/>
      <c r="H66" s="2"/>
      <c r="I66" s="61"/>
      <c r="J66" s="1"/>
      <c r="K66" s="62"/>
      <c r="L66" s="14"/>
      <c r="M66" s="1"/>
      <c r="N66" s="18">
        <v>130858.55</v>
      </c>
    </row>
    <row r="67" spans="1:14" x14ac:dyDescent="0.25">
      <c r="A67" s="1"/>
      <c r="B67" s="1" t="s">
        <v>143</v>
      </c>
      <c r="C67" s="14"/>
      <c r="D67" s="14"/>
      <c r="E67" s="14"/>
      <c r="F67" s="14"/>
      <c r="G67" s="2"/>
      <c r="H67" s="2"/>
      <c r="I67" s="61"/>
      <c r="J67" s="1"/>
      <c r="K67" s="62"/>
      <c r="L67" s="14"/>
      <c r="M67" s="1"/>
      <c r="N67" s="18">
        <v>19628.78</v>
      </c>
    </row>
    <row r="68" spans="1:14" x14ac:dyDescent="0.25">
      <c r="A68" s="1"/>
      <c r="B68" s="1" t="s">
        <v>144</v>
      </c>
      <c r="C68" s="14"/>
      <c r="D68" s="14"/>
      <c r="E68" s="14"/>
      <c r="F68" s="14"/>
      <c r="G68" s="2"/>
      <c r="H68" s="2"/>
      <c r="I68" s="61"/>
      <c r="J68" s="1"/>
      <c r="K68" s="62"/>
      <c r="L68" s="14"/>
      <c r="M68" s="1"/>
      <c r="N68" s="18">
        <v>372946.87</v>
      </c>
    </row>
    <row r="69" spans="1:14" x14ac:dyDescent="0.25">
      <c r="A69" s="1"/>
      <c r="B69" s="1"/>
      <c r="C69" s="14"/>
      <c r="D69" s="14"/>
      <c r="E69" s="14"/>
      <c r="F69" s="14"/>
      <c r="G69" s="2"/>
      <c r="H69" s="2"/>
      <c r="I69" s="61"/>
      <c r="J69" s="1"/>
      <c r="K69" s="62"/>
      <c r="L69" s="14"/>
      <c r="M69" s="1"/>
      <c r="N69" s="18"/>
    </row>
    <row r="70" spans="1:14" x14ac:dyDescent="0.25">
      <c r="A70" s="1"/>
      <c r="B70" s="26"/>
      <c r="C70" s="14"/>
      <c r="D70" s="14"/>
      <c r="E70" s="14"/>
      <c r="F70" s="14"/>
      <c r="G70" s="2"/>
      <c r="H70" s="2"/>
      <c r="I70" s="61"/>
      <c r="J70" s="1"/>
      <c r="K70" s="62"/>
      <c r="L70" s="14"/>
      <c r="M70" s="1"/>
      <c r="N70" s="2"/>
    </row>
    <row r="71" spans="1:14" ht="15.75" thickBot="1" x14ac:dyDescent="0.3">
      <c r="A71" s="1"/>
      <c r="B71" s="1" t="s">
        <v>31</v>
      </c>
      <c r="C71" s="12">
        <f>SUM(C8:C65)</f>
        <v>1296141.4099999999</v>
      </c>
      <c r="D71" s="12">
        <f>SUM(D8:D65)</f>
        <v>1296141.4099999999</v>
      </c>
      <c r="E71" s="12">
        <f>SUM(E8:E65)</f>
        <v>127836.75541095891</v>
      </c>
      <c r="F71" s="12">
        <f>SUM(F8:F65)</f>
        <v>127836.75541095891</v>
      </c>
      <c r="G71" s="2">
        <f ca="1">SUM(G8:G71)</f>
        <v>1331202.1654109587</v>
      </c>
      <c r="H71" s="2">
        <f ca="1">SUM(H8:H71)</f>
        <v>1331202.1654109587</v>
      </c>
      <c r="I71" s="12">
        <f>SUM(I9:I65)</f>
        <v>201200</v>
      </c>
      <c r="J71" s="67">
        <f>SUM(J8:J64)</f>
        <v>201200</v>
      </c>
      <c r="K71" s="12">
        <f>SUM(K8:K65)</f>
        <v>922867.26541095891</v>
      </c>
      <c r="L71" s="12">
        <f>SUM(L8:L65)</f>
        <v>922867.27</v>
      </c>
      <c r="M71" s="2">
        <f>SUM(M8:M70)</f>
        <v>923619.1</v>
      </c>
      <c r="N71" s="2">
        <f>SUM(N8:N70)</f>
        <v>923619.09541095898</v>
      </c>
    </row>
    <row r="72" spans="1:14" ht="18" thickTop="1" x14ac:dyDescent="0.4">
      <c r="A72" s="1"/>
      <c r="B72" s="10"/>
      <c r="C72" s="22"/>
      <c r="D72" s="11">
        <f>+C71-D71</f>
        <v>0</v>
      </c>
      <c r="E72" s="11"/>
      <c r="F72" s="11"/>
      <c r="I72" s="11"/>
      <c r="J72" s="11"/>
      <c r="K72" s="11"/>
      <c r="L72" s="11"/>
      <c r="M72" s="11"/>
      <c r="N72" s="16"/>
    </row>
    <row r="73" spans="1:14" x14ac:dyDescent="0.25">
      <c r="A73" s="1"/>
      <c r="B73" s="10"/>
      <c r="C73" s="22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</row>
    <row r="74" spans="1:14" x14ac:dyDescent="0.25">
      <c r="C74" s="23"/>
      <c r="D74" s="43"/>
      <c r="E74" s="20"/>
      <c r="I74" s="3"/>
      <c r="K74" s="3"/>
      <c r="N74" s="3"/>
    </row>
    <row r="75" spans="1:14" x14ac:dyDescent="0.25">
      <c r="K75" s="3"/>
      <c r="N75" s="15"/>
    </row>
    <row r="76" spans="1:14" x14ac:dyDescent="0.25">
      <c r="C76" s="13"/>
      <c r="G76" s="20"/>
      <c r="H76" s="20"/>
    </row>
    <row r="77" spans="1:14" x14ac:dyDescent="0.25">
      <c r="J77" s="3"/>
    </row>
    <row r="78" spans="1:14" x14ac:dyDescent="0.25">
      <c r="J78" s="3"/>
    </row>
    <row r="81" spans="3:12" x14ac:dyDescent="0.25">
      <c r="L81" s="15"/>
    </row>
    <row r="82" spans="3:12" x14ac:dyDescent="0.25">
      <c r="C82" s="20"/>
      <c r="D82" s="20">
        <f>+CC8171-'hojade trabajo'!G705</f>
        <v>0</v>
      </c>
      <c r="L82" s="15"/>
    </row>
    <row r="83" spans="3:12" x14ac:dyDescent="0.25">
      <c r="D83">
        <v>5</v>
      </c>
      <c r="L83" s="15"/>
    </row>
    <row r="84" spans="3:12" x14ac:dyDescent="0.25">
      <c r="J84" s="3"/>
      <c r="L84" s="15"/>
    </row>
    <row r="86" spans="3:12" x14ac:dyDescent="0.25">
      <c r="J86" s="15"/>
    </row>
    <row r="90" spans="3:12" x14ac:dyDescent="0.25">
      <c r="J90" s="3"/>
    </row>
  </sheetData>
  <mergeCells count="6">
    <mergeCell ref="C6:D6"/>
    <mergeCell ref="E6:F6"/>
    <mergeCell ref="G6:H6"/>
    <mergeCell ref="K6:L6"/>
    <mergeCell ref="M6:N6"/>
    <mergeCell ref="I6:J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opLeftCell="A13" workbookViewId="0">
      <selection activeCell="A3" sqref="A3:D3"/>
    </sheetView>
  </sheetViews>
  <sheetFormatPr baseColWidth="10" defaultRowHeight="15" x14ac:dyDescent="0.25"/>
  <cols>
    <col min="2" max="2" width="88.140625" customWidth="1"/>
    <col min="3" max="3" width="16" customWidth="1"/>
    <col min="4" max="4" width="13" bestFit="1" customWidth="1"/>
  </cols>
  <sheetData>
    <row r="1" spans="1:5" x14ac:dyDescent="0.25">
      <c r="A1" s="71" t="s">
        <v>15</v>
      </c>
      <c r="B1" s="71"/>
      <c r="C1" s="71"/>
      <c r="D1" s="71"/>
    </row>
    <row r="2" spans="1:5" x14ac:dyDescent="0.25">
      <c r="A2" s="71" t="s">
        <v>53</v>
      </c>
      <c r="B2" s="71"/>
      <c r="C2" s="71"/>
      <c r="D2" s="71"/>
    </row>
    <row r="3" spans="1:5" x14ac:dyDescent="0.25">
      <c r="A3" s="71" t="s">
        <v>16</v>
      </c>
      <c r="B3" s="71"/>
      <c r="C3" s="71"/>
      <c r="D3" s="71"/>
    </row>
    <row r="4" spans="1:5" x14ac:dyDescent="0.25">
      <c r="A4" s="71" t="s">
        <v>17</v>
      </c>
      <c r="B4" s="71"/>
      <c r="C4" s="71"/>
      <c r="D4" s="71"/>
    </row>
    <row r="5" spans="1:5" x14ac:dyDescent="0.25">
      <c r="A5" s="73" t="s">
        <v>18</v>
      </c>
      <c r="B5" s="74">
        <v>43465</v>
      </c>
    </row>
    <row r="6" spans="1:5" x14ac:dyDescent="0.25">
      <c r="B6" t="s">
        <v>49</v>
      </c>
      <c r="C6" s="3">
        <f>+calculo!E9</f>
        <v>10572.916666666668</v>
      </c>
      <c r="D6" s="3"/>
      <c r="E6" s="3"/>
    </row>
    <row r="7" spans="1:5" x14ac:dyDescent="0.25">
      <c r="B7" t="s">
        <v>48</v>
      </c>
      <c r="C7" s="3">
        <f>+calculo!E10</f>
        <v>6343.75</v>
      </c>
      <c r="D7" s="3"/>
      <c r="E7" s="3"/>
    </row>
    <row r="8" spans="1:5" x14ac:dyDescent="0.25">
      <c r="B8" t="s">
        <v>47</v>
      </c>
      <c r="C8" s="3">
        <f>+calculo!C15</f>
        <v>9571.2649999999994</v>
      </c>
      <c r="D8" s="3"/>
      <c r="E8" s="3"/>
    </row>
    <row r="9" spans="1:5" x14ac:dyDescent="0.25">
      <c r="B9" t="s">
        <v>46</v>
      </c>
      <c r="C9" s="3">
        <f>+calculo!C19</f>
        <v>2833.333333333333</v>
      </c>
      <c r="D9" s="3"/>
      <c r="E9" s="3"/>
    </row>
    <row r="10" spans="1:5" x14ac:dyDescent="0.25">
      <c r="B10" t="s">
        <v>50</v>
      </c>
      <c r="C10" s="3"/>
      <c r="D10" s="3">
        <f>+calculo!E9+calculo!E10</f>
        <v>16916.666666666668</v>
      </c>
      <c r="E10" s="3"/>
    </row>
    <row r="11" spans="1:5" x14ac:dyDescent="0.25">
      <c r="B11" t="s">
        <v>51</v>
      </c>
      <c r="C11" s="3"/>
      <c r="D11" s="3">
        <f>+calculo!C15</f>
        <v>9571.2649999999994</v>
      </c>
      <c r="E11" s="3"/>
    </row>
    <row r="12" spans="1:5" x14ac:dyDescent="0.25">
      <c r="B12" t="s">
        <v>52</v>
      </c>
      <c r="C12" s="3"/>
      <c r="D12" s="3">
        <f>+calculo!C19</f>
        <v>2833.333333333333</v>
      </c>
      <c r="E12" s="3"/>
    </row>
    <row r="13" spans="1:5" ht="15.75" thickBot="1" x14ac:dyDescent="0.3">
      <c r="B13" t="s">
        <v>54</v>
      </c>
      <c r="C13" s="5">
        <f>SUM(C6:C12)</f>
        <v>29321.264999999999</v>
      </c>
      <c r="D13" s="5">
        <f>SUM(D10:D12)</f>
        <v>29321.264999999999</v>
      </c>
      <c r="E13" s="3"/>
    </row>
    <row r="14" spans="1:5" ht="15.75" thickTop="1" x14ac:dyDescent="0.25">
      <c r="A14" s="73" t="s">
        <v>19</v>
      </c>
      <c r="B14" s="74">
        <v>43465</v>
      </c>
      <c r="C14" s="3"/>
      <c r="D14" s="3"/>
      <c r="E14" s="3"/>
    </row>
    <row r="15" spans="1:5" x14ac:dyDescent="0.25">
      <c r="B15" t="s">
        <v>55</v>
      </c>
      <c r="C15" s="3">
        <f>(89.6/1.12)</f>
        <v>79.999999999999986</v>
      </c>
      <c r="D15" s="3"/>
      <c r="E15" s="3"/>
    </row>
    <row r="16" spans="1:5" x14ac:dyDescent="0.25">
      <c r="B16" t="s">
        <v>27</v>
      </c>
      <c r="C16" s="11">
        <f>+C15*12%</f>
        <v>9.5999999999999979</v>
      </c>
      <c r="D16" s="11"/>
      <c r="E16" s="3"/>
    </row>
    <row r="17" spans="1:5" x14ac:dyDescent="0.25">
      <c r="B17" t="s">
        <v>115</v>
      </c>
      <c r="C17" s="11"/>
      <c r="D17" s="11">
        <f>+C15-D18</f>
        <v>75.999999999999986</v>
      </c>
      <c r="E17" s="3"/>
    </row>
    <row r="18" spans="1:5" x14ac:dyDescent="0.25">
      <c r="B18" t="s">
        <v>57</v>
      </c>
      <c r="C18" s="11"/>
      <c r="D18" s="11">
        <f>+C15*5%</f>
        <v>3.9999999999999996</v>
      </c>
      <c r="E18" s="3"/>
    </row>
    <row r="19" spans="1:5" x14ac:dyDescent="0.25">
      <c r="B19" t="s">
        <v>56</v>
      </c>
      <c r="C19" s="4"/>
      <c r="D19" s="4">
        <f>+C16</f>
        <v>9.5999999999999979</v>
      </c>
      <c r="E19" s="3"/>
    </row>
    <row r="20" spans="1:5" ht="15.75" thickBot="1" x14ac:dyDescent="0.3">
      <c r="B20" t="s">
        <v>58</v>
      </c>
      <c r="C20" s="5">
        <f>SUM(C15:C19)</f>
        <v>89.59999999999998</v>
      </c>
      <c r="D20" s="5">
        <f>SUM(D15:D19)</f>
        <v>89.59999999999998</v>
      </c>
      <c r="E20" s="3"/>
    </row>
    <row r="21" spans="1:5" ht="15.75" thickTop="1" x14ac:dyDescent="0.25">
      <c r="A21" s="73" t="s">
        <v>20</v>
      </c>
      <c r="B21" s="74">
        <v>43465</v>
      </c>
      <c r="C21" s="3"/>
      <c r="D21" s="3"/>
      <c r="E21" s="3"/>
    </row>
    <row r="22" spans="1:5" x14ac:dyDescent="0.25">
      <c r="B22" t="s">
        <v>59</v>
      </c>
      <c r="C22" s="3">
        <v>3100</v>
      </c>
    </row>
    <row r="23" spans="1:5" x14ac:dyDescent="0.25">
      <c r="B23" t="s">
        <v>60</v>
      </c>
      <c r="C23" s="6"/>
      <c r="D23" s="4">
        <v>3100</v>
      </c>
    </row>
    <row r="24" spans="1:5" ht="15.75" thickBot="1" x14ac:dyDescent="0.3">
      <c r="B24" t="s">
        <v>61</v>
      </c>
      <c r="C24" s="5">
        <f>SUM(C22:C23)</f>
        <v>3100</v>
      </c>
      <c r="D24" s="5">
        <f>SUM(D22:D23)</f>
        <v>3100</v>
      </c>
    </row>
    <row r="25" spans="1:5" ht="15.75" thickTop="1" x14ac:dyDescent="0.25">
      <c r="A25" s="73" t="s">
        <v>21</v>
      </c>
      <c r="B25" s="74">
        <v>43465</v>
      </c>
    </row>
    <row r="26" spans="1:5" x14ac:dyDescent="0.25">
      <c r="B26" s="24" t="s">
        <v>101</v>
      </c>
      <c r="C26" s="3">
        <f>+calculo!C26</f>
        <v>1375.8904109589043</v>
      </c>
    </row>
    <row r="27" spans="1:5" x14ac:dyDescent="0.25">
      <c r="B27" s="17" t="s">
        <v>102</v>
      </c>
      <c r="C27" s="6"/>
      <c r="D27" s="4">
        <f>+C26</f>
        <v>1375.8904109589043</v>
      </c>
    </row>
    <row r="28" spans="1:5" ht="15.75" thickBot="1" x14ac:dyDescent="0.3">
      <c r="B28" s="17" t="s">
        <v>103</v>
      </c>
      <c r="C28" s="5">
        <f>+D28</f>
        <v>1375.8904109589043</v>
      </c>
      <c r="D28" s="5">
        <f>+D27</f>
        <v>1375.8904109589043</v>
      </c>
    </row>
    <row r="29" spans="1:5" ht="15.75" thickTop="1" x14ac:dyDescent="0.25">
      <c r="A29" s="73" t="s">
        <v>22</v>
      </c>
      <c r="B29" s="75">
        <v>43465</v>
      </c>
    </row>
    <row r="30" spans="1:5" x14ac:dyDescent="0.25">
      <c r="B30" s="3" t="s">
        <v>112</v>
      </c>
      <c r="C30" s="3">
        <f>+calculo!A35</f>
        <v>8400</v>
      </c>
      <c r="D30" s="3"/>
    </row>
    <row r="31" spans="1:5" x14ac:dyDescent="0.25">
      <c r="B31" s="3" t="s">
        <v>94</v>
      </c>
      <c r="C31" s="4"/>
      <c r="D31" s="4">
        <f>+C30</f>
        <v>8400</v>
      </c>
    </row>
    <row r="32" spans="1:5" ht="15.75" thickBot="1" x14ac:dyDescent="0.3">
      <c r="B32" s="3" t="s">
        <v>113</v>
      </c>
      <c r="C32" s="5">
        <f>SUM(C30:C31)</f>
        <v>8400</v>
      </c>
      <c r="D32" s="5">
        <f>SUM(D30:D31)</f>
        <v>8400</v>
      </c>
    </row>
    <row r="33" spans="1:4" ht="15.75" thickTop="1" x14ac:dyDescent="0.25">
      <c r="A33" s="73" t="s">
        <v>23</v>
      </c>
      <c r="B33" s="74">
        <v>43465</v>
      </c>
      <c r="C33" s="3"/>
      <c r="D33" s="3"/>
    </row>
    <row r="34" spans="1:4" x14ac:dyDescent="0.25">
      <c r="B34" s="3" t="s">
        <v>145</v>
      </c>
      <c r="C34" s="3">
        <v>3000</v>
      </c>
      <c r="D34" s="3"/>
    </row>
    <row r="35" spans="1:4" x14ac:dyDescent="0.25">
      <c r="B35" s="3" t="s">
        <v>116</v>
      </c>
      <c r="C35" s="3"/>
      <c r="D35" s="3">
        <v>3000</v>
      </c>
    </row>
    <row r="36" spans="1:4" ht="15.75" thickBot="1" x14ac:dyDescent="0.3">
      <c r="B36" s="3" t="s">
        <v>117</v>
      </c>
      <c r="C36" s="5">
        <f>SUM(C34:C35)</f>
        <v>3000</v>
      </c>
      <c r="D36" s="5">
        <f>SUM(D34:D35)</f>
        <v>3000</v>
      </c>
    </row>
    <row r="37" spans="1:4" ht="15.75" thickTop="1" x14ac:dyDescent="0.25">
      <c r="A37" s="73" t="s">
        <v>24</v>
      </c>
      <c r="B37" s="74">
        <v>43465</v>
      </c>
      <c r="C37" s="3"/>
      <c r="D37" s="3"/>
    </row>
    <row r="38" spans="1:4" x14ac:dyDescent="0.25">
      <c r="B38" s="3" t="s">
        <v>96</v>
      </c>
      <c r="C38" s="3">
        <v>2000</v>
      </c>
      <c r="D38" s="3"/>
    </row>
    <row r="39" spans="1:4" x14ac:dyDescent="0.25">
      <c r="B39" s="3" t="s">
        <v>97</v>
      </c>
      <c r="C39" s="4"/>
      <c r="D39" s="4">
        <v>2000</v>
      </c>
    </row>
    <row r="40" spans="1:4" ht="15.75" thickBot="1" x14ac:dyDescent="0.3">
      <c r="B40" s="3" t="s">
        <v>118</v>
      </c>
      <c r="C40" s="9">
        <f>SUM(C38:C39)</f>
        <v>2000</v>
      </c>
      <c r="D40" s="9">
        <f>SUM(D38:D39)</f>
        <v>2000</v>
      </c>
    </row>
    <row r="41" spans="1:4" ht="15.75" thickTop="1" x14ac:dyDescent="0.25">
      <c r="A41" s="73" t="s">
        <v>25</v>
      </c>
      <c r="B41" s="74">
        <v>43465</v>
      </c>
      <c r="C41" s="3"/>
      <c r="D41" s="3"/>
    </row>
    <row r="42" spans="1:4" x14ac:dyDescent="0.25">
      <c r="B42" s="3" t="s">
        <v>79</v>
      </c>
      <c r="C42" s="3">
        <f>+calculo!A45</f>
        <v>7200</v>
      </c>
      <c r="D42" s="3"/>
    </row>
    <row r="43" spans="1:4" x14ac:dyDescent="0.25">
      <c r="B43" s="3" t="s">
        <v>98</v>
      </c>
      <c r="C43" s="4"/>
      <c r="D43" s="4">
        <f>+C42</f>
        <v>7200</v>
      </c>
    </row>
    <row r="44" spans="1:4" ht="15.75" thickBot="1" x14ac:dyDescent="0.3">
      <c r="B44" s="3" t="s">
        <v>127</v>
      </c>
      <c r="C44" s="5">
        <f>SUM(C42:C43)</f>
        <v>7200</v>
      </c>
      <c r="D44" s="5">
        <f>SUM(D42:D43)</f>
        <v>7200</v>
      </c>
    </row>
    <row r="45" spans="1:4" ht="15.75" thickTop="1" x14ac:dyDescent="0.25">
      <c r="A45" s="73" t="s">
        <v>26</v>
      </c>
      <c r="B45" s="74">
        <v>43465</v>
      </c>
      <c r="C45" s="3"/>
      <c r="D45" s="3"/>
    </row>
    <row r="46" spans="1:4" x14ac:dyDescent="0.25">
      <c r="B46" s="3" t="s">
        <v>131</v>
      </c>
      <c r="C46" s="3">
        <f>+calculo!C51</f>
        <v>2718.75</v>
      </c>
      <c r="D46" s="3"/>
    </row>
    <row r="47" spans="1:4" x14ac:dyDescent="0.25">
      <c r="B47" s="3" t="s">
        <v>132</v>
      </c>
      <c r="C47" s="11">
        <f>+calculo!C52</f>
        <v>1631.25</v>
      </c>
      <c r="D47" s="11"/>
    </row>
    <row r="48" spans="1:4" x14ac:dyDescent="0.25">
      <c r="B48" s="3" t="s">
        <v>133</v>
      </c>
      <c r="C48" s="4"/>
      <c r="D48" s="11">
        <v>4350</v>
      </c>
    </row>
    <row r="49" spans="1:4" ht="15.75" thickBot="1" x14ac:dyDescent="0.3">
      <c r="B49" s="3" t="s">
        <v>134</v>
      </c>
      <c r="C49" s="5">
        <f>SUM(C46:C48)</f>
        <v>4350</v>
      </c>
      <c r="D49" s="5">
        <f>SUM(D47:D48)</f>
        <v>4350</v>
      </c>
    </row>
    <row r="50" spans="1:4" ht="15.75" thickTop="1" x14ac:dyDescent="0.25">
      <c r="A50" s="73" t="s">
        <v>28</v>
      </c>
      <c r="B50" s="74">
        <v>43465</v>
      </c>
      <c r="C50" s="3"/>
      <c r="D50" s="3"/>
    </row>
    <row r="51" spans="1:4" x14ac:dyDescent="0.25">
      <c r="B51" s="3" t="s">
        <v>135</v>
      </c>
      <c r="C51" s="3">
        <v>72000</v>
      </c>
      <c r="D51" s="3"/>
    </row>
    <row r="52" spans="1:4" x14ac:dyDescent="0.25">
      <c r="B52" s="3" t="s">
        <v>136</v>
      </c>
      <c r="C52" s="4"/>
      <c r="D52" s="4">
        <v>72000</v>
      </c>
    </row>
    <row r="53" spans="1:4" ht="15.75" thickBot="1" x14ac:dyDescent="0.3">
      <c r="B53" s="3"/>
      <c r="C53" s="5">
        <f>SUM(C51:C52)</f>
        <v>72000</v>
      </c>
      <c r="D53" s="5">
        <f>SUM(D51:D52)</f>
        <v>72000</v>
      </c>
    </row>
    <row r="54" spans="1:4" ht="15.75" thickTop="1" x14ac:dyDescent="0.25">
      <c r="A54" s="73" t="s">
        <v>29</v>
      </c>
      <c r="B54" s="74">
        <v>43465</v>
      </c>
      <c r="C54" s="3"/>
      <c r="D54" s="3"/>
    </row>
    <row r="55" spans="1:4" x14ac:dyDescent="0.25">
      <c r="B55" s="3"/>
      <c r="C55" s="3"/>
      <c r="D55" s="3"/>
    </row>
    <row r="56" spans="1:4" x14ac:dyDescent="0.25">
      <c r="B56" s="3"/>
      <c r="C56" s="4"/>
      <c r="D56" s="4"/>
    </row>
    <row r="57" spans="1:4" ht="15.75" thickBot="1" x14ac:dyDescent="0.3">
      <c r="B57" s="3"/>
      <c r="C57" s="5"/>
      <c r="D57" s="5"/>
    </row>
    <row r="58" spans="1:4" ht="15.75" thickTop="1" x14ac:dyDescent="0.25">
      <c r="B58" s="3"/>
      <c r="C58" s="3"/>
      <c r="D58" s="3"/>
    </row>
    <row r="59" spans="1:4" x14ac:dyDescent="0.25">
      <c r="B59" s="3"/>
      <c r="C59" s="3"/>
      <c r="D59" s="3"/>
    </row>
    <row r="60" spans="1:4" x14ac:dyDescent="0.25">
      <c r="B60" s="3"/>
      <c r="C60" s="3"/>
      <c r="D60" s="3"/>
    </row>
    <row r="61" spans="1:4" x14ac:dyDescent="0.25">
      <c r="B61" s="3"/>
      <c r="C61" s="3"/>
      <c r="D61" s="3"/>
    </row>
    <row r="62" spans="1:4" x14ac:dyDescent="0.25">
      <c r="B62" s="3"/>
      <c r="C62" s="3"/>
      <c r="D62" s="3"/>
    </row>
    <row r="63" spans="1:4" x14ac:dyDescent="0.25">
      <c r="B63" s="3"/>
      <c r="C63" s="3"/>
      <c r="D63" s="3"/>
    </row>
    <row r="64" spans="1:4" x14ac:dyDescent="0.25">
      <c r="B64" s="3"/>
      <c r="C64" s="3"/>
      <c r="D64" s="3"/>
    </row>
    <row r="65" spans="2:4" x14ac:dyDescent="0.25">
      <c r="B65" s="3"/>
      <c r="C65" s="3"/>
      <c r="D65" s="3"/>
    </row>
    <row r="66" spans="2:4" x14ac:dyDescent="0.25">
      <c r="B66" s="3"/>
      <c r="C66" s="3"/>
      <c r="D66" s="3"/>
    </row>
    <row r="67" spans="2:4" x14ac:dyDescent="0.25">
      <c r="B67" s="3"/>
      <c r="C67" s="3"/>
      <c r="D67" s="3"/>
    </row>
    <row r="68" spans="2:4" x14ac:dyDescent="0.25">
      <c r="B68" s="3"/>
      <c r="C68" s="3"/>
      <c r="D68" s="3"/>
    </row>
  </sheetData>
  <mergeCells count="4">
    <mergeCell ref="A1:D1"/>
    <mergeCell ref="A2:D2"/>
    <mergeCell ref="A3:D3"/>
    <mergeCell ref="A4:D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68"/>
  <sheetViews>
    <sheetView tabSelected="1" topLeftCell="A13" workbookViewId="0">
      <selection activeCell="A48" sqref="A48"/>
    </sheetView>
  </sheetViews>
  <sheetFormatPr baseColWidth="10" defaultRowHeight="15" x14ac:dyDescent="0.25"/>
  <cols>
    <col min="1" max="1" width="38.7109375" customWidth="1"/>
    <col min="2" max="2" width="22.5703125" customWidth="1"/>
    <col min="3" max="3" width="24.42578125" customWidth="1"/>
    <col min="4" max="17" width="12" bestFit="1" customWidth="1"/>
  </cols>
  <sheetData>
    <row r="3" spans="1:9" ht="15.75" thickBot="1" x14ac:dyDescent="0.3"/>
    <row r="4" spans="1:9" x14ac:dyDescent="0.25">
      <c r="A4" s="76" t="s">
        <v>37</v>
      </c>
      <c r="B4" s="27"/>
      <c r="C4" s="27"/>
      <c r="D4" s="27"/>
      <c r="E4" s="27"/>
      <c r="F4" s="28"/>
      <c r="G4" s="3"/>
      <c r="H4" s="3"/>
      <c r="I4" s="3"/>
    </row>
    <row r="5" spans="1:9" x14ac:dyDescent="0.25">
      <c r="A5" s="29" t="s">
        <v>36</v>
      </c>
      <c r="B5" s="30"/>
      <c r="C5" s="11"/>
      <c r="D5" s="11" t="s">
        <v>39</v>
      </c>
      <c r="E5" s="11"/>
      <c r="F5" s="31"/>
      <c r="G5" s="3"/>
      <c r="H5" s="3"/>
      <c r="I5" s="3"/>
    </row>
    <row r="6" spans="1:9" x14ac:dyDescent="0.25">
      <c r="A6" s="29">
        <v>580000</v>
      </c>
      <c r="B6" s="30">
        <v>0.7</v>
      </c>
      <c r="C6" s="11">
        <f>+A6*B6</f>
        <v>406000</v>
      </c>
      <c r="D6" s="30">
        <v>0.05</v>
      </c>
      <c r="E6" s="11">
        <f>+C6*D6</f>
        <v>20300</v>
      </c>
      <c r="F6" s="31"/>
      <c r="G6" s="3"/>
      <c r="H6" s="3"/>
      <c r="I6" s="3"/>
    </row>
    <row r="7" spans="1:9" x14ac:dyDescent="0.25">
      <c r="A7" s="29"/>
      <c r="B7" s="11"/>
      <c r="C7" s="11"/>
      <c r="D7" s="11"/>
      <c r="E7" s="11"/>
      <c r="F7" s="31"/>
      <c r="G7" s="3"/>
      <c r="H7" s="3"/>
      <c r="I7" s="3"/>
    </row>
    <row r="8" spans="1:9" x14ac:dyDescent="0.25">
      <c r="A8" s="29">
        <f>+E6</f>
        <v>20300</v>
      </c>
      <c r="B8" s="32">
        <v>80</v>
      </c>
      <c r="C8" s="11" t="s">
        <v>38</v>
      </c>
      <c r="D8" s="23"/>
      <c r="E8" s="11"/>
      <c r="F8" s="31"/>
      <c r="G8" s="3"/>
      <c r="H8" s="3"/>
      <c r="I8" s="3"/>
    </row>
    <row r="9" spans="1:9" x14ac:dyDescent="0.25">
      <c r="A9" s="29" t="s">
        <v>40</v>
      </c>
      <c r="B9" s="32">
        <v>50</v>
      </c>
      <c r="C9" s="11" t="s">
        <v>41</v>
      </c>
      <c r="D9" s="11">
        <f>(B9*A8)/B8</f>
        <v>12687.5</v>
      </c>
      <c r="E9" s="11">
        <f>+(D9/12)*10</f>
        <v>10572.916666666668</v>
      </c>
      <c r="F9" s="31"/>
      <c r="G9" s="3"/>
      <c r="H9" s="3"/>
      <c r="I9" s="3"/>
    </row>
    <row r="10" spans="1:9" x14ac:dyDescent="0.25">
      <c r="A10" s="29" t="s">
        <v>40</v>
      </c>
      <c r="B10" s="32">
        <v>30</v>
      </c>
      <c r="C10" s="11" t="s">
        <v>42</v>
      </c>
      <c r="D10" s="11">
        <f>(B10*A8)/B8</f>
        <v>7612.5</v>
      </c>
      <c r="E10" s="11">
        <f>+(D10/12)*10</f>
        <v>6343.75</v>
      </c>
      <c r="F10" s="31"/>
      <c r="G10" s="3"/>
      <c r="H10" s="3"/>
      <c r="I10" s="3"/>
    </row>
    <row r="11" spans="1:9" x14ac:dyDescent="0.25">
      <c r="A11" s="29"/>
      <c r="B11" s="11"/>
      <c r="C11" s="11"/>
      <c r="D11" s="11"/>
      <c r="E11" s="11"/>
      <c r="F11" s="31"/>
      <c r="G11" s="3"/>
      <c r="H11" s="3"/>
      <c r="I11" s="3"/>
    </row>
    <row r="12" spans="1:9" x14ac:dyDescent="0.25">
      <c r="A12" s="29"/>
      <c r="B12" s="11"/>
      <c r="C12" s="11"/>
      <c r="D12" s="11"/>
      <c r="E12" s="11"/>
      <c r="F12" s="31"/>
      <c r="G12" s="3"/>
      <c r="H12" s="3"/>
      <c r="I12" s="3"/>
    </row>
    <row r="13" spans="1:9" x14ac:dyDescent="0.25">
      <c r="A13" s="29" t="s">
        <v>44</v>
      </c>
      <c r="B13" s="33"/>
      <c r="C13" s="33"/>
      <c r="D13" s="33"/>
      <c r="E13" s="33"/>
      <c r="F13" s="34"/>
      <c r="G13" s="7"/>
      <c r="H13" s="7"/>
      <c r="I13" s="7"/>
    </row>
    <row r="14" spans="1:9" x14ac:dyDescent="0.25">
      <c r="A14" s="29">
        <v>35460</v>
      </c>
      <c r="B14" s="35">
        <v>0.33329999999999999</v>
      </c>
      <c r="C14" s="11">
        <f>+A15*B14</f>
        <v>11485.518</v>
      </c>
      <c r="D14" s="11"/>
      <c r="E14" s="11"/>
      <c r="F14" s="31"/>
      <c r="G14" s="3"/>
      <c r="H14" s="3"/>
      <c r="I14" s="3"/>
    </row>
    <row r="15" spans="1:9" x14ac:dyDescent="0.25">
      <c r="A15" s="29">
        <f>+A14-1000</f>
        <v>34460</v>
      </c>
      <c r="B15" s="11"/>
      <c r="C15" s="36">
        <f>+(C14/12)*10</f>
        <v>9571.2649999999994</v>
      </c>
      <c r="D15" s="11"/>
      <c r="E15" s="11"/>
      <c r="F15" s="31"/>
      <c r="G15" s="3"/>
      <c r="H15" s="3"/>
      <c r="I15" s="3"/>
    </row>
    <row r="16" spans="1:9" x14ac:dyDescent="0.25">
      <c r="A16" s="29"/>
      <c r="B16" s="11"/>
      <c r="C16" s="11"/>
      <c r="D16" s="11"/>
      <c r="E16" s="11"/>
      <c r="F16" s="31"/>
      <c r="G16" s="3"/>
      <c r="H16" s="3"/>
      <c r="I16" s="3"/>
    </row>
    <row r="17" spans="1:12" x14ac:dyDescent="0.25">
      <c r="A17" s="29" t="s">
        <v>45</v>
      </c>
      <c r="B17" s="11"/>
      <c r="C17" s="11"/>
      <c r="D17" s="11"/>
      <c r="E17" s="11"/>
      <c r="F17" s="31"/>
      <c r="G17" s="3"/>
      <c r="H17" s="3"/>
      <c r="I17" s="3"/>
    </row>
    <row r="18" spans="1:12" x14ac:dyDescent="0.25">
      <c r="A18" s="29">
        <v>17000</v>
      </c>
      <c r="B18" s="30">
        <v>0.2</v>
      </c>
      <c r="C18" s="11">
        <f>+A18*B18</f>
        <v>3400</v>
      </c>
      <c r="D18" s="11"/>
      <c r="E18" s="11"/>
      <c r="F18" s="31"/>
      <c r="G18" s="3"/>
      <c r="H18" s="3"/>
      <c r="I18" s="3"/>
    </row>
    <row r="19" spans="1:12" ht="15.75" thickBot="1" x14ac:dyDescent="0.3">
      <c r="A19" s="37"/>
      <c r="B19" s="38"/>
      <c r="C19" s="39">
        <f>+(C18/12)*10</f>
        <v>2833.333333333333</v>
      </c>
      <c r="D19" s="38"/>
      <c r="E19" s="38"/>
      <c r="F19" s="40"/>
      <c r="G19" s="3"/>
      <c r="H19" s="3"/>
      <c r="I19" s="3"/>
    </row>
    <row r="20" spans="1:12" x14ac:dyDescent="0.25">
      <c r="A20" s="11"/>
      <c r="B20" s="11"/>
      <c r="C20" s="36"/>
      <c r="D20" s="11"/>
      <c r="E20" s="11"/>
      <c r="F20" s="11"/>
      <c r="G20" s="3"/>
      <c r="H20" s="3"/>
      <c r="I20" s="3"/>
    </row>
    <row r="21" spans="1:12" x14ac:dyDescent="0.25">
      <c r="A21" s="11"/>
      <c r="B21" s="11"/>
      <c r="C21" s="36"/>
      <c r="D21" s="11"/>
      <c r="E21" s="11"/>
      <c r="F21" s="11"/>
      <c r="G21" s="3"/>
      <c r="H21" s="3"/>
      <c r="I21" s="3"/>
    </row>
    <row r="22" spans="1:12" x14ac:dyDescent="0.25">
      <c r="A22" s="11"/>
      <c r="B22" s="11"/>
      <c r="C22" s="36"/>
      <c r="D22" s="11"/>
      <c r="E22" s="11"/>
      <c r="F22" s="11"/>
      <c r="G22" s="3"/>
      <c r="H22" s="3"/>
      <c r="I22" s="3"/>
    </row>
    <row r="23" spans="1:12" ht="15.75" thickBot="1" x14ac:dyDescent="0.3">
      <c r="A23" s="11"/>
      <c r="B23" s="11"/>
      <c r="C23" s="36"/>
      <c r="D23" s="11"/>
      <c r="E23" s="11"/>
      <c r="F23" s="11"/>
      <c r="G23" s="3"/>
      <c r="H23" s="3"/>
      <c r="I23" s="3"/>
    </row>
    <row r="24" spans="1:12" x14ac:dyDescent="0.25">
      <c r="A24" s="76" t="s">
        <v>43</v>
      </c>
      <c r="B24" s="41"/>
      <c r="C24" s="28"/>
      <c r="D24" s="3"/>
      <c r="E24" s="3"/>
      <c r="F24" s="3"/>
      <c r="G24" s="3"/>
      <c r="H24" s="3"/>
      <c r="I24" s="3"/>
    </row>
    <row r="25" spans="1:12" x14ac:dyDescent="0.25">
      <c r="A25" s="42" t="s">
        <v>104</v>
      </c>
      <c r="B25" s="43"/>
      <c r="C25" s="44"/>
      <c r="D25" s="20"/>
      <c r="E25" s="20"/>
      <c r="F25" s="20"/>
      <c r="G25" s="20"/>
      <c r="H25" s="3"/>
      <c r="I25" s="3"/>
    </row>
    <row r="26" spans="1:12" x14ac:dyDescent="0.25">
      <c r="A26" s="45">
        <f>+'hojade trabajo'!D36</f>
        <v>120000</v>
      </c>
      <c r="B26" s="43">
        <v>0.13500000000000001</v>
      </c>
      <c r="C26" s="44">
        <f>+(A26*B26*31)/365</f>
        <v>1375.8904109589043</v>
      </c>
      <c r="D26" s="20"/>
      <c r="E26" s="20"/>
      <c r="F26" s="20"/>
      <c r="G26" s="20"/>
      <c r="H26" s="3"/>
      <c r="I26" s="3"/>
    </row>
    <row r="27" spans="1:12" ht="15.75" thickBot="1" x14ac:dyDescent="0.3">
      <c r="A27" s="46"/>
      <c r="B27" s="47"/>
      <c r="C27" s="48"/>
      <c r="D27" s="20"/>
      <c r="E27" s="20"/>
      <c r="F27" s="20"/>
      <c r="G27" s="20"/>
      <c r="H27" s="3"/>
      <c r="I27" s="3"/>
    </row>
    <row r="28" spans="1:12" ht="15.75" thickBot="1" x14ac:dyDescent="0.3">
      <c r="A28" s="20" t="s">
        <v>93</v>
      </c>
      <c r="B28" s="20"/>
      <c r="C28" s="20"/>
      <c r="D28" s="20"/>
      <c r="E28" s="20"/>
      <c r="F28" s="20"/>
      <c r="G28" s="20"/>
      <c r="H28" s="3"/>
      <c r="I28" s="3"/>
    </row>
    <row r="29" spans="1:12" x14ac:dyDescent="0.25">
      <c r="A29" s="77" t="s">
        <v>95</v>
      </c>
      <c r="B29" s="49"/>
      <c r="C29" s="49"/>
      <c r="D29" s="49"/>
      <c r="E29" s="49"/>
      <c r="F29" s="49"/>
      <c r="G29" s="50"/>
      <c r="H29" s="7"/>
      <c r="I29" s="7"/>
      <c r="J29" s="7"/>
      <c r="K29" s="7"/>
      <c r="L29" s="7"/>
    </row>
    <row r="30" spans="1:12" x14ac:dyDescent="0.25">
      <c r="A30" s="45" t="s">
        <v>105</v>
      </c>
      <c r="B30" s="43"/>
      <c r="C30" s="43"/>
      <c r="D30" s="43"/>
      <c r="E30" s="43"/>
      <c r="F30" s="43"/>
      <c r="G30" s="44"/>
      <c r="H30" s="3"/>
      <c r="I30" s="3"/>
      <c r="J30" s="3"/>
      <c r="K30" s="3"/>
      <c r="L30" s="3"/>
    </row>
    <row r="31" spans="1:12" x14ac:dyDescent="0.25">
      <c r="A31" s="45">
        <f>+'hojade trabajo'!C24</f>
        <v>25200</v>
      </c>
      <c r="B31" s="43">
        <v>4200</v>
      </c>
      <c r="C31" s="32">
        <f>+A31/B31</f>
        <v>6</v>
      </c>
      <c r="D31" s="43"/>
      <c r="E31" s="43"/>
      <c r="F31" s="43"/>
      <c r="G31" s="44"/>
      <c r="H31" s="3"/>
      <c r="I31" s="3"/>
    </row>
    <row r="32" spans="1:12" x14ac:dyDescent="0.25">
      <c r="A32" s="45"/>
      <c r="B32" s="51"/>
      <c r="C32" s="43"/>
      <c r="D32" s="43"/>
      <c r="E32" s="43"/>
      <c r="F32" s="43"/>
      <c r="G32" s="44"/>
      <c r="H32" s="3"/>
      <c r="I32" s="3"/>
    </row>
    <row r="33" spans="1:17" x14ac:dyDescent="0.25">
      <c r="A33" s="45" t="s">
        <v>106</v>
      </c>
      <c r="B33" s="43" t="s">
        <v>107</v>
      </c>
      <c r="C33" s="43" t="s">
        <v>108</v>
      </c>
      <c r="D33" s="43" t="s">
        <v>109</v>
      </c>
      <c r="E33" s="43" t="s">
        <v>110</v>
      </c>
      <c r="F33" s="43" t="s">
        <v>111</v>
      </c>
      <c r="G33" s="44"/>
      <c r="H33" s="3"/>
      <c r="I33" s="3"/>
    </row>
    <row r="34" spans="1:17" x14ac:dyDescent="0.25">
      <c r="A34" s="52">
        <v>4200</v>
      </c>
      <c r="B34" s="53">
        <v>4200</v>
      </c>
      <c r="C34" s="53">
        <v>4200</v>
      </c>
      <c r="D34" s="53">
        <v>4200</v>
      </c>
      <c r="E34" s="53">
        <v>4200</v>
      </c>
      <c r="F34" s="53">
        <v>4200</v>
      </c>
      <c r="G34" s="44"/>
      <c r="H34" s="3"/>
      <c r="I34" s="3"/>
    </row>
    <row r="35" spans="1:17" ht="15.75" thickBot="1" x14ac:dyDescent="0.3">
      <c r="A35" s="54">
        <f>+A34*2</f>
        <v>8400</v>
      </c>
      <c r="B35" s="47"/>
      <c r="C35" s="47"/>
      <c r="D35" s="47"/>
      <c r="E35" s="47"/>
      <c r="F35" s="47"/>
      <c r="G35" s="48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x14ac:dyDescent="0.25">
      <c r="B36" s="20"/>
      <c r="C36" s="20"/>
      <c r="D36" s="20"/>
      <c r="E36" s="20"/>
      <c r="F36" s="20"/>
      <c r="G36" s="20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x14ac:dyDescent="0.25">
      <c r="B37" s="20"/>
      <c r="C37" s="20"/>
      <c r="D37" s="20"/>
      <c r="E37" s="20"/>
      <c r="F37" s="20"/>
      <c r="G37" s="20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5.75" thickBot="1" x14ac:dyDescent="0.3">
      <c r="A38" s="55"/>
      <c r="B38" s="20"/>
      <c r="C38" s="20"/>
      <c r="D38" s="20"/>
      <c r="E38" s="20"/>
      <c r="F38" s="20"/>
      <c r="G38" s="20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x14ac:dyDescent="0.25">
      <c r="A39" s="78" t="s">
        <v>119</v>
      </c>
      <c r="B39" s="49"/>
      <c r="C39" s="49"/>
      <c r="D39" s="49"/>
      <c r="E39" s="50"/>
      <c r="F39" s="20"/>
      <c r="G39" s="20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x14ac:dyDescent="0.25">
      <c r="A40" s="56" t="s">
        <v>120</v>
      </c>
      <c r="B40" s="43">
        <v>2400</v>
      </c>
      <c r="C40" s="43" t="s">
        <v>121</v>
      </c>
      <c r="D40" s="43"/>
      <c r="E40" s="44"/>
      <c r="F40" s="20"/>
      <c r="G40" s="20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x14ac:dyDescent="0.25">
      <c r="A41" s="56" t="s">
        <v>122</v>
      </c>
      <c r="B41" s="43">
        <v>12000</v>
      </c>
      <c r="C41" s="43"/>
      <c r="D41" s="43"/>
      <c r="E41" s="44"/>
      <c r="F41" s="20"/>
      <c r="G41" s="20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x14ac:dyDescent="0.25">
      <c r="A42" s="52"/>
      <c r="B42" s="32">
        <f>+B41/B40</f>
        <v>5</v>
      </c>
      <c r="C42" s="43" t="s">
        <v>123</v>
      </c>
      <c r="D42" s="43"/>
      <c r="E42" s="44"/>
      <c r="F42" s="20"/>
      <c r="G42" s="20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x14ac:dyDescent="0.25">
      <c r="A43" s="57">
        <v>43404</v>
      </c>
      <c r="B43" s="58" t="s">
        <v>124</v>
      </c>
      <c r="C43" s="33">
        <v>43465</v>
      </c>
      <c r="D43" s="33">
        <v>43131</v>
      </c>
      <c r="E43" s="59" t="s">
        <v>125</v>
      </c>
      <c r="F43" s="8"/>
      <c r="G43" s="8"/>
      <c r="H43" s="8"/>
      <c r="I43" s="7"/>
      <c r="J43" s="7"/>
      <c r="K43" s="7"/>
      <c r="L43" s="7"/>
      <c r="M43" s="7"/>
      <c r="N43" s="7"/>
      <c r="O43" s="7"/>
      <c r="P43" s="7"/>
      <c r="Q43" s="7"/>
    </row>
    <row r="44" spans="1:17" x14ac:dyDescent="0.25">
      <c r="A44" s="56">
        <f>+B40</f>
        <v>2400</v>
      </c>
      <c r="B44" s="43">
        <v>2400</v>
      </c>
      <c r="C44" s="43">
        <v>2400</v>
      </c>
      <c r="D44" s="43">
        <v>2400</v>
      </c>
      <c r="E44" s="44">
        <v>2400</v>
      </c>
      <c r="F44" s="20"/>
      <c r="G44" s="20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5.75" thickBot="1" x14ac:dyDescent="0.3">
      <c r="A45" s="54">
        <f>+A44*3</f>
        <v>7200</v>
      </c>
      <c r="B45" s="60" t="s">
        <v>126</v>
      </c>
      <c r="C45" s="47"/>
      <c r="D45" s="47"/>
      <c r="E45" s="48"/>
      <c r="F45" s="20"/>
      <c r="G45" s="20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x14ac:dyDescent="0.25">
      <c r="A46" s="20"/>
      <c r="B46" s="20"/>
      <c r="C46" s="20"/>
      <c r="D46" s="20"/>
      <c r="E46" s="20"/>
      <c r="F46" s="20"/>
      <c r="G46" s="20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ht="15.75" thickBot="1" x14ac:dyDescent="0.3">
      <c r="A47" s="20"/>
      <c r="B47" s="20"/>
      <c r="C47" s="20"/>
      <c r="D47" s="20"/>
      <c r="E47" s="20"/>
      <c r="F47" s="20"/>
      <c r="G47" s="20"/>
      <c r="H47" s="3"/>
      <c r="I47" s="3"/>
    </row>
    <row r="48" spans="1:17" ht="17.25" x14ac:dyDescent="0.4">
      <c r="A48" s="79" t="s">
        <v>114</v>
      </c>
      <c r="B48" s="49"/>
      <c r="C48" s="50"/>
      <c r="D48" s="20"/>
      <c r="E48" s="20"/>
      <c r="F48" s="20"/>
      <c r="G48" s="20"/>
      <c r="H48" s="3"/>
      <c r="I48" s="3"/>
    </row>
    <row r="49" spans="1:9" x14ac:dyDescent="0.25">
      <c r="A49" s="63" t="s">
        <v>128</v>
      </c>
      <c r="B49" s="43">
        <f>+A50*A52/A51</f>
        <v>2718.75</v>
      </c>
      <c r="C49" s="44"/>
      <c r="D49" s="20"/>
      <c r="E49" s="20"/>
      <c r="F49" s="20"/>
      <c r="G49" s="20"/>
      <c r="H49" s="3"/>
      <c r="I49" s="3"/>
    </row>
    <row r="50" spans="1:9" x14ac:dyDescent="0.25">
      <c r="A50" s="45">
        <f>+'hojade trabajo'!C29</f>
        <v>4350</v>
      </c>
      <c r="B50" s="43" t="s">
        <v>38</v>
      </c>
      <c r="C50" s="64"/>
      <c r="D50" s="20"/>
      <c r="E50" s="20"/>
      <c r="F50" s="20"/>
      <c r="G50" s="20"/>
      <c r="H50" s="3"/>
      <c r="I50" s="3"/>
    </row>
    <row r="51" spans="1:9" x14ac:dyDescent="0.25">
      <c r="A51" s="45">
        <v>80</v>
      </c>
      <c r="B51" s="43" t="s">
        <v>41</v>
      </c>
      <c r="C51" s="44">
        <f>+A50*A52/A51</f>
        <v>2718.75</v>
      </c>
      <c r="D51" s="20"/>
      <c r="E51" s="20"/>
      <c r="F51" s="20"/>
      <c r="G51" s="20"/>
      <c r="H51" s="3"/>
      <c r="I51" s="3"/>
    </row>
    <row r="52" spans="1:9" x14ac:dyDescent="0.25">
      <c r="A52" s="45">
        <v>50</v>
      </c>
      <c r="B52" s="43" t="s">
        <v>42</v>
      </c>
      <c r="C52" s="44">
        <f>+A50*A53/A51</f>
        <v>1631.25</v>
      </c>
      <c r="D52" s="20"/>
      <c r="E52" s="20"/>
      <c r="F52" s="20"/>
      <c r="G52" s="20"/>
      <c r="H52" s="3"/>
      <c r="I52" s="3"/>
    </row>
    <row r="53" spans="1:9" x14ac:dyDescent="0.25">
      <c r="A53" s="45">
        <v>30</v>
      </c>
      <c r="B53" s="43"/>
      <c r="C53" s="44"/>
      <c r="D53" s="20"/>
      <c r="E53" s="20"/>
      <c r="F53" s="20"/>
      <c r="G53" s="20"/>
      <c r="H53" s="3"/>
      <c r="I53" s="3"/>
    </row>
    <row r="54" spans="1:9" ht="15.75" thickBot="1" x14ac:dyDescent="0.3">
      <c r="A54" s="46"/>
      <c r="B54" s="47"/>
      <c r="C54" s="48"/>
      <c r="D54" s="20"/>
      <c r="E54" s="20"/>
      <c r="F54" s="20"/>
      <c r="G54" s="20"/>
      <c r="H54" s="3"/>
      <c r="I54" s="3"/>
    </row>
    <row r="55" spans="1:9" x14ac:dyDescent="0.25">
      <c r="A55" s="20"/>
      <c r="B55" s="20"/>
      <c r="C55" s="20"/>
      <c r="D55" s="20"/>
      <c r="E55" s="20"/>
      <c r="F55" s="20"/>
      <c r="G55" s="20"/>
      <c r="H55" s="3"/>
      <c r="I55" s="3"/>
    </row>
    <row r="56" spans="1:9" x14ac:dyDescent="0.25">
      <c r="A56" t="s">
        <v>140</v>
      </c>
      <c r="B56" s="20"/>
      <c r="C56" s="20"/>
      <c r="D56" s="20"/>
      <c r="E56" s="20"/>
      <c r="F56" s="20"/>
      <c r="G56" s="20"/>
    </row>
    <row r="57" spans="1:9" x14ac:dyDescent="0.25">
      <c r="A57" t="s">
        <v>141</v>
      </c>
      <c r="B57" s="20">
        <f>+'hojade trabajo'!K65</f>
        <v>523434.2</v>
      </c>
      <c r="C57" s="20"/>
      <c r="D57" s="20"/>
      <c r="E57" s="20"/>
      <c r="F57" s="20"/>
      <c r="G57" s="20"/>
    </row>
    <row r="58" spans="1:9" x14ac:dyDescent="0.25">
      <c r="A58" t="s">
        <v>142</v>
      </c>
      <c r="B58" s="20">
        <f>+(B57*25%)</f>
        <v>130858.55</v>
      </c>
      <c r="C58" s="20">
        <f>+'hojade trabajo'!L66</f>
        <v>0</v>
      </c>
      <c r="D58" s="20"/>
      <c r="E58" s="20"/>
      <c r="F58" s="20"/>
      <c r="G58" s="20"/>
    </row>
    <row r="59" spans="1:9" x14ac:dyDescent="0.25">
      <c r="C59" s="20">
        <f>+C58*25%</f>
        <v>0</v>
      </c>
    </row>
    <row r="60" spans="1:9" x14ac:dyDescent="0.25">
      <c r="A60" t="s">
        <v>143</v>
      </c>
      <c r="B60" s="15">
        <f>+(B57-B58)*5%</f>
        <v>19628.782500000001</v>
      </c>
    </row>
    <row r="61" spans="1:9" x14ac:dyDescent="0.25">
      <c r="A61" t="s">
        <v>144</v>
      </c>
      <c r="B61" s="20">
        <f>+B57-B58-B60</f>
        <v>372946.86750000005</v>
      </c>
      <c r="C61" s="15">
        <f>+C58-C59*5%</f>
        <v>0</v>
      </c>
    </row>
    <row r="62" spans="1:9" x14ac:dyDescent="0.25">
      <c r="B62" s="3"/>
      <c r="C62" s="20">
        <f>+C58-C59-C61</f>
        <v>0</v>
      </c>
    </row>
    <row r="68" spans="3:3" x14ac:dyDescent="0.25">
      <c r="C68" s="2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hojade trabajo</vt:lpstr>
      <vt:lpstr>ajustes</vt:lpstr>
      <vt:lpstr>calculo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DELL</cp:lastModifiedBy>
  <dcterms:created xsi:type="dcterms:W3CDTF">2018-08-21T21:28:08Z</dcterms:created>
  <dcterms:modified xsi:type="dcterms:W3CDTF">2018-09-19T15:19:17Z</dcterms:modified>
</cp:coreProperties>
</file>