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da\Downloads\"/>
    </mc:Choice>
  </mc:AlternateContent>
  <xr:revisionPtr revIDLastSave="0" documentId="13_ncr:1_{023A0CA3-F7F9-447A-A547-8FC4B6F882FB}" xr6:coauthVersionLast="47" xr6:coauthVersionMax="47" xr10:uidLastSave="{00000000-0000-0000-0000-000000000000}"/>
  <bookViews>
    <workbookView xWindow="-108" yWindow="-108" windowWidth="23256" windowHeight="12456" tabRatio="838" firstSheet="1" activeTab="2" xr2:uid="{00000000-000D-0000-FFFF-FFFF00000000}"/>
  </bookViews>
  <sheets>
    <sheet name="Spółka JSW" sheetId="23" r:id="rId1"/>
    <sheet name="Bogdanka S.A." sheetId="24" r:id="rId2"/>
    <sheet name="Bilans w formie analitycznej" sheetId="21" r:id="rId3"/>
    <sheet name="RZiS w formie analitycznej" sheetId="11" r:id="rId4"/>
    <sheet name="Rachunek przepływów pienieżnych" sheetId="25" r:id="rId5"/>
    <sheet name="Statyczna analiza płynności" sheetId="12" r:id="rId6"/>
    <sheet name="Dynamiczna analiza płynności" sheetId="13" r:id="rId7"/>
    <sheet name="Wskaźniki rentowności" sheetId="6" r:id="rId8"/>
    <sheet name="Wzorcowa analiza nierówności" sheetId="5" r:id="rId9"/>
    <sheet name="Wskaźniki analizy majątkowo-kap" sheetId="8" r:id="rId10"/>
    <sheet name="Pozycja rynkowa spółki" sheetId="15" r:id="rId11"/>
    <sheet name="Pozycja rynkowa(sektor)" sheetId="16" r:id="rId12"/>
    <sheet name="sektor" sheetId="26" r:id="rId13"/>
    <sheet name="Analiza dyskryminacyjna" sheetId="18" r:id="rId14"/>
    <sheet name="Analiza logitowa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5" l="1"/>
  <c r="J22" i="25"/>
  <c r="I19" i="25"/>
  <c r="J19" i="25" s="1"/>
  <c r="J21" i="25"/>
  <c r="J20" i="25"/>
  <c r="J18" i="25"/>
  <c r="J17" i="25"/>
  <c r="G22" i="25"/>
  <c r="G19" i="25" s="1"/>
  <c r="F17" i="25"/>
  <c r="C17" i="25"/>
  <c r="C22" i="25"/>
  <c r="E22" i="25"/>
  <c r="E19" i="25" s="1"/>
  <c r="H18" i="25"/>
  <c r="H17" i="25"/>
  <c r="F18" i="25"/>
  <c r="H19" i="25" l="1"/>
  <c r="H20" i="25"/>
  <c r="H22" i="25"/>
  <c r="H21" i="25"/>
  <c r="F20" i="25"/>
  <c r="F19" i="25"/>
  <c r="F22" i="25"/>
  <c r="F21" i="25"/>
  <c r="C19" i="25"/>
  <c r="D22" i="25" s="1"/>
  <c r="D17" i="25"/>
  <c r="J15" i="25"/>
  <c r="J14" i="25"/>
  <c r="J13" i="25"/>
  <c r="J12" i="25"/>
  <c r="J11" i="25"/>
  <c r="J10" i="25"/>
  <c r="H15" i="25"/>
  <c r="H14" i="25"/>
  <c r="H13" i="25"/>
  <c r="H12" i="25"/>
  <c r="H11" i="25"/>
  <c r="H10" i="25"/>
  <c r="F15" i="25"/>
  <c r="F14" i="25"/>
  <c r="F13" i="25"/>
  <c r="F12" i="25"/>
  <c r="F11" i="25"/>
  <c r="F10" i="25"/>
  <c r="D15" i="25"/>
  <c r="D14" i="25"/>
  <c r="D13" i="25"/>
  <c r="D12" i="25"/>
  <c r="D11" i="25"/>
  <c r="D10" i="25"/>
  <c r="J8" i="25"/>
  <c r="J7" i="25"/>
  <c r="J6" i="25"/>
  <c r="J5" i="25"/>
  <c r="J4" i="25"/>
  <c r="H8" i="25"/>
  <c r="H7" i="25"/>
  <c r="H6" i="25"/>
  <c r="H5" i="25"/>
  <c r="H4" i="25"/>
  <c r="E5" i="25"/>
  <c r="F8" i="25" s="1"/>
  <c r="F6" i="25"/>
  <c r="F5" i="25"/>
  <c r="F4" i="25"/>
  <c r="C5" i="25"/>
  <c r="D19" i="25" l="1"/>
  <c r="D20" i="25"/>
  <c r="D21" i="25"/>
  <c r="F7" i="25"/>
  <c r="D8" i="25" l="1"/>
  <c r="D7" i="25"/>
  <c r="D6" i="25"/>
  <c r="D5" i="25"/>
  <c r="D4" i="25"/>
  <c r="K16" i="25"/>
  <c r="I16" i="25"/>
  <c r="G16" i="25"/>
  <c r="E16" i="25"/>
  <c r="C16" i="25"/>
  <c r="K9" i="25"/>
  <c r="I9" i="25"/>
  <c r="G9" i="25"/>
  <c r="E9" i="25"/>
  <c r="C9" i="25"/>
  <c r="K3" i="25"/>
  <c r="I3" i="25"/>
  <c r="G3" i="25"/>
  <c r="E3" i="25"/>
  <c r="C3" i="25"/>
  <c r="B5" i="16" l="1"/>
  <c r="O16" i="16" s="1"/>
  <c r="I25" i="15"/>
  <c r="B6" i="16"/>
  <c r="F9" i="16"/>
  <c r="E9" i="16"/>
  <c r="D9" i="16"/>
  <c r="C9" i="16"/>
  <c r="B9" i="16"/>
  <c r="F10" i="16"/>
  <c r="S5" i="16" s="1"/>
  <c r="E10" i="16"/>
  <c r="D10" i="16"/>
  <c r="C10" i="16"/>
  <c r="P5" i="16" s="1"/>
  <c r="Q5" i="16"/>
  <c r="R5" i="16"/>
  <c r="B10" i="16"/>
  <c r="P3" i="15"/>
  <c r="W3" i="15" s="1"/>
  <c r="J3" i="15"/>
  <c r="X3" i="15" s="1"/>
  <c r="Y3" i="15"/>
  <c r="Z3" i="15"/>
  <c r="AA3" i="15"/>
  <c r="W4" i="15"/>
  <c r="X4" i="15"/>
  <c r="Y4" i="15"/>
  <c r="Z4" i="15"/>
  <c r="AA4" i="15"/>
  <c r="Q4" i="15"/>
  <c r="Q3" i="15"/>
  <c r="F5" i="16"/>
  <c r="E5" i="16"/>
  <c r="D5" i="16"/>
  <c r="C5" i="16"/>
  <c r="T4" i="15"/>
  <c r="R3" i="15"/>
  <c r="K4" i="15"/>
  <c r="F4" i="15"/>
  <c r="E4" i="15"/>
  <c r="D4" i="15"/>
  <c r="C4" i="15"/>
  <c r="B4" i="15"/>
  <c r="F3" i="15"/>
  <c r="E3" i="15"/>
  <c r="D3" i="15"/>
  <c r="C3" i="15"/>
  <c r="B3" i="15"/>
  <c r="M5" i="15"/>
  <c r="L5" i="15"/>
  <c r="K5" i="15"/>
  <c r="J5" i="15"/>
  <c r="I5" i="15"/>
  <c r="M4" i="15"/>
  <c r="L4" i="15"/>
  <c r="J4" i="15"/>
  <c r="I4" i="15"/>
  <c r="B28" i="8"/>
  <c r="C28" i="8"/>
  <c r="D28" i="8"/>
  <c r="M3" i="15"/>
  <c r="L3" i="15"/>
  <c r="K3" i="15"/>
  <c r="I3" i="15"/>
  <c r="Q10" i="5"/>
  <c r="M6" i="5"/>
  <c r="N6" i="5"/>
  <c r="O6" i="5"/>
  <c r="P6" i="5"/>
  <c r="Q6" i="5"/>
  <c r="M7" i="5"/>
  <c r="N7" i="5"/>
  <c r="O7" i="5"/>
  <c r="P7" i="5"/>
  <c r="Q7" i="5"/>
  <c r="M2" i="5"/>
  <c r="N2" i="5"/>
  <c r="O2" i="5"/>
  <c r="P2" i="5"/>
  <c r="Q2" i="5"/>
  <c r="M3" i="5"/>
  <c r="N3" i="5"/>
  <c r="O3" i="5"/>
  <c r="P3" i="5"/>
  <c r="Q3" i="5"/>
  <c r="F10" i="5"/>
  <c r="B11" i="5"/>
  <c r="C11" i="5"/>
  <c r="D11" i="5"/>
  <c r="E11" i="5"/>
  <c r="F11" i="5"/>
  <c r="B6" i="5"/>
  <c r="C6" i="5"/>
  <c r="D6" i="5"/>
  <c r="E6" i="5"/>
  <c r="F6" i="5"/>
  <c r="B7" i="5"/>
  <c r="C7" i="5"/>
  <c r="D7" i="5"/>
  <c r="E7" i="5"/>
  <c r="F7" i="5"/>
  <c r="B2" i="5"/>
  <c r="C2" i="5"/>
  <c r="D2" i="5"/>
  <c r="E2" i="5"/>
  <c r="F2" i="5"/>
  <c r="B3" i="5"/>
  <c r="C3" i="5"/>
  <c r="D3" i="5"/>
  <c r="E3" i="5"/>
  <c r="F3" i="5"/>
  <c r="O6" i="16" l="1"/>
  <c r="K26" i="25"/>
  <c r="I26" i="25"/>
  <c r="G26" i="25"/>
  <c r="E26" i="25"/>
  <c r="C26" i="25"/>
  <c r="K25" i="25"/>
  <c r="I25" i="25"/>
  <c r="G25" i="25"/>
  <c r="E25" i="25"/>
  <c r="C25" i="25"/>
  <c r="K22" i="25"/>
  <c r="I22" i="25"/>
  <c r="K21" i="25"/>
  <c r="I21" i="25"/>
  <c r="G21" i="25"/>
  <c r="E21" i="25"/>
  <c r="C21" i="25"/>
  <c r="K20" i="25"/>
  <c r="I20" i="25"/>
  <c r="G20" i="25"/>
  <c r="E20" i="25"/>
  <c r="C20" i="25"/>
  <c r="K18" i="25"/>
  <c r="I18" i="25"/>
  <c r="G18" i="25"/>
  <c r="E18" i="25"/>
  <c r="C18" i="25"/>
  <c r="K15" i="25"/>
  <c r="I15" i="25"/>
  <c r="G15" i="25"/>
  <c r="E15" i="25"/>
  <c r="C15" i="25"/>
  <c r="K14" i="25"/>
  <c r="I14" i="25"/>
  <c r="G14" i="25"/>
  <c r="E14" i="25"/>
  <c r="C14" i="25"/>
  <c r="K12" i="25"/>
  <c r="I12" i="25"/>
  <c r="G12" i="25"/>
  <c r="E12" i="25"/>
  <c r="C12" i="25"/>
  <c r="K11" i="25"/>
  <c r="I11" i="25"/>
  <c r="G11" i="25"/>
  <c r="E11" i="25"/>
  <c r="C11" i="25"/>
  <c r="K6" i="25"/>
  <c r="I6" i="25"/>
  <c r="G6" i="25"/>
  <c r="E6" i="25"/>
  <c r="C6" i="25"/>
  <c r="K7" i="25"/>
  <c r="I7" i="25"/>
  <c r="G7" i="25"/>
  <c r="E7" i="25"/>
  <c r="C7" i="25"/>
  <c r="K8" i="25"/>
  <c r="I8" i="25"/>
  <c r="G8" i="25"/>
  <c r="E8" i="25"/>
  <c r="C8" i="25"/>
  <c r="K4" i="25"/>
  <c r="I4" i="25"/>
  <c r="G4" i="25"/>
  <c r="E4" i="25"/>
  <c r="L4" i="25"/>
  <c r="M4" i="25"/>
  <c r="N4" i="25"/>
  <c r="O4" i="25"/>
  <c r="C4" i="25"/>
  <c r="C16" i="11"/>
  <c r="G15" i="11"/>
  <c r="F15" i="11"/>
  <c r="G13" i="11"/>
  <c r="F13" i="11"/>
  <c r="G12" i="11"/>
  <c r="F12" i="11"/>
  <c r="G10" i="11"/>
  <c r="F10" i="11"/>
  <c r="G9" i="11"/>
  <c r="F9" i="11"/>
  <c r="G7" i="11"/>
  <c r="F7" i="11"/>
  <c r="G6" i="11"/>
  <c r="F6" i="11"/>
  <c r="H22" i="23"/>
  <c r="G4" i="11"/>
  <c r="F4" i="11"/>
  <c r="G3" i="11"/>
  <c r="F3" i="11"/>
  <c r="E23" i="18"/>
  <c r="E22" i="18"/>
  <c r="E21" i="18"/>
  <c r="E20" i="18"/>
  <c r="E9" i="18"/>
  <c r="E15" i="18"/>
  <c r="E14" i="18"/>
  <c r="E12" i="18"/>
  <c r="E11" i="18"/>
  <c r="E10" i="18"/>
  <c r="E8" i="18"/>
  <c r="D23" i="18"/>
  <c r="D22" i="18"/>
  <c r="D24" i="18"/>
  <c r="D20" i="18"/>
  <c r="D21" i="18"/>
  <c r="D18" i="18"/>
  <c r="D16" i="18"/>
  <c r="D17" i="18"/>
  <c r="D15" i="18"/>
  <c r="D14" i="18"/>
  <c r="C117" i="19"/>
  <c r="D117" i="19"/>
  <c r="E117" i="19"/>
  <c r="F117" i="19"/>
  <c r="C116" i="19"/>
  <c r="D116" i="19"/>
  <c r="E116" i="19"/>
  <c r="F116" i="19"/>
  <c r="B117" i="19"/>
  <c r="B116" i="19"/>
  <c r="C115" i="19"/>
  <c r="D115" i="19"/>
  <c r="E115" i="19"/>
  <c r="F115" i="19"/>
  <c r="B115" i="19"/>
  <c r="F111" i="19"/>
  <c r="E111" i="19"/>
  <c r="D111" i="19"/>
  <c r="B111" i="19"/>
  <c r="C111" i="19"/>
  <c r="F112" i="19"/>
  <c r="E112" i="19"/>
  <c r="D112" i="19"/>
  <c r="C112" i="19"/>
  <c r="B112" i="19"/>
  <c r="F110" i="19"/>
  <c r="E110" i="19"/>
  <c r="D110" i="19"/>
  <c r="C110" i="19"/>
  <c r="B84" i="19"/>
  <c r="B89" i="19" s="1"/>
  <c r="B110" i="19"/>
  <c r="E90" i="19"/>
  <c r="D89" i="19"/>
  <c r="C65" i="19"/>
  <c r="C64" i="19"/>
  <c r="B64" i="19"/>
  <c r="D63" i="19"/>
  <c r="E63" i="19"/>
  <c r="C39" i="19"/>
  <c r="C38" i="19"/>
  <c r="B38" i="19"/>
  <c r="D37" i="19"/>
  <c r="E37" i="19"/>
  <c r="D11" i="19"/>
  <c r="B32" i="19"/>
  <c r="B37" i="19" s="1"/>
  <c r="D12" i="18"/>
  <c r="D11" i="18"/>
  <c r="D10" i="18"/>
  <c r="D9" i="18"/>
  <c r="D8" i="18"/>
  <c r="E86" i="19"/>
  <c r="E91" i="19" s="1"/>
  <c r="F86" i="19"/>
  <c r="F91" i="19" s="1"/>
  <c r="D86" i="19"/>
  <c r="D91" i="19" s="1"/>
  <c r="C86" i="19"/>
  <c r="C91" i="19" s="1"/>
  <c r="B86" i="19"/>
  <c r="B91" i="19" s="1"/>
  <c r="F85" i="19"/>
  <c r="F90" i="19" s="1"/>
  <c r="E85" i="19"/>
  <c r="D85" i="19"/>
  <c r="D90" i="19" s="1"/>
  <c r="C85" i="19"/>
  <c r="C90" i="19" s="1"/>
  <c r="B85" i="19"/>
  <c r="B90" i="19" s="1"/>
  <c r="F84" i="19"/>
  <c r="F89" i="19" s="1"/>
  <c r="E84" i="19"/>
  <c r="E89" i="19" s="1"/>
  <c r="D84" i="19"/>
  <c r="C84" i="19"/>
  <c r="C89" i="19" s="1"/>
  <c r="B34" i="19"/>
  <c r="B39" i="19" s="1"/>
  <c r="B60" i="19"/>
  <c r="B65" i="19" s="1"/>
  <c r="B33" i="19"/>
  <c r="B59" i="19"/>
  <c r="B58" i="19"/>
  <c r="B63" i="19" s="1"/>
  <c r="F60" i="19"/>
  <c r="F65" i="19" s="1"/>
  <c r="E60" i="19"/>
  <c r="E65" i="19" s="1"/>
  <c r="D60" i="19"/>
  <c r="D65" i="19" s="1"/>
  <c r="C60" i="19"/>
  <c r="F59" i="19"/>
  <c r="F64" i="19" s="1"/>
  <c r="E59" i="19"/>
  <c r="E64" i="19" s="1"/>
  <c r="D59" i="19"/>
  <c r="D64" i="19" s="1"/>
  <c r="C59" i="19"/>
  <c r="F58" i="19"/>
  <c r="F63" i="19" s="1"/>
  <c r="E58" i="19"/>
  <c r="D58" i="19"/>
  <c r="C58" i="19"/>
  <c r="C63" i="19" s="1"/>
  <c r="F34" i="19"/>
  <c r="F39" i="19" s="1"/>
  <c r="E34" i="19"/>
  <c r="E39" i="19" s="1"/>
  <c r="D34" i="19"/>
  <c r="D39" i="19" s="1"/>
  <c r="C34" i="19"/>
  <c r="F33" i="19"/>
  <c r="F38" i="19" s="1"/>
  <c r="E33" i="19"/>
  <c r="E38" i="19" s="1"/>
  <c r="C33" i="19"/>
  <c r="D33" i="19"/>
  <c r="D38" i="19" s="1"/>
  <c r="F32" i="19"/>
  <c r="F37" i="19" s="1"/>
  <c r="E32" i="19"/>
  <c r="D32" i="19"/>
  <c r="C32" i="19"/>
  <c r="C37" i="19" s="1"/>
  <c r="B29" i="18"/>
  <c r="C29" i="18"/>
  <c r="D29" i="18"/>
  <c r="E29" i="18"/>
  <c r="F29" i="18"/>
  <c r="F92" i="18"/>
  <c r="E92" i="18"/>
  <c r="D92" i="18"/>
  <c r="C92" i="18"/>
  <c r="B92" i="18"/>
  <c r="H79" i="26"/>
  <c r="F91" i="18"/>
  <c r="E91" i="18"/>
  <c r="D91" i="18"/>
  <c r="C91" i="18"/>
  <c r="B91" i="18"/>
  <c r="F90" i="18"/>
  <c r="E90" i="18"/>
  <c r="D90" i="18"/>
  <c r="C90" i="18"/>
  <c r="B90" i="18"/>
  <c r="F8" i="19"/>
  <c r="F13" i="19" s="1"/>
  <c r="E8" i="19"/>
  <c r="E13" i="19" s="1"/>
  <c r="D8" i="19"/>
  <c r="D13" i="19" s="1"/>
  <c r="C8" i="19"/>
  <c r="C13" i="19" s="1"/>
  <c r="B8" i="19"/>
  <c r="B13" i="19" s="1"/>
  <c r="F7" i="19"/>
  <c r="F12" i="19" s="1"/>
  <c r="E7" i="19"/>
  <c r="E12" i="19" s="1"/>
  <c r="D7" i="19"/>
  <c r="D12" i="19" s="1"/>
  <c r="C7" i="19"/>
  <c r="C12" i="19" s="1"/>
  <c r="B7" i="19"/>
  <c r="B12" i="19" s="1"/>
  <c r="F6" i="19"/>
  <c r="F11" i="19" s="1"/>
  <c r="E6" i="19"/>
  <c r="E11" i="19" s="1"/>
  <c r="D6" i="19"/>
  <c r="C6" i="19"/>
  <c r="C11" i="19" s="1"/>
  <c r="B6" i="19"/>
  <c r="B11" i="19" s="1"/>
  <c r="F72" i="18"/>
  <c r="E72" i="18"/>
  <c r="D72" i="18"/>
  <c r="C72" i="18"/>
  <c r="B72" i="18"/>
  <c r="C71" i="18"/>
  <c r="B71" i="18"/>
  <c r="F71" i="18"/>
  <c r="E71" i="18"/>
  <c r="D71" i="18"/>
  <c r="F70" i="18"/>
  <c r="E70" i="18"/>
  <c r="D70" i="18"/>
  <c r="C70" i="18"/>
  <c r="B70" i="18"/>
  <c r="F51" i="18"/>
  <c r="E51" i="18"/>
  <c r="D51" i="18"/>
  <c r="C51" i="18"/>
  <c r="B51" i="18"/>
  <c r="F50" i="18"/>
  <c r="E50" i="18"/>
  <c r="D50" i="18"/>
  <c r="C50" i="18"/>
  <c r="B50" i="18"/>
  <c r="F49" i="18"/>
  <c r="E49" i="18"/>
  <c r="D49" i="18"/>
  <c r="C49" i="18"/>
  <c r="B49" i="18"/>
  <c r="E24" i="18"/>
  <c r="C24" i="18"/>
  <c r="C23" i="18"/>
  <c r="C22" i="18"/>
  <c r="C21" i="18"/>
  <c r="C20" i="18"/>
  <c r="B24" i="18"/>
  <c r="B23" i="18"/>
  <c r="B22" i="18"/>
  <c r="B21" i="18"/>
  <c r="B20" i="18"/>
  <c r="E18" i="18"/>
  <c r="E17" i="18"/>
  <c r="E16" i="18"/>
  <c r="C18" i="18"/>
  <c r="C17" i="18"/>
  <c r="C16" i="18"/>
  <c r="C15" i="18"/>
  <c r="C14" i="18"/>
  <c r="B18" i="18"/>
  <c r="B17" i="18"/>
  <c r="B16" i="18"/>
  <c r="B15" i="18"/>
  <c r="B14" i="18"/>
  <c r="C12" i="18"/>
  <c r="C11" i="18"/>
  <c r="C10" i="18"/>
  <c r="C9" i="18"/>
  <c r="C8" i="18"/>
  <c r="B12" i="18"/>
  <c r="B11" i="18"/>
  <c r="B10" i="18"/>
  <c r="B9" i="18"/>
  <c r="B8" i="18"/>
  <c r="F30" i="18"/>
  <c r="E30" i="18"/>
  <c r="D30" i="18"/>
  <c r="C30" i="18"/>
  <c r="F28" i="18"/>
  <c r="E28" i="18"/>
  <c r="D28" i="18"/>
  <c r="C28" i="18"/>
  <c r="B28" i="18"/>
  <c r="B30" i="18"/>
  <c r="O12" i="16"/>
  <c r="S14" i="16"/>
  <c r="R14" i="16"/>
  <c r="Q14" i="16"/>
  <c r="P14" i="16"/>
  <c r="O14" i="16"/>
  <c r="I26" i="15"/>
  <c r="B4" i="16"/>
  <c r="S16" i="16"/>
  <c r="R16" i="16"/>
  <c r="Q16" i="16"/>
  <c r="P16" i="16"/>
  <c r="P12" i="16"/>
  <c r="Q12" i="16"/>
  <c r="R12" i="16"/>
  <c r="S12" i="16"/>
  <c r="F6" i="16"/>
  <c r="E6" i="16"/>
  <c r="R10" i="16" s="1"/>
  <c r="D6" i="16"/>
  <c r="Q10" i="16" s="1"/>
  <c r="C6" i="16"/>
  <c r="P10" i="16" s="1"/>
  <c r="S10" i="16"/>
  <c r="X25" i="15"/>
  <c r="Q8" i="16"/>
  <c r="S8" i="16"/>
  <c r="P6" i="16"/>
  <c r="P8" i="16" s="1"/>
  <c r="Q6" i="16"/>
  <c r="R6" i="16"/>
  <c r="R8" i="16" s="1"/>
  <c r="S6" i="16"/>
  <c r="P3" i="16"/>
  <c r="Q3" i="16"/>
  <c r="R3" i="16"/>
  <c r="S3" i="16"/>
  <c r="O3" i="16"/>
  <c r="P25" i="15"/>
  <c r="C7" i="16"/>
  <c r="D7" i="16"/>
  <c r="E7" i="16"/>
  <c r="F7" i="16"/>
  <c r="C4" i="16"/>
  <c r="D4" i="16"/>
  <c r="E4" i="16"/>
  <c r="F4" i="16"/>
  <c r="F8" i="16"/>
  <c r="E8" i="16"/>
  <c r="D8" i="16"/>
  <c r="C8" i="16"/>
  <c r="B8" i="16"/>
  <c r="W25" i="15"/>
  <c r="W26" i="15"/>
  <c r="AA26" i="15"/>
  <c r="Z26" i="15"/>
  <c r="Y25" i="15"/>
  <c r="Z25" i="15"/>
  <c r="AA25" i="15"/>
  <c r="Y26" i="15"/>
  <c r="X26" i="15"/>
  <c r="T25" i="15"/>
  <c r="S25" i="15"/>
  <c r="R25" i="15"/>
  <c r="Q25" i="15"/>
  <c r="S4" i="15"/>
  <c r="R4" i="15"/>
  <c r="P4" i="15"/>
  <c r="T3" i="15"/>
  <c r="S3" i="15"/>
  <c r="F26" i="15"/>
  <c r="E26" i="15"/>
  <c r="D26" i="15"/>
  <c r="C26" i="15"/>
  <c r="B26" i="15"/>
  <c r="F25" i="15"/>
  <c r="E25" i="15"/>
  <c r="D25" i="15"/>
  <c r="C25" i="15"/>
  <c r="B25" i="15"/>
  <c r="M25" i="15"/>
  <c r="L25" i="15"/>
  <c r="K25" i="15"/>
  <c r="J25" i="15"/>
  <c r="P26" i="15"/>
  <c r="Q26" i="15"/>
  <c r="R26" i="15"/>
  <c r="S26" i="15"/>
  <c r="T26" i="15"/>
  <c r="M26" i="15"/>
  <c r="L26" i="15"/>
  <c r="K26" i="15"/>
  <c r="J26" i="15"/>
  <c r="P6" i="8"/>
  <c r="P5" i="8"/>
  <c r="T7" i="8"/>
  <c r="S7" i="8"/>
  <c r="R7" i="8"/>
  <c r="Q7" i="8"/>
  <c r="P7" i="8"/>
  <c r="F30" i="8"/>
  <c r="E30" i="8"/>
  <c r="D30" i="8"/>
  <c r="C30" i="8"/>
  <c r="B30" i="8"/>
  <c r="T6" i="8"/>
  <c r="S6" i="8"/>
  <c r="R6" i="8"/>
  <c r="Q6" i="8"/>
  <c r="T5" i="8"/>
  <c r="S5" i="8"/>
  <c r="R5" i="8"/>
  <c r="Q5" i="8"/>
  <c r="BC6" i="8"/>
  <c r="AZ7" i="8"/>
  <c r="BD7" i="8" s="1"/>
  <c r="AY7" i="8"/>
  <c r="BC7" i="8" s="1"/>
  <c r="AX7" i="8"/>
  <c r="BB7" i="8" s="1"/>
  <c r="AW7" i="8"/>
  <c r="BA7" i="8" s="1"/>
  <c r="AV7" i="8"/>
  <c r="AZ6" i="8"/>
  <c r="BD6" i="8" s="1"/>
  <c r="AY6" i="8"/>
  <c r="AX6" i="8"/>
  <c r="BB6" i="8" s="1"/>
  <c r="AW6" i="8"/>
  <c r="AV6" i="8"/>
  <c r="BA6" i="8" s="1"/>
  <c r="AZ5" i="8"/>
  <c r="BD5" i="8" s="1"/>
  <c r="AY5" i="8"/>
  <c r="AX5" i="8"/>
  <c r="AW5" i="8"/>
  <c r="AV5" i="8"/>
  <c r="AA5" i="8"/>
  <c r="AA7" i="8"/>
  <c r="Z7" i="8"/>
  <c r="Y7" i="8"/>
  <c r="X7" i="8"/>
  <c r="W7" i="8"/>
  <c r="M7" i="8"/>
  <c r="L7" i="8"/>
  <c r="K7" i="8"/>
  <c r="I7" i="8"/>
  <c r="W6" i="8"/>
  <c r="AA6" i="8"/>
  <c r="Z6" i="8"/>
  <c r="Y6" i="8"/>
  <c r="X6" i="8"/>
  <c r="W5" i="8"/>
  <c r="Z5" i="8"/>
  <c r="Y5" i="8"/>
  <c r="X5" i="8"/>
  <c r="F29" i="8"/>
  <c r="E29" i="8"/>
  <c r="D29" i="8"/>
  <c r="C29" i="8"/>
  <c r="B29" i="8"/>
  <c r="F28" i="8"/>
  <c r="E28" i="8"/>
  <c r="J7" i="8"/>
  <c r="M6" i="8"/>
  <c r="L6" i="8"/>
  <c r="K6" i="8"/>
  <c r="J6" i="8"/>
  <c r="I6" i="8"/>
  <c r="M5" i="8"/>
  <c r="L5" i="8"/>
  <c r="K5" i="8"/>
  <c r="J5" i="8"/>
  <c r="I5" i="8"/>
  <c r="M30" i="8"/>
  <c r="L30" i="8"/>
  <c r="K30" i="8"/>
  <c r="J30" i="8"/>
  <c r="I30" i="8"/>
  <c r="AQ7" i="8"/>
  <c r="AR6" i="8"/>
  <c r="AO7" i="8"/>
  <c r="AS7" i="8" s="1"/>
  <c r="AN7" i="8"/>
  <c r="AR7" i="8" s="1"/>
  <c r="AM7" i="8"/>
  <c r="AL7" i="8"/>
  <c r="AP7" i="8" s="1"/>
  <c r="AK7" i="8"/>
  <c r="AH7" i="8"/>
  <c r="AF7" i="8"/>
  <c r="T30" i="8"/>
  <c r="AG7" i="8"/>
  <c r="S30" i="8"/>
  <c r="R30" i="8"/>
  <c r="AE7" i="8"/>
  <c r="Q30" i="8"/>
  <c r="AD7" i="8"/>
  <c r="P30" i="8"/>
  <c r="AA30" i="8"/>
  <c r="Z30" i="8"/>
  <c r="Y30" i="8"/>
  <c r="X30" i="8"/>
  <c r="W30" i="8"/>
  <c r="F7" i="8"/>
  <c r="E7" i="8"/>
  <c r="D7" i="8"/>
  <c r="C7" i="8"/>
  <c r="B7" i="8"/>
  <c r="AO6" i="8"/>
  <c r="AS6" i="8" s="1"/>
  <c r="AN6" i="8"/>
  <c r="AM6" i="8"/>
  <c r="AQ6" i="8" s="1"/>
  <c r="AL6" i="8"/>
  <c r="AP6" i="8" s="1"/>
  <c r="AK6" i="8"/>
  <c r="AK5" i="8"/>
  <c r="AL5" i="8"/>
  <c r="AO5" i="8"/>
  <c r="AS5" i="8" s="1"/>
  <c r="AN5" i="8"/>
  <c r="AM5" i="8"/>
  <c r="AQ5" i="8" s="1"/>
  <c r="M29" i="8"/>
  <c r="L29" i="8"/>
  <c r="K29" i="8"/>
  <c r="J29" i="8"/>
  <c r="I29" i="8"/>
  <c r="M28" i="8"/>
  <c r="L28" i="8"/>
  <c r="K28" i="8"/>
  <c r="J28" i="8"/>
  <c r="I28" i="8"/>
  <c r="T29" i="8"/>
  <c r="S29" i="8"/>
  <c r="R29" i="8"/>
  <c r="Q29" i="8"/>
  <c r="P29" i="8"/>
  <c r="T28" i="8"/>
  <c r="S28" i="8"/>
  <c r="R28" i="8"/>
  <c r="Q28" i="8"/>
  <c r="P28" i="8"/>
  <c r="AA29" i="8"/>
  <c r="Z29" i="8"/>
  <c r="Y29" i="8"/>
  <c r="X29" i="8"/>
  <c r="W29" i="8"/>
  <c r="AA28" i="8"/>
  <c r="Z28" i="8"/>
  <c r="Y28" i="8"/>
  <c r="X28" i="8"/>
  <c r="W28" i="8"/>
  <c r="AH6" i="8"/>
  <c r="AG6" i="8"/>
  <c r="AF6" i="8"/>
  <c r="AE6" i="8"/>
  <c r="AD6" i="8"/>
  <c r="AH5" i="8"/>
  <c r="AG5" i="8"/>
  <c r="AF5" i="8"/>
  <c r="AE5" i="8"/>
  <c r="AD5" i="8"/>
  <c r="F6" i="8"/>
  <c r="E6" i="8"/>
  <c r="D6" i="8"/>
  <c r="C6" i="8"/>
  <c r="B6" i="8"/>
  <c r="F5" i="8"/>
  <c r="E5" i="8"/>
  <c r="D5" i="8"/>
  <c r="C5" i="8"/>
  <c r="B5" i="8"/>
  <c r="AA33" i="6"/>
  <c r="AB33" i="6"/>
  <c r="Z33" i="6"/>
  <c r="Y33" i="6"/>
  <c r="X33" i="6"/>
  <c r="AB32" i="6"/>
  <c r="AA32" i="6"/>
  <c r="Z32" i="6"/>
  <c r="Y32" i="6"/>
  <c r="X32" i="6"/>
  <c r="AB31" i="6"/>
  <c r="AA31" i="6"/>
  <c r="Z31" i="6"/>
  <c r="Y31" i="6"/>
  <c r="X31" i="6"/>
  <c r="AB3" i="6"/>
  <c r="AA3" i="6"/>
  <c r="Z3" i="6"/>
  <c r="Y3" i="6"/>
  <c r="X3" i="6"/>
  <c r="AB2" i="6"/>
  <c r="AA2" i="6"/>
  <c r="Z2" i="6"/>
  <c r="Y2" i="6"/>
  <c r="X2" i="6"/>
  <c r="Q32" i="6"/>
  <c r="P32" i="6"/>
  <c r="O32" i="6"/>
  <c r="N32" i="6"/>
  <c r="M32" i="6"/>
  <c r="Q31" i="6"/>
  <c r="P31" i="6"/>
  <c r="O31" i="6"/>
  <c r="N31" i="6"/>
  <c r="M31" i="6"/>
  <c r="S4" i="6"/>
  <c r="T4" i="6"/>
  <c r="U4" i="6"/>
  <c r="S3" i="6"/>
  <c r="T3" i="6"/>
  <c r="U3" i="6"/>
  <c r="R3" i="6"/>
  <c r="R4" i="6"/>
  <c r="K5" i="25" l="1"/>
  <c r="G5" i="25"/>
  <c r="I5" i="25"/>
  <c r="B7" i="16"/>
  <c r="O5" i="16"/>
  <c r="O10" i="16"/>
  <c r="O8" i="16"/>
  <c r="AP5" i="8"/>
  <c r="BA5" i="8"/>
  <c r="AR5" i="8"/>
  <c r="BC5" i="8"/>
  <c r="BB5" i="8"/>
  <c r="AD94" i="6"/>
  <c r="AC94" i="6"/>
  <c r="AD93" i="6"/>
  <c r="AE93" i="6"/>
  <c r="AF93" i="6"/>
  <c r="AE94" i="6"/>
  <c r="AF94" i="6"/>
  <c r="AC93" i="6"/>
  <c r="AB61" i="6"/>
  <c r="AA61" i="6"/>
  <c r="Z61" i="6"/>
  <c r="Y61" i="6"/>
  <c r="X61" i="6"/>
  <c r="AB60" i="6"/>
  <c r="AA60" i="6"/>
  <c r="Z60" i="6"/>
  <c r="Y60" i="6"/>
  <c r="X60" i="6"/>
  <c r="AC60" i="6" s="1"/>
  <c r="M4" i="6"/>
  <c r="N4" i="6"/>
  <c r="O4" i="6"/>
  <c r="P4" i="6"/>
  <c r="Q4" i="6"/>
  <c r="P3" i="6"/>
  <c r="Q3" i="6"/>
  <c r="O3" i="6"/>
  <c r="N3" i="6"/>
  <c r="M3" i="6"/>
  <c r="Q2" i="6"/>
  <c r="P2" i="6"/>
  <c r="O2" i="6"/>
  <c r="N2" i="6"/>
  <c r="R2" i="6" s="1"/>
  <c r="M2" i="6"/>
  <c r="AB93" i="6"/>
  <c r="AA93" i="6"/>
  <c r="Z93" i="6"/>
  <c r="Y93" i="6"/>
  <c r="X93" i="6"/>
  <c r="AB92" i="6"/>
  <c r="AA92" i="6"/>
  <c r="AE92" i="6" s="1"/>
  <c r="Z92" i="6"/>
  <c r="Y92" i="6"/>
  <c r="X92" i="6"/>
  <c r="AE61" i="6"/>
  <c r="AD62" i="6"/>
  <c r="AE62" i="6"/>
  <c r="AF62" i="6"/>
  <c r="AC62" i="6"/>
  <c r="AD31" i="6"/>
  <c r="AE31" i="6"/>
  <c r="AF31" i="6"/>
  <c r="AD32" i="6"/>
  <c r="AE32" i="6"/>
  <c r="AF32" i="6"/>
  <c r="AD33" i="6"/>
  <c r="AE33" i="6"/>
  <c r="AF33" i="6"/>
  <c r="AC32" i="6"/>
  <c r="AC33" i="6"/>
  <c r="AC31" i="6"/>
  <c r="AD2" i="6"/>
  <c r="AE2" i="6"/>
  <c r="AF2" i="6"/>
  <c r="AD3" i="6"/>
  <c r="AE3" i="6"/>
  <c r="AF3" i="6"/>
  <c r="AD4" i="6"/>
  <c r="AE4" i="6"/>
  <c r="AF4" i="6"/>
  <c r="AC3" i="6"/>
  <c r="AC4" i="6"/>
  <c r="AC2" i="6"/>
  <c r="G62" i="6"/>
  <c r="U33" i="6"/>
  <c r="S33" i="6"/>
  <c r="T33" i="6"/>
  <c r="R33" i="6"/>
  <c r="H33" i="6"/>
  <c r="I33" i="6"/>
  <c r="J33" i="6"/>
  <c r="G33" i="6"/>
  <c r="H4" i="6"/>
  <c r="I4" i="6"/>
  <c r="J4" i="6"/>
  <c r="G4" i="6"/>
  <c r="H7" i="5"/>
  <c r="I7" i="5"/>
  <c r="J7" i="5"/>
  <c r="G7" i="5"/>
  <c r="H6" i="5"/>
  <c r="I6" i="5"/>
  <c r="J6" i="5"/>
  <c r="G6" i="5"/>
  <c r="J2" i="5"/>
  <c r="H11" i="5"/>
  <c r="I11" i="5"/>
  <c r="J11" i="5"/>
  <c r="G11" i="5"/>
  <c r="H10" i="5"/>
  <c r="I10" i="5"/>
  <c r="J10" i="5"/>
  <c r="G10" i="5"/>
  <c r="S11" i="5"/>
  <c r="T11" i="5"/>
  <c r="U11" i="5"/>
  <c r="R11" i="5"/>
  <c r="S10" i="5"/>
  <c r="T10" i="5"/>
  <c r="U10" i="5"/>
  <c r="R10" i="5"/>
  <c r="S7" i="5"/>
  <c r="T7" i="5"/>
  <c r="U7" i="5"/>
  <c r="R7" i="5"/>
  <c r="S6" i="5"/>
  <c r="T6" i="5"/>
  <c r="U6" i="5"/>
  <c r="R6" i="5"/>
  <c r="U3" i="5"/>
  <c r="T3" i="5"/>
  <c r="J3" i="5"/>
  <c r="U2" i="5"/>
  <c r="I2" i="5"/>
  <c r="S2" i="5"/>
  <c r="G2" i="5"/>
  <c r="T32" i="6"/>
  <c r="R32" i="6"/>
  <c r="S32" i="6"/>
  <c r="U31" i="6"/>
  <c r="T31" i="6"/>
  <c r="B62" i="6"/>
  <c r="C62" i="6"/>
  <c r="D62" i="6"/>
  <c r="H62" i="6" s="1"/>
  <c r="E62" i="6"/>
  <c r="I62" i="6" s="1"/>
  <c r="F62" i="6"/>
  <c r="J62" i="6" s="1"/>
  <c r="F61" i="6"/>
  <c r="J61" i="6" s="1"/>
  <c r="E61" i="6"/>
  <c r="I61" i="6" s="1"/>
  <c r="D61" i="6"/>
  <c r="H61" i="6" s="1"/>
  <c r="C61" i="6"/>
  <c r="G61" i="6" s="1"/>
  <c r="B61" i="6"/>
  <c r="F60" i="6"/>
  <c r="E60" i="6"/>
  <c r="D60" i="6"/>
  <c r="C60" i="6"/>
  <c r="G60" i="6" s="1"/>
  <c r="B60" i="6"/>
  <c r="F32" i="6"/>
  <c r="J32" i="6" s="1"/>
  <c r="E32" i="6"/>
  <c r="I32" i="6" s="1"/>
  <c r="D32" i="6"/>
  <c r="C32" i="6"/>
  <c r="G32" i="6" s="1"/>
  <c r="B32" i="6"/>
  <c r="F31" i="6"/>
  <c r="E31" i="6"/>
  <c r="D31" i="6"/>
  <c r="C31" i="6"/>
  <c r="B31" i="6"/>
  <c r="F3" i="6"/>
  <c r="E3" i="6"/>
  <c r="D3" i="6"/>
  <c r="H3" i="6" s="1"/>
  <c r="C3" i="6"/>
  <c r="G3" i="6" s="1"/>
  <c r="B3" i="6"/>
  <c r="F2" i="6"/>
  <c r="E2" i="6"/>
  <c r="D2" i="6"/>
  <c r="C2" i="6"/>
  <c r="B2" i="6"/>
  <c r="I8" i="13"/>
  <c r="H2" i="5" l="1"/>
  <c r="T2" i="6"/>
  <c r="I2" i="6"/>
  <c r="G31" i="6"/>
  <c r="I60" i="6"/>
  <c r="R2" i="5"/>
  <c r="T2" i="5"/>
  <c r="G3" i="5"/>
  <c r="R3" i="5"/>
  <c r="AC92" i="6"/>
  <c r="AE60" i="6"/>
  <c r="AC61" i="6"/>
  <c r="AD60" i="6"/>
  <c r="AF92" i="6"/>
  <c r="H2" i="6"/>
  <c r="J31" i="6"/>
  <c r="H60" i="6"/>
  <c r="I3" i="5"/>
  <c r="S2" i="6"/>
  <c r="S3" i="5"/>
  <c r="H3" i="5"/>
  <c r="AD92" i="6"/>
  <c r="J60" i="6"/>
  <c r="U2" i="6"/>
  <c r="AF61" i="6"/>
  <c r="AD61" i="6"/>
  <c r="AF60" i="6"/>
  <c r="J2" i="6"/>
  <c r="R31" i="6"/>
  <c r="U32" i="6"/>
  <c r="G2" i="6"/>
  <c r="J3" i="6"/>
  <c r="I31" i="6"/>
  <c r="H32" i="6"/>
  <c r="S31" i="6"/>
  <c r="I3" i="6"/>
  <c r="H31" i="6"/>
  <c r="S8" i="12"/>
  <c r="J6" i="12" l="1"/>
  <c r="K6" i="12"/>
  <c r="L6" i="12"/>
  <c r="M6" i="12"/>
  <c r="M18" i="13"/>
  <c r="L18" i="13"/>
  <c r="K18" i="13"/>
  <c r="J18" i="13"/>
  <c r="I18" i="13"/>
  <c r="M13" i="13"/>
  <c r="L13" i="13"/>
  <c r="K13" i="13"/>
  <c r="J13" i="13"/>
  <c r="I13" i="13"/>
  <c r="M8" i="13"/>
  <c r="L8" i="13"/>
  <c r="K8" i="13"/>
  <c r="J8" i="13"/>
  <c r="M17" i="13"/>
  <c r="L17" i="13"/>
  <c r="K17" i="13"/>
  <c r="J17" i="13"/>
  <c r="I17" i="13"/>
  <c r="M16" i="13"/>
  <c r="L16" i="13"/>
  <c r="K16" i="13"/>
  <c r="J16" i="13"/>
  <c r="I16" i="13"/>
  <c r="M12" i="13"/>
  <c r="L12" i="13"/>
  <c r="K12" i="13"/>
  <c r="J12" i="13"/>
  <c r="I12" i="13"/>
  <c r="M11" i="13"/>
  <c r="L11" i="13"/>
  <c r="K11" i="13"/>
  <c r="J11" i="13"/>
  <c r="I11" i="13"/>
  <c r="M7" i="13"/>
  <c r="L7" i="13"/>
  <c r="K7" i="13"/>
  <c r="J7" i="13"/>
  <c r="I7" i="13"/>
  <c r="M6" i="13"/>
  <c r="L6" i="13"/>
  <c r="K6" i="13"/>
  <c r="J6" i="13"/>
  <c r="I6" i="13"/>
  <c r="F11" i="13"/>
  <c r="F16" i="13"/>
  <c r="D16" i="13"/>
  <c r="D26" i="13"/>
  <c r="D8" i="13"/>
  <c r="F12" i="13"/>
  <c r="F22" i="13" s="1"/>
  <c r="T7" i="12"/>
  <c r="S7" i="12"/>
  <c r="R7" i="12"/>
  <c r="Q7" i="12"/>
  <c r="P7" i="12"/>
  <c r="T6" i="12"/>
  <c r="S6" i="12"/>
  <c r="R6" i="12"/>
  <c r="Q6" i="12"/>
  <c r="P6" i="12"/>
  <c r="M7" i="12"/>
  <c r="L7" i="12"/>
  <c r="K7" i="12"/>
  <c r="J7" i="12"/>
  <c r="I7" i="12"/>
  <c r="I6" i="12"/>
  <c r="M8" i="12"/>
  <c r="L8" i="12"/>
  <c r="K8" i="12"/>
  <c r="J8" i="12"/>
  <c r="I8" i="12"/>
  <c r="F27" i="13"/>
  <c r="E27" i="13"/>
  <c r="D27" i="13"/>
  <c r="C27" i="13"/>
  <c r="B27" i="13"/>
  <c r="N14" i="21"/>
  <c r="M14" i="21"/>
  <c r="F26" i="13"/>
  <c r="E26" i="13"/>
  <c r="C26" i="13"/>
  <c r="B26" i="13"/>
  <c r="F17" i="13"/>
  <c r="E17" i="13"/>
  <c r="D17" i="13"/>
  <c r="C17" i="13"/>
  <c r="B17" i="13"/>
  <c r="E16" i="13"/>
  <c r="C16" i="13"/>
  <c r="B16" i="13"/>
  <c r="E12" i="13"/>
  <c r="E22" i="13" s="1"/>
  <c r="D12" i="13"/>
  <c r="D22" i="13" s="1"/>
  <c r="C12" i="13"/>
  <c r="C22" i="13" s="1"/>
  <c r="B12" i="13"/>
  <c r="B22" i="13" s="1"/>
  <c r="E11" i="13"/>
  <c r="D11" i="13"/>
  <c r="C11" i="13"/>
  <c r="B11" i="13"/>
  <c r="B6" i="13"/>
  <c r="F7" i="13"/>
  <c r="E7" i="13"/>
  <c r="D7" i="13"/>
  <c r="C7" i="13"/>
  <c r="B7" i="13"/>
  <c r="F6" i="13"/>
  <c r="E6" i="13"/>
  <c r="D6" i="13"/>
  <c r="C6" i="13"/>
  <c r="C21" i="13" s="1"/>
  <c r="C3" i="21"/>
  <c r="K4" i="11"/>
  <c r="K6" i="11"/>
  <c r="K7" i="11"/>
  <c r="K9" i="11"/>
  <c r="K10" i="11"/>
  <c r="K12" i="11"/>
  <c r="K13" i="11"/>
  <c r="K15" i="11"/>
  <c r="K3" i="11"/>
  <c r="O6" i="25"/>
  <c r="O7" i="25"/>
  <c r="O8" i="25"/>
  <c r="O9" i="25"/>
  <c r="O11" i="25"/>
  <c r="O14" i="25"/>
  <c r="O15" i="25"/>
  <c r="O16" i="25"/>
  <c r="O18" i="25"/>
  <c r="O20" i="25"/>
  <c r="O21" i="25"/>
  <c r="O22" i="25"/>
  <c r="O25" i="25"/>
  <c r="O26" i="25"/>
  <c r="N26" i="25"/>
  <c r="N6" i="25"/>
  <c r="N7" i="25"/>
  <c r="N8" i="25"/>
  <c r="N9" i="25"/>
  <c r="N14" i="25"/>
  <c r="N15" i="25"/>
  <c r="N16" i="25"/>
  <c r="N18" i="25"/>
  <c r="N20" i="25"/>
  <c r="N21" i="25"/>
  <c r="N22" i="25"/>
  <c r="N25" i="25"/>
  <c r="M6" i="25"/>
  <c r="M7" i="25"/>
  <c r="M8" i="25"/>
  <c r="M9" i="25"/>
  <c r="M14" i="25"/>
  <c r="M16" i="25"/>
  <c r="M18" i="25"/>
  <c r="M20" i="25"/>
  <c r="M22" i="25"/>
  <c r="M25" i="25"/>
  <c r="M26" i="25"/>
  <c r="L6" i="25"/>
  <c r="L7" i="25"/>
  <c r="L8" i="25"/>
  <c r="L9" i="25"/>
  <c r="L11" i="25"/>
  <c r="L14" i="25"/>
  <c r="L16" i="25"/>
  <c r="L18" i="25"/>
  <c r="L20" i="25"/>
  <c r="L22" i="25"/>
  <c r="L25" i="25"/>
  <c r="L26" i="25"/>
  <c r="O3" i="25"/>
  <c r="N3" i="25"/>
  <c r="M3" i="25"/>
  <c r="L3" i="25"/>
  <c r="M15" i="25"/>
  <c r="G13" i="25"/>
  <c r="I13" i="25"/>
  <c r="K13" i="25"/>
  <c r="L12" i="25"/>
  <c r="I10" i="25"/>
  <c r="M12" i="25"/>
  <c r="K10" i="25"/>
  <c r="K17" i="25"/>
  <c r="C10" i="25"/>
  <c r="E10" i="25"/>
  <c r="C13" i="25"/>
  <c r="E17" i="25"/>
  <c r="L17" i="25" s="1"/>
  <c r="G17" i="25"/>
  <c r="I17" i="25"/>
  <c r="L19" i="25"/>
  <c r="C23" i="25"/>
  <c r="E23" i="25"/>
  <c r="G23" i="25"/>
  <c r="I23" i="25"/>
  <c r="K23" i="25"/>
  <c r="C24" i="25"/>
  <c r="E24" i="25"/>
  <c r="G24" i="25"/>
  <c r="I24" i="25"/>
  <c r="K24" i="25"/>
  <c r="E13" i="11"/>
  <c r="J13" i="11" s="1"/>
  <c r="E15" i="11"/>
  <c r="J15" i="11" s="1"/>
  <c r="E12" i="11"/>
  <c r="E10" i="11"/>
  <c r="J10" i="11" s="1"/>
  <c r="E9" i="11"/>
  <c r="J9" i="11" s="1"/>
  <c r="E7" i="11"/>
  <c r="E6" i="11"/>
  <c r="F5" i="11"/>
  <c r="F8" i="11" s="1"/>
  <c r="F11" i="11" s="1"/>
  <c r="F14" i="11" s="1"/>
  <c r="F16" i="11" s="1"/>
  <c r="G5" i="11"/>
  <c r="D6" i="11"/>
  <c r="D7" i="11"/>
  <c r="D9" i="11"/>
  <c r="D10" i="11"/>
  <c r="D12" i="11"/>
  <c r="D13" i="11"/>
  <c r="D15" i="11"/>
  <c r="E4" i="11"/>
  <c r="E3" i="11"/>
  <c r="I3" i="11" s="1"/>
  <c r="D4" i="11"/>
  <c r="D3" i="11"/>
  <c r="C15" i="11"/>
  <c r="C13" i="11"/>
  <c r="H13" i="11" s="1"/>
  <c r="C12" i="11"/>
  <c r="C10" i="11"/>
  <c r="C9" i="11"/>
  <c r="C7" i="11"/>
  <c r="C6" i="11"/>
  <c r="C4" i="11"/>
  <c r="C3" i="11"/>
  <c r="P14" i="21"/>
  <c r="P15" i="21"/>
  <c r="O14" i="21"/>
  <c r="O15" i="21"/>
  <c r="N15" i="21"/>
  <c r="I11" i="21"/>
  <c r="M15" i="21"/>
  <c r="I13" i="21"/>
  <c r="C23" i="21"/>
  <c r="C21" i="21"/>
  <c r="C20" i="21"/>
  <c r="C19" i="21"/>
  <c r="C18" i="21"/>
  <c r="C17" i="21"/>
  <c r="C16" i="21"/>
  <c r="C13" i="21"/>
  <c r="D15" i="21" s="1"/>
  <c r="C12" i="21"/>
  <c r="C11" i="21"/>
  <c r="E10" i="21"/>
  <c r="C10" i="21"/>
  <c r="G9" i="21"/>
  <c r="K9" i="21"/>
  <c r="C9" i="21"/>
  <c r="C8" i="21"/>
  <c r="C7" i="21"/>
  <c r="C6" i="21"/>
  <c r="C5" i="21"/>
  <c r="C4" i="21"/>
  <c r="E23" i="21"/>
  <c r="E22" i="21"/>
  <c r="E21" i="21"/>
  <c r="E20" i="21"/>
  <c r="E19" i="21"/>
  <c r="E18" i="21"/>
  <c r="E17" i="21"/>
  <c r="E16" i="21"/>
  <c r="E13" i="21"/>
  <c r="F15" i="21" s="1"/>
  <c r="E12" i="21"/>
  <c r="E11" i="21"/>
  <c r="E9" i="21"/>
  <c r="E8" i="21"/>
  <c r="E7" i="21"/>
  <c r="E5" i="21"/>
  <c r="E6" i="21"/>
  <c r="E4" i="21"/>
  <c r="E3" i="21"/>
  <c r="G23" i="21"/>
  <c r="G22" i="21"/>
  <c r="G21" i="21"/>
  <c r="G20" i="21"/>
  <c r="G19" i="21"/>
  <c r="G18" i="21"/>
  <c r="G17" i="21"/>
  <c r="G16" i="21"/>
  <c r="G13" i="21"/>
  <c r="G12" i="21"/>
  <c r="G11" i="21"/>
  <c r="G10" i="21"/>
  <c r="G8" i="21"/>
  <c r="G7" i="21"/>
  <c r="G6" i="21"/>
  <c r="G5" i="21"/>
  <c r="G4" i="21"/>
  <c r="G3" i="21"/>
  <c r="I23" i="21"/>
  <c r="I21" i="21"/>
  <c r="I22" i="21"/>
  <c r="I20" i="21"/>
  <c r="I19" i="21"/>
  <c r="I16" i="21"/>
  <c r="I17" i="21"/>
  <c r="I18" i="21"/>
  <c r="I12" i="21"/>
  <c r="I10" i="21"/>
  <c r="I9" i="21"/>
  <c r="I8" i="21"/>
  <c r="I7" i="21"/>
  <c r="I6" i="21"/>
  <c r="I5" i="21"/>
  <c r="I4" i="21"/>
  <c r="I3" i="21"/>
  <c r="K23" i="21"/>
  <c r="K22" i="21"/>
  <c r="P22" i="21" s="1"/>
  <c r="K21" i="21"/>
  <c r="K20" i="21"/>
  <c r="K19" i="21"/>
  <c r="K18" i="21"/>
  <c r="K17" i="21"/>
  <c r="K16" i="21"/>
  <c r="K13" i="21"/>
  <c r="K12" i="21"/>
  <c r="K11" i="21"/>
  <c r="P11" i="21" s="1"/>
  <c r="K10" i="21"/>
  <c r="K8" i="21"/>
  <c r="K7" i="21"/>
  <c r="K6" i="21"/>
  <c r="K5" i="21"/>
  <c r="K4" i="21"/>
  <c r="K3" i="21"/>
  <c r="C22" i="21"/>
  <c r="G10" i="25" l="1"/>
  <c r="M10" i="25" s="1"/>
  <c r="L23" i="25"/>
  <c r="N19" i="25"/>
  <c r="M17" i="25"/>
  <c r="N5" i="25"/>
  <c r="L24" i="25"/>
  <c r="N23" i="25"/>
  <c r="O13" i="25"/>
  <c r="O19" i="25"/>
  <c r="N17" i="25"/>
  <c r="O5" i="25"/>
  <c r="L5" i="25"/>
  <c r="O24" i="25"/>
  <c r="N24" i="25"/>
  <c r="N13" i="25"/>
  <c r="K5" i="11"/>
  <c r="E21" i="13"/>
  <c r="P20" i="21"/>
  <c r="D21" i="13"/>
  <c r="B21" i="13"/>
  <c r="I4" i="11"/>
  <c r="D5" i="11"/>
  <c r="F21" i="13"/>
  <c r="C5" i="11"/>
  <c r="C8" i="11" s="1"/>
  <c r="C11" i="11" s="1"/>
  <c r="C14" i="11" s="1"/>
  <c r="O3" i="21"/>
  <c r="P5" i="21"/>
  <c r="O23" i="21"/>
  <c r="N6" i="21"/>
  <c r="J17" i="21"/>
  <c r="N11" i="21"/>
  <c r="N17" i="21"/>
  <c r="M19" i="21"/>
  <c r="L17" i="21"/>
  <c r="L22" i="21"/>
  <c r="O4" i="21"/>
  <c r="N8" i="21"/>
  <c r="J20" i="21"/>
  <c r="F16" i="21"/>
  <c r="D19" i="21"/>
  <c r="P16" i="21"/>
  <c r="D22" i="21"/>
  <c r="P6" i="21"/>
  <c r="M11" i="21"/>
  <c r="M17" i="21"/>
  <c r="G8" i="11"/>
  <c r="O23" i="25"/>
  <c r="M23" i="25"/>
  <c r="M19" i="25"/>
  <c r="L10" i="25"/>
  <c r="O17" i="25"/>
  <c r="M24" i="25"/>
  <c r="M5" i="25"/>
  <c r="O10" i="25"/>
  <c r="N12" i="25"/>
  <c r="E13" i="25"/>
  <c r="L13" i="25" s="1"/>
  <c r="L21" i="25"/>
  <c r="M21" i="25"/>
  <c r="N11" i="25"/>
  <c r="O12" i="25"/>
  <c r="L15" i="25"/>
  <c r="M11" i="25"/>
  <c r="H12" i="11"/>
  <c r="F23" i="21"/>
  <c r="D7" i="21"/>
  <c r="N9" i="21"/>
  <c r="H4" i="11"/>
  <c r="H7" i="11"/>
  <c r="I6" i="11"/>
  <c r="I12" i="11"/>
  <c r="H3" i="11"/>
  <c r="I13" i="11"/>
  <c r="H6" i="11"/>
  <c r="I7" i="11"/>
  <c r="I9" i="11"/>
  <c r="D16" i="21"/>
  <c r="H10" i="11"/>
  <c r="J3" i="11"/>
  <c r="H15" i="11"/>
  <c r="H9" i="11"/>
  <c r="I10" i="11"/>
  <c r="D8" i="11"/>
  <c r="D10" i="21"/>
  <c r="P7" i="21"/>
  <c r="P12" i="21"/>
  <c r="P18" i="21"/>
  <c r="J9" i="21"/>
  <c r="H4" i="21"/>
  <c r="N13" i="21"/>
  <c r="I15" i="11"/>
  <c r="J6" i="11"/>
  <c r="H15" i="21"/>
  <c r="J16" i="21"/>
  <c r="H19" i="21"/>
  <c r="F21" i="21"/>
  <c r="D5" i="21"/>
  <c r="D9" i="21"/>
  <c r="F10" i="21"/>
  <c r="D20" i="21"/>
  <c r="P4" i="21"/>
  <c r="P8" i="21"/>
  <c r="L13" i="21"/>
  <c r="P19" i="21"/>
  <c r="L23" i="21"/>
  <c r="J6" i="21"/>
  <c r="J10" i="21"/>
  <c r="J21" i="21"/>
  <c r="N5" i="21"/>
  <c r="H10" i="21"/>
  <c r="N16" i="21"/>
  <c r="H20" i="21"/>
  <c r="N3" i="21"/>
  <c r="M7" i="21"/>
  <c r="M12" i="21"/>
  <c r="N18" i="21"/>
  <c r="M22" i="21"/>
  <c r="D6" i="21"/>
  <c r="D11" i="21"/>
  <c r="D17" i="21"/>
  <c r="E5" i="11"/>
  <c r="E8" i="11" s="1"/>
  <c r="J14" i="21"/>
  <c r="J13" i="21"/>
  <c r="F18" i="21"/>
  <c r="H18" i="21"/>
  <c r="J12" i="11"/>
  <c r="J4" i="11"/>
  <c r="H14" i="21"/>
  <c r="H16" i="21"/>
  <c r="J15" i="21"/>
  <c r="L14" i="21"/>
  <c r="J7" i="11"/>
  <c r="D18" i="21"/>
  <c r="L15" i="21"/>
  <c r="D8" i="21"/>
  <c r="D4" i="21"/>
  <c r="F22" i="21"/>
  <c r="L7" i="21"/>
  <c r="P21" i="21"/>
  <c r="L10" i="21"/>
  <c r="J7" i="21"/>
  <c r="H21" i="21"/>
  <c r="F4" i="21"/>
  <c r="F13" i="21"/>
  <c r="L9" i="21"/>
  <c r="D21" i="21"/>
  <c r="H8" i="21"/>
  <c r="L19" i="21"/>
  <c r="M21" i="21"/>
  <c r="O21" i="21"/>
  <c r="P17" i="21"/>
  <c r="P10" i="21"/>
  <c r="D13" i="21"/>
  <c r="H7" i="21"/>
  <c r="N12" i="21"/>
  <c r="H22" i="21"/>
  <c r="M6" i="21"/>
  <c r="F9" i="21"/>
  <c r="M16" i="21"/>
  <c r="M20" i="21"/>
  <c r="O9" i="21"/>
  <c r="D23" i="21"/>
  <c r="F7" i="21"/>
  <c r="H5" i="21"/>
  <c r="L4" i="21"/>
  <c r="M10" i="21"/>
  <c r="P23" i="21"/>
  <c r="P13" i="21"/>
  <c r="P9" i="21"/>
  <c r="D14" i="21"/>
  <c r="L11" i="21"/>
  <c r="L18" i="21"/>
  <c r="O5" i="21"/>
  <c r="J22" i="21"/>
  <c r="H23" i="21"/>
  <c r="M5" i="21"/>
  <c r="M8" i="21"/>
  <c r="F5" i="21"/>
  <c r="H17" i="21"/>
  <c r="L8" i="21"/>
  <c r="M9" i="21"/>
  <c r="J11" i="21"/>
  <c r="F14" i="21"/>
  <c r="F17" i="21"/>
  <c r="F8" i="21"/>
  <c r="H13" i="21"/>
  <c r="J8" i="21"/>
  <c r="L21" i="21"/>
  <c r="N10" i="21"/>
  <c r="O22" i="21"/>
  <c r="O12" i="21"/>
  <c r="O11" i="21"/>
  <c r="F6" i="21"/>
  <c r="L5" i="21"/>
  <c r="L20" i="21"/>
  <c r="M13" i="21"/>
  <c r="M23" i="21"/>
  <c r="N23" i="21"/>
  <c r="O20" i="21"/>
  <c r="O10" i="21"/>
  <c r="L6" i="21"/>
  <c r="N22" i="21"/>
  <c r="O19" i="21"/>
  <c r="P3" i="21"/>
  <c r="N21" i="21"/>
  <c r="M3" i="21"/>
  <c r="O18" i="21"/>
  <c r="N20" i="21"/>
  <c r="F20" i="21"/>
  <c r="J19" i="21"/>
  <c r="N7" i="21"/>
  <c r="O16" i="21"/>
  <c r="J4" i="21"/>
  <c r="M18" i="21"/>
  <c r="F11" i="21"/>
  <c r="H9" i="21"/>
  <c r="J5" i="21"/>
  <c r="L16" i="21"/>
  <c r="O6" i="21"/>
  <c r="J18" i="21"/>
  <c r="N4" i="21"/>
  <c r="N19" i="21"/>
  <c r="O17" i="21"/>
  <c r="F19" i="21"/>
  <c r="O8" i="21"/>
  <c r="M4" i="21"/>
  <c r="H6" i="21"/>
  <c r="O7" i="21"/>
  <c r="H11" i="21"/>
  <c r="J23" i="21"/>
  <c r="O13" i="21"/>
  <c r="N10" i="25" l="1"/>
  <c r="H5" i="11"/>
  <c r="G11" i="11"/>
  <c r="K8" i="11"/>
  <c r="M13" i="25"/>
  <c r="D11" i="11"/>
  <c r="H8" i="11"/>
  <c r="I8" i="11"/>
  <c r="J8" i="11"/>
  <c r="E11" i="11"/>
  <c r="I5" i="11"/>
  <c r="J5" i="11"/>
  <c r="G14" i="11" l="1"/>
  <c r="K11" i="11"/>
  <c r="J11" i="11"/>
  <c r="I11" i="11"/>
  <c r="E14" i="11"/>
  <c r="D14" i="11"/>
  <c r="H11" i="11"/>
  <c r="K14" i="11" l="1"/>
  <c r="G16" i="11"/>
  <c r="K16" i="11" s="1"/>
  <c r="H14" i="11"/>
  <c r="D16" i="11"/>
  <c r="H16" i="11" s="1"/>
  <c r="I14" i="11"/>
  <c r="E16" i="11"/>
  <c r="J14" i="11"/>
  <c r="I16" i="11" l="1"/>
  <c r="J16" i="11"/>
</calcChain>
</file>

<file path=xl/sharedStrings.xml><?xml version="1.0" encoding="utf-8"?>
<sst xmlns="http://schemas.openxmlformats.org/spreadsheetml/2006/main" count="1670" uniqueCount="726">
  <si>
    <t>EMIS</t>
  </si>
  <si>
    <t>www.emis.com</t>
  </si>
  <si>
    <t>Rachunek zysków i strat</t>
  </si>
  <si>
    <t>Podatek dochodowy</t>
  </si>
  <si>
    <t>Zysk netto</t>
  </si>
  <si>
    <t>Bilans</t>
  </si>
  <si>
    <t>Aktywa ogółem</t>
  </si>
  <si>
    <t>Pasywa ogółem</t>
  </si>
  <si>
    <t>Rachunek przepływów pieniężnych</t>
  </si>
  <si>
    <t>Przepływy środków pieniężnych z działalności operacyjnej</t>
  </si>
  <si>
    <t>Przepływy środków pieniężnych z działalności inwestycyjnej</t>
  </si>
  <si>
    <t>Przepływy środków pieniężnych z działalności finansowej</t>
  </si>
  <si>
    <t>Środki pieniężne na początek okresu</t>
  </si>
  <si>
    <t>Środki pieniężne na koniec okresu</t>
  </si>
  <si>
    <t>DYNAMIKA</t>
  </si>
  <si>
    <t>Przepływy pieniężne netto z działalności operacyjnej</t>
  </si>
  <si>
    <t>IK Kapitał stały</t>
  </si>
  <si>
    <t>IZ Zysk netto</t>
  </si>
  <si>
    <t>WSKAŹNIK RENTOWNOŚCI SPRZEDAŻY ROS</t>
  </si>
  <si>
    <t>WSKAŹNIK RENTOWNOŚCI AKTYWÓW ROA</t>
  </si>
  <si>
    <t>WSKAŹNIK RENTOWNOŚCI K. WŁASNYCH ROE</t>
  </si>
  <si>
    <t>WSKAŹNIK STRUKTURY AKTYWÓW</t>
  </si>
  <si>
    <t>WSKAŹNIK WYKORZYSTANIA AKTYWÓW OGÓŁEM</t>
  </si>
  <si>
    <t>WSKAŹNIK RENTOWNOŚCI RZECZOWYCH ŚRODKÓW TRWAŁYCH</t>
  </si>
  <si>
    <t>WSKAŹNIK TECHNICZNEGO UZBROJENIA PRACY</t>
  </si>
  <si>
    <t>WSKAŹNIK PRODUKTYWNOŚCI ŚRODKÓW TRWAŁYCH</t>
  </si>
  <si>
    <t>WSKAŹNIK STRUKTURY PASYWÓW</t>
  </si>
  <si>
    <t>WSKAŹNIK OGÓLNEGO ZADŁUŻENIA</t>
  </si>
  <si>
    <t>W. ZADŁUŻENIA KAPITAŁÓW WŁASNYCH</t>
  </si>
  <si>
    <t>ZŁOTA ZASADA BILANSOWA</t>
  </si>
  <si>
    <t>ZŁOTA ZASADA BANKOWA</t>
  </si>
  <si>
    <t>WSKAŹNIK ZASTOSOWANIA K. WŁASNYCH</t>
  </si>
  <si>
    <t>WSKAŹNIK ZWIĄZANIA AKTYWÓW DŁUGOTERMINOWYCH</t>
  </si>
  <si>
    <t>W. POKRYCIA ZOBOWIĄZAŃ OGÓŁEM NADWYŻKA FINANSOWĄ</t>
  </si>
  <si>
    <t>WSKAŹNIK RENTOWNOŚCI OPERACYJNEJ</t>
  </si>
  <si>
    <t>A.</t>
  </si>
  <si>
    <t>B.</t>
  </si>
  <si>
    <t>C.</t>
  </si>
  <si>
    <t>D.</t>
  </si>
  <si>
    <t>E.</t>
  </si>
  <si>
    <t>H.</t>
  </si>
  <si>
    <t>I.</t>
  </si>
  <si>
    <t>J.</t>
  </si>
  <si>
    <t>K.</t>
  </si>
  <si>
    <t>WSKAŹNIK SZYBKIEJ PŁYNNOŚCI FINANSOWEJ</t>
  </si>
  <si>
    <t>WSKAŹNIK POKRYCIA ZOBOWIĄZAŃ NALEŻNOŚCIAMI</t>
  </si>
  <si>
    <t>WSKAŹNIK UDZIAŁU KAPITAŁU PRACUJĄCEGO W AKTYWACH</t>
  </si>
  <si>
    <t>WSKAŹNIK ROTACJI NALEŻNOŚCI W DNIACH</t>
  </si>
  <si>
    <t>WSKAŹNIK ROTACJI ZAPASÓW W DNIACH</t>
  </si>
  <si>
    <t>WSKAŹNIK ROTACJI ZOBOWIĄZAŃ W DNIACH</t>
  </si>
  <si>
    <t>CYKL ŚRODKÓW PIENIĘŻNYCH</t>
  </si>
  <si>
    <t>WSKAŹNIK ROTACJI AKTYWÓW OGÓŁEM</t>
  </si>
  <si>
    <t>WSKAŹNIK WYDAJNOŚCI GOTÓWKOWEJ SPRZEDAŻY</t>
  </si>
  <si>
    <t>WSKAŹNIK WYDAJNOŚCI GOTÓWKOWEJ ZYSKU</t>
  </si>
  <si>
    <t>WSKAŹNIK WYDAJNOŚCI GOTÓWKOWEJ MAJĄTKU</t>
  </si>
  <si>
    <t>Sektor</t>
  </si>
  <si>
    <t>ROK</t>
  </si>
  <si>
    <t>LICZBA AKCJI</t>
  </si>
  <si>
    <t>DYWIDENDA (tys. zł)</t>
  </si>
  <si>
    <t>(WARTOŚĆ W ZŁOTÓWKACH)</t>
  </si>
  <si>
    <t>WARTOŚĆ KSIĘGOWA NA AKCJE (zł)</t>
  </si>
  <si>
    <t>CENA RYNKOWA JEDNEJ AKCJI (zł)</t>
  </si>
  <si>
    <t>ANALIZA POZYCJI RYNKOWEJ SPÓŁKI-SEKTOR</t>
  </si>
  <si>
    <t>PRZYCHODY ZE SPRZEDAŻY (tys. zł)</t>
  </si>
  <si>
    <t>ZYSK NETTO  (tys. zł)</t>
  </si>
  <si>
    <t>WSKAŹNIK PRODUKTYWNOŚCI JEDNEJ AKCJI</t>
  </si>
  <si>
    <t>ZYSK PRZYPADAJĄCY NA JEDNĄ AKCJĘ</t>
  </si>
  <si>
    <t>DYWIDENDA PRZYPADAJĄCA NA JEDNĄ AKCJĘ</t>
  </si>
  <si>
    <t>WSKAŹNIK CENA DO ZYSKU</t>
  </si>
  <si>
    <t>CENA RYNKOWA  DO WARTOŚCI KSIĘGOWEJ</t>
  </si>
  <si>
    <t>WSKAŹNIK STOPY DYWIDENDY</t>
  </si>
  <si>
    <r>
      <rPr>
        <b/>
        <sz val="13"/>
        <color rgb="FF000000"/>
        <rFont val="Times New Roman"/>
        <family val="1"/>
        <charset val="238"/>
      </rPr>
      <t>WSKAŹNIK PRODUKTYWNOŚCI JEDNEJ AKCJI</t>
    </r>
    <r>
      <rPr>
        <sz val="13"/>
        <color rgb="FF000000"/>
        <rFont val="Times New Roman"/>
        <family val="1"/>
        <charset val="238"/>
      </rPr>
      <t>= PRZYCHODY ZE SPRZEDAŻY/ LICZBA WYEMITOWANYCH AKCJI</t>
    </r>
  </si>
  <si>
    <r>
      <rPr>
        <b/>
        <sz val="13"/>
        <color rgb="FF000000"/>
        <rFont val="Times New Roman"/>
        <family val="1"/>
        <charset val="238"/>
      </rPr>
      <t>ZYSK PRZYPADAJĄCY NA JEDNĄ AKCJĘ</t>
    </r>
    <r>
      <rPr>
        <sz val="13"/>
        <color rgb="FF000000"/>
        <rFont val="Times New Roman"/>
        <family val="1"/>
        <charset val="238"/>
      </rPr>
      <t>= ZYSK NETTO/ LICZBA WYEMITOWANYCH AKCJI</t>
    </r>
  </si>
  <si>
    <r>
      <rPr>
        <b/>
        <sz val="13"/>
        <color rgb="FF000000"/>
        <rFont val="Times New Roman"/>
        <family val="1"/>
        <charset val="238"/>
      </rPr>
      <t>DYWIDENDA PRZYPADAJĄCA NA JEDNĄ AKCJĘ</t>
    </r>
    <r>
      <rPr>
        <sz val="13"/>
        <color rgb="FF000000"/>
        <rFont val="Times New Roman"/>
        <family val="1"/>
        <charset val="238"/>
      </rPr>
      <t>= DYWIDENDA/ LICZBA WYEMITOWANYCH AKCJI</t>
    </r>
  </si>
  <si>
    <r>
      <rPr>
        <b/>
        <sz val="13"/>
        <color rgb="FF000000"/>
        <rFont val="Times New Roman"/>
        <family val="1"/>
        <charset val="238"/>
      </rPr>
      <t>KAPITALIZACJA RYNKKOWA</t>
    </r>
    <r>
      <rPr>
        <sz val="13"/>
        <color rgb="FF000000"/>
        <rFont val="Times New Roman"/>
        <family val="1"/>
        <charset val="238"/>
      </rPr>
      <t>= CENA RYNKOWA 1 AKCJI*LICZBA WYEMITOWANYCH AKCJI</t>
    </r>
  </si>
  <si>
    <r>
      <rPr>
        <b/>
        <sz val="13"/>
        <color rgb="FF000000"/>
        <rFont val="Times New Roman"/>
        <family val="1"/>
        <charset val="238"/>
      </rPr>
      <t>WSKAŹNIK CENA DO ZYSKU</t>
    </r>
    <r>
      <rPr>
        <sz val="13"/>
        <color rgb="FF000000"/>
        <rFont val="Times New Roman"/>
        <family val="1"/>
        <charset val="238"/>
      </rPr>
      <t>= CENA RYNKOWA 1 AKCJI/ ZYSK NETTO NA 1 AKCJĘ</t>
    </r>
  </si>
  <si>
    <r>
      <rPr>
        <b/>
        <sz val="13"/>
        <color rgb="FF000000"/>
        <rFont val="Times New Roman"/>
        <family val="1"/>
        <charset val="238"/>
      </rPr>
      <t>CENA RYNKOWA  DO WARTOŚCI KSIĘGOWEJ=</t>
    </r>
    <r>
      <rPr>
        <sz val="13"/>
        <color rgb="FF000000"/>
        <rFont val="Times New Roman"/>
        <family val="1"/>
        <charset val="238"/>
      </rPr>
      <t xml:space="preserve"> CENA RYNKOWA 1 AKCJI/ WARTOŚĆ KSIĘGOWA 1 AKCJI</t>
    </r>
  </si>
  <si>
    <r>
      <rPr>
        <b/>
        <sz val="13"/>
        <color rgb="FF000000"/>
        <rFont val="Times New Roman"/>
        <family val="1"/>
        <charset val="238"/>
      </rPr>
      <t>WSKAŹNIK STOPY DYWIDENDY</t>
    </r>
    <r>
      <rPr>
        <sz val="13"/>
        <color rgb="FF000000"/>
        <rFont val="Times New Roman"/>
        <family val="1"/>
        <charset val="238"/>
      </rPr>
      <t>= DYWIDEND NA 1 AKCJĘ/CENA RYNKOWA 1 AKCJI</t>
    </r>
  </si>
  <si>
    <t>KAPITALIZACJA RYNKOWA</t>
  </si>
  <si>
    <t>WARTOŚĆ KSIĘGOWA (zł)</t>
  </si>
  <si>
    <t xml:space="preserve">MODEL STĘPNIA I STRĄKA </t>
  </si>
  <si>
    <t>x1</t>
  </si>
  <si>
    <t>x2</t>
  </si>
  <si>
    <t>x3</t>
  </si>
  <si>
    <t>x4</t>
  </si>
  <si>
    <t>SZYBKI TEST MĄCZYŃSKIEJ-JEDNOWYMIAROWE</t>
  </si>
  <si>
    <t>MODEL MĄCZYŃSKIEJ-WIELOWYMIAROWE</t>
  </si>
  <si>
    <t>W</t>
  </si>
  <si>
    <t>W OCENA</t>
  </si>
  <si>
    <t>MODEL "POZNAŃSKI"-WIELOWYMIAROWE</t>
  </si>
  <si>
    <t>MODEL WIERZBY-WIELOWYMIAROWE</t>
  </si>
  <si>
    <t>Z</t>
  </si>
  <si>
    <t>Z OCENA</t>
  </si>
  <si>
    <t>MODEL PRUSAKA-WIELOWYMIAROWE</t>
  </si>
  <si>
    <t>P</t>
  </si>
  <si>
    <t>P OCENA</t>
  </si>
  <si>
    <t>WARTOŚĆ FUNKCJI LOGISTYCZNEJ</t>
  </si>
  <si>
    <t>MODEL GRUSZCZYŃSKIEGO  MLD 1</t>
  </si>
  <si>
    <t>MODEL GRUSZCZYŃSKIEGO  MLD 2</t>
  </si>
  <si>
    <t>WARTOŚĆ FUNKCJI LOGISTYCZNEJ-OCENA</t>
  </si>
  <si>
    <t>MODEL GRUSZCZYŃSKIEGO  MLD 3</t>
  </si>
  <si>
    <t>MODEL GRUSZCZYŃSKIEGO  MLD 4</t>
  </si>
  <si>
    <t>F.</t>
  </si>
  <si>
    <t>G.</t>
  </si>
  <si>
    <r>
      <rPr>
        <b/>
        <sz val="13"/>
        <color rgb="FF000000"/>
        <rFont val="Times New Roman"/>
        <family val="1"/>
        <charset val="238"/>
      </rPr>
      <t>STOPA WYPŁATY DYWIDENDY=</t>
    </r>
    <r>
      <rPr>
        <sz val="13"/>
        <color rgb="FF000000"/>
        <rFont val="Times New Roman"/>
        <family val="1"/>
        <charset val="238"/>
      </rPr>
      <t xml:space="preserve"> DYWIDENDA NA 1 AKCJĘ/ ZYSK NETTO NA JEDNĄ AKCJĘ</t>
    </r>
  </si>
  <si>
    <t>19/18</t>
  </si>
  <si>
    <t>20/19</t>
  </si>
  <si>
    <t>21/20</t>
  </si>
  <si>
    <t>22/21</t>
  </si>
  <si>
    <t>LW</t>
  </si>
  <si>
    <t>SEKTOR</t>
  </si>
  <si>
    <t>Spółka XX</t>
  </si>
  <si>
    <t>Konkurent 1</t>
  </si>
  <si>
    <t>ANALIZA DYSKRIMINACYJNA DLA Spółki XX, Konkurencji ORAZ SEKTORA</t>
  </si>
  <si>
    <t>STOPA WPŁATY DYWIDENDY</t>
  </si>
  <si>
    <t xml:space="preserve">Wszystkie wartości zostały wyliczone samodzielnie za pomocą danych z </t>
  </si>
  <si>
    <t>WSKAŹNIK MARŻY BRUTTO</t>
  </si>
  <si>
    <t>PRZYCHODY OPERACYJNE</t>
  </si>
  <si>
    <t>KOSZTY OPERACYJNE</t>
  </si>
  <si>
    <t>ZYSK (STRATA)Z DZIAŁALNOŚCI OPERACYJNEJ</t>
  </si>
  <si>
    <r>
      <t>DYNAMIKA</t>
    </r>
    <r>
      <rPr>
        <b/>
        <sz val="10"/>
        <color rgb="FF000000"/>
        <rFont val="Times New Roman"/>
        <family val="1"/>
        <charset val="238"/>
      </rPr>
      <t xml:space="preserve"> </t>
    </r>
    <r>
      <rPr>
        <b/>
        <sz val="11"/>
        <color rgb="FF000000"/>
        <rFont val="Times New Roman"/>
        <family val="1"/>
        <charset val="238"/>
      </rPr>
      <t>2019/2018</t>
    </r>
  </si>
  <si>
    <r>
      <t>DYNAMIKA</t>
    </r>
    <r>
      <rPr>
        <b/>
        <sz val="10"/>
        <color rgb="FF000000"/>
        <rFont val="Times New Roman"/>
        <family val="1"/>
        <charset val="238"/>
      </rPr>
      <t xml:space="preserve"> </t>
    </r>
    <r>
      <rPr>
        <b/>
        <sz val="11"/>
        <color rgb="FF000000"/>
        <rFont val="Times New Roman"/>
        <family val="1"/>
        <charset val="238"/>
      </rPr>
      <t>2020/2019</t>
    </r>
  </si>
  <si>
    <r>
      <t>DYNAMIKA</t>
    </r>
    <r>
      <rPr>
        <b/>
        <sz val="10"/>
        <color rgb="FF000000"/>
        <rFont val="Times New Roman"/>
        <family val="1"/>
        <charset val="238"/>
      </rPr>
      <t xml:space="preserve"> </t>
    </r>
    <r>
      <rPr>
        <b/>
        <sz val="11"/>
        <color rgb="FF000000"/>
        <rFont val="Times New Roman"/>
        <family val="1"/>
        <charset val="238"/>
      </rPr>
      <t>2021/2020</t>
    </r>
  </si>
  <si>
    <r>
      <t>DYNAMIKA</t>
    </r>
    <r>
      <rPr>
        <b/>
        <sz val="10"/>
        <color rgb="FF000000"/>
        <rFont val="Times New Roman"/>
        <family val="1"/>
        <charset val="238"/>
      </rPr>
      <t xml:space="preserve"> </t>
    </r>
    <r>
      <rPr>
        <b/>
        <sz val="11"/>
        <color rgb="FF000000"/>
        <rFont val="Times New Roman"/>
        <family val="1"/>
        <charset val="238"/>
      </rPr>
      <t>2022/2021</t>
    </r>
  </si>
  <si>
    <t>KONKURENCJA ANALIZA NIERÓWNOŚCI</t>
  </si>
  <si>
    <t>SEKTOR ANALIZA NIERÓWNOŚCI</t>
  </si>
  <si>
    <t>SPÓŁKA XX ANALIZA ZNAKÓW</t>
  </si>
  <si>
    <t>KONKURENCJA ANALIZA ZNAKÓW</t>
  </si>
  <si>
    <t>SEKTOR ANALIZA ZNAKÓW</t>
  </si>
  <si>
    <t>Str. 2018</t>
  </si>
  <si>
    <t>Str. 2019</t>
  </si>
  <si>
    <t>Str. 2020</t>
  </si>
  <si>
    <t>Str. 2021</t>
  </si>
  <si>
    <t>Str. 2022</t>
  </si>
  <si>
    <t>Aktywa niematerialne</t>
  </si>
  <si>
    <t>Rzeczowe aktywa trwałe</t>
  </si>
  <si>
    <t>Nieruchomości inwestycyjne</t>
  </si>
  <si>
    <t>Środki pieniężne i ich ekwiwalenty</t>
  </si>
  <si>
    <t>Należności z tytułu dostaw i usług</t>
  </si>
  <si>
    <t>Aktywa trwałe</t>
  </si>
  <si>
    <t>Aktywa obrotowe</t>
  </si>
  <si>
    <t>Kapitał własny</t>
  </si>
  <si>
    <t>Kapitał akcyjny</t>
  </si>
  <si>
    <t>Kapitał z nadwyżki ceny emisyjnej</t>
  </si>
  <si>
    <t>Zyski zatrzymane</t>
  </si>
  <si>
    <t>Kredyty i pożyczki</t>
  </si>
  <si>
    <t>Zobowiązania długoterminowe</t>
  </si>
  <si>
    <t>Zobowiązania z tytułu dostaw i usług</t>
  </si>
  <si>
    <t>Zobowiązania ogółem</t>
  </si>
  <si>
    <t>Zobowiązania krótkoterminowe</t>
  </si>
  <si>
    <t>Zapasy</t>
  </si>
  <si>
    <t>L.</t>
  </si>
  <si>
    <t>M.</t>
  </si>
  <si>
    <t>O.</t>
  </si>
  <si>
    <t>Przychody ze sprzedaży</t>
  </si>
  <si>
    <t>Koszty sprzedanych produktów, towarów i materiałów</t>
  </si>
  <si>
    <t>Zysk/strata brutto ze sprzedaży (A-B)</t>
  </si>
  <si>
    <t>Koszty sprzedaży</t>
  </si>
  <si>
    <t>Koszty ogólnego zarządu</t>
  </si>
  <si>
    <t>Zysk/strata ze sprzedaży (C-D-E)</t>
  </si>
  <si>
    <t>Pozostałe przychody operacyjne</t>
  </si>
  <si>
    <t>Pozostałe koszty operacyjne</t>
  </si>
  <si>
    <t>Przychody finansowe</t>
  </si>
  <si>
    <t>Zysk/strata brutto (I+J-K)</t>
  </si>
  <si>
    <t>Koszty finansowe</t>
  </si>
  <si>
    <t>Zysk/strata netto (L-M-K)</t>
  </si>
  <si>
    <t>Korekty razem</t>
  </si>
  <si>
    <t>Zysk (strata) netto</t>
  </si>
  <si>
    <t>2. Odsetki i udzaiły w zyskach</t>
  </si>
  <si>
    <t>4. Pozostałe rozliczenia</t>
  </si>
  <si>
    <t>5. Pozostałe korekty</t>
  </si>
  <si>
    <t>Wpływy</t>
  </si>
  <si>
    <t>1. Sprzedaż aktywów trwałych</t>
  </si>
  <si>
    <t>2. Pozostałe wydatki</t>
  </si>
  <si>
    <t>Wydatki</t>
  </si>
  <si>
    <t>1. Nabycie aktywów trwałych</t>
  </si>
  <si>
    <t>2. Pozostałe wpływy</t>
  </si>
  <si>
    <t>1. Kredyty i pożyczki</t>
  </si>
  <si>
    <t>3. Inne wydatki finansowe</t>
  </si>
  <si>
    <t>1. Spłaty kredytów i pożyczek</t>
  </si>
  <si>
    <t>Przepłwy pieniężne netto, razem (A+B+C)</t>
  </si>
  <si>
    <t>Zmiana stanu środków pieniężnych</t>
  </si>
  <si>
    <t>I - ??</t>
  </si>
  <si>
    <t>N-??</t>
  </si>
  <si>
    <t>Copyright © 2024 EMIS, wszelkie prawa zastrzeżone</t>
  </si>
  <si>
    <t>Rozpowszechnianie informacji w jakiejkolwiek formie surowo wzbronione</t>
  </si>
  <si>
    <t>FDB - Financials</t>
  </si>
  <si>
    <t>Źródło</t>
  </si>
  <si>
    <t>Zaudytowany</t>
  </si>
  <si>
    <t>PLN miliony</t>
  </si>
  <si>
    <t>Oryginalne jednostki jak podane przez spółkę</t>
  </si>
  <si>
    <t>2018-12-31</t>
  </si>
  <si>
    <t>2019-12-31</t>
  </si>
  <si>
    <t>2020-12-31</t>
  </si>
  <si>
    <t>2021-12-31</t>
  </si>
  <si>
    <t>2022-12-31</t>
  </si>
  <si>
    <t>Koniec okresu</t>
  </si>
  <si>
    <t>2018-01-01</t>
  </si>
  <si>
    <t>2019-01-01</t>
  </si>
  <si>
    <t>2020-01-01</t>
  </si>
  <si>
    <t>2021-01-01</t>
  </si>
  <si>
    <t>2022-01-01</t>
  </si>
  <si>
    <t>Początek okresu rozliczeniowego</t>
  </si>
  <si>
    <t>Roczne, Skonsolidowane</t>
  </si>
  <si>
    <t>Rodzaj raportu</t>
  </si>
  <si>
    <t>Wolne przepływy pieniężne</t>
  </si>
  <si>
    <t>Zmiana stanu środków pieniężnych z tytułu różnic kursowych</t>
  </si>
  <si>
    <t>Wzrost (spadek) netto środków pieniężnych</t>
  </si>
  <si>
    <t>      Inne wpływy gotówki z działalności finansowej</t>
  </si>
  <si>
    <t>      Dywidendy i inne wypłaty na rzecz właścicieli</t>
  </si>
  <si>
    <t>      Zobowiązania z tytułu leasingu</t>
  </si>
  <si>
    <t>      Spłata pożyczek i kredytów</t>
  </si>
  <si>
    <t>      Kredyty i pożyczki</t>
  </si>
  <si>
    <t>      Wpływy netto z emisji akcji zwykłych</t>
  </si>
  <si>
    <t>      Inne wpływy gotówki z działalności inwestycyjnej</t>
  </si>
  <si>
    <t>      Przejęcie spółki zależnej</t>
  </si>
  <si>
    <t>      Wpływy ze zbycia instrumentów finansowych</t>
  </si>
  <si>
    <t>      Nabycie instrumentów finansowych</t>
  </si>
  <si>
    <t>      Nabycie składników aktywów trwałych</t>
  </si>
  <si>
    <t>      Wpływy ze zbycia składników majątku trwałego</t>
  </si>
  <si>
    <t>      Podatek dochodowy zapłacony</t>
  </si>
  <si>
    <t>            Inne korekty</t>
  </si>
  <si>
    <t>            Korekta: przychody finansowe</t>
  </si>
  <si>
    <t>      Środki pieniężne z działalności operacyjnej brutto</t>
  </si>
  <si>
    <t>      Zysk Netto</t>
  </si>
  <si>
    <t>                  Pasywa działalności zaniechanej przeznaczone do sprzedaży</t>
  </si>
  <si>
    <t>                  Zobowiązania z tytułu bieżącego podatku dochodowego</t>
  </si>
  <si>
    <t>                  Pozostałe zobowiązania krótkoterminowe</t>
  </si>
  <si>
    <t>                  Rezerwy z tytułu pozostałych zobowiązań i obciążeń</t>
  </si>
  <si>
    <t>                        Pozostałe zobowiązania krótkoterminowe</t>
  </si>
  <si>
    <t>                        Zobowiązania handlowe</t>
  </si>
  <si>
    <t>                  Zobowiązania handlowe i inne</t>
  </si>
  <si>
    <t>                  Finansowe instrumenty pochodne</t>
  </si>
  <si>
    <t>                  Pożyczki krótkoterminowe</t>
  </si>
  <si>
    <t>            Zobowiązania krótkoterminowe</t>
  </si>
  <si>
    <t>                  Długoterminowe rozliczenia międzyokresowe</t>
  </si>
  <si>
    <t>                  Pozostałe zobowiąznia długoterminowe</t>
  </si>
  <si>
    <t>                  Długoterminowe kredyty i pożyczki</t>
  </si>
  <si>
    <t>            Zobowiązania długoterminowe</t>
  </si>
  <si>
    <t>      Zobowiązania ogółem</t>
  </si>
  <si>
    <t>            Kapitały mniejszości</t>
  </si>
  <si>
    <t>                  Zyski zatrzymane</t>
  </si>
  <si>
    <t>                  Pozostałe rezerwy i zobowiązania</t>
  </si>
  <si>
    <t>                  Różnice kursowe z przeliczenia jednostek podporządkowanych</t>
  </si>
  <si>
    <t>                  Wyemitowany kapitał</t>
  </si>
  <si>
    <t>            Kapitał własny spółki dominującej</t>
  </si>
  <si>
    <t>      Kapitał własny ogółem</t>
  </si>
  <si>
    <t>            Aktywa działalności zaniechanej przeznaczone do sprzedaży</t>
  </si>
  <si>
    <t>            Inne aktywa trwałe</t>
  </si>
  <si>
    <t>            Gotówka i ekwiwalenty</t>
  </si>
  <si>
    <t>                  Pozostałe finansowe aktywa krótkookresowe</t>
  </si>
  <si>
    <t>            Krótkoterminowe aktywa finansowe</t>
  </si>
  <si>
    <t>                  Należności handlowe</t>
  </si>
  <si>
    <t>            Należności handlowe i inne</t>
  </si>
  <si>
    <t>            Zapasy</t>
  </si>
  <si>
    <t>      Aktywa obrotowe</t>
  </si>
  <si>
    <t>            Pozostałe aktywa trwałe</t>
  </si>
  <si>
    <t>                  Aktywa z tytułu odroczonego podatku dochodowego</t>
  </si>
  <si>
    <t>            Rozliczenia międzyokresowe</t>
  </si>
  <si>
    <t>                  Pozostałe długoterminowe aktywa finansowe</t>
  </si>
  <si>
    <t>                  Udziały i akcje w jednostkach zależnych</t>
  </si>
  <si>
    <t>                  Nieruchomości inwestycyjne</t>
  </si>
  <si>
    <t>            Inwestycje długoterminowe</t>
  </si>
  <si>
    <t>                  Pozostałe wartości niematerialne i prawne</t>
  </si>
  <si>
    <t>                  Wartość firmy</t>
  </si>
  <si>
    <t>            Wartości niematerialne i prawne oraz wartość firmy</t>
  </si>
  <si>
    <t>            Rzeczowe aktywa trwałe</t>
  </si>
  <si>
    <t>      Aktywa trwałe</t>
  </si>
  <si>
    <t>Zysk netto (strata netto)</t>
  </si>
  <si>
    <t>Zysk brutto</t>
  </si>
  <si>
    <t>      Wydatki finansowe</t>
  </si>
  <si>
    <t>      Przychody finansowe</t>
  </si>
  <si>
    <t>Wynik z działalności finansowej</t>
  </si>
  <si>
    <t>Zysk z działalności operacyjnej</t>
  </si>
  <si>
    <t>            Pozostałe koszty operacyjne</t>
  </si>
  <si>
    <t>            Pozostały zysk z działalności operacyjnej</t>
  </si>
  <si>
    <t>      Wynik netto z pozostałej działalności operacyjnej</t>
  </si>
  <si>
    <t>      Koszty administracyjne</t>
  </si>
  <si>
    <t>      Koszty sprzedaży</t>
  </si>
  <si>
    <t>Zysk brutto ze sprzedaży</t>
  </si>
  <si>
    <t>Przychody netto ze sprzedaży</t>
  </si>
  <si>
    <t>Przychody ogółem</t>
  </si>
  <si>
    <t>tys. PLN</t>
  </si>
  <si>
    <t>Jednostki</t>
  </si>
  <si>
    <t xml:space="preserve">Źródło:  </t>
  </si>
  <si>
    <t>JSW S.A. (Polska)</t>
  </si>
  <si>
    <t>London, EC2A 4EB, United Kingdom</t>
  </si>
  <si>
    <t>12TH FLOOR 30 CROWN PLACE</t>
  </si>
  <si>
    <t>Pozostałe Zobowiązania długoterminowe</t>
  </si>
  <si>
    <t>Zysk/strata na działalności operacyjnej (F+G-H)</t>
  </si>
  <si>
    <t>PLN tys.</t>
  </si>
  <si>
    <t>            Inne zmiany</t>
  </si>
  <si>
    <t>            Zmiana stanu zobowiązań</t>
  </si>
  <si>
    <t>            Zmiana stanu należności</t>
  </si>
  <si>
    <t>            Zmiana stanu zapasów</t>
  </si>
  <si>
    <t>            Korekta: amortyzacja rzeczowych aktywów trwałych</t>
  </si>
  <si>
    <t>                  Krótkoterminowe rozliczenia międzyokresowe</t>
  </si>
  <si>
    <t>                  Pozostałe należności krótkoterminowe</t>
  </si>
  <si>
    <t>            Należności krótkoterminowe handlowe i pozostałe</t>
  </si>
  <si>
    <t> </t>
  </si>
  <si>
    <t>EBITDA</t>
  </si>
  <si>
    <t>      Amortyzacja</t>
  </si>
  <si>
    <t>Lubelski Węgiel Bogdanka S.A. (Polska)</t>
  </si>
  <si>
    <t>SPÓŁKA JSW S.A.</t>
  </si>
  <si>
    <t>SPÓŁKA JSW</t>
  </si>
  <si>
    <t>Bogdanka S.A.</t>
  </si>
  <si>
    <t>Sektor wydobycia węgla kamiennego</t>
  </si>
  <si>
    <t>Spółka JSW S.A.</t>
  </si>
  <si>
    <t>Spółka  JSW S.A.</t>
  </si>
  <si>
    <t>Wszystkie współczynniki wyliczane przez EMIS</t>
  </si>
  <si>
    <t>Wskaźnik zysk na akcję</t>
  </si>
  <si>
    <t>Przepływy pieniężne z działalności finansowej /Całkowite przepływy pieniężne</t>
  </si>
  <si>
    <t>Przepływy pieniężne z inwestycji/Całkowite przepływy pieniężne</t>
  </si>
  <si>
    <t>Wskaźnik zdolności generowania operacyjnych przepływów netto</t>
  </si>
  <si>
    <t>Podatek dochodowy/Sprzedaż netto</t>
  </si>
  <si>
    <t>Koszty administracyjne/Sprzedaż netto</t>
  </si>
  <si>
    <t>Zobowiązania krótkoterminowe/Zobowiązania ogółem</t>
  </si>
  <si>
    <t>Rzeczowe aktywa trwałe/Aktywa razem</t>
  </si>
  <si>
    <t>Zapasy/Aktywa ogółem</t>
  </si>
  <si>
    <t>Należności handlowe/Aktywa razem</t>
  </si>
  <si>
    <t>Środki pieniężne/Aktywa ogółem</t>
  </si>
  <si>
    <t>Przepływy pieniężne z działalności operacyjnej/EBIT</t>
  </si>
  <si>
    <t>Przepływy pieniężne z działalności operacyjnej/Kapitał własny</t>
  </si>
  <si>
    <t>Przepływy pieniężne z działalności operacyjnej/Aktywa razem</t>
  </si>
  <si>
    <t>Przepływy pieniężne z działalności operacyjnej/Przychody ze sprzedaży</t>
  </si>
  <si>
    <t>13.95x</t>
  </si>
  <si>
    <t>1.17x</t>
  </si>
  <si>
    <t>0.13x</t>
  </si>
  <si>
    <t>0.69x</t>
  </si>
  <si>
    <t>5.70x</t>
  </si>
  <si>
    <t>Wskaźnik pokrycia zobowiązań</t>
  </si>
  <si>
    <t>Dynamika operacyjnych przepływów pieniężnych</t>
  </si>
  <si>
    <t>Dynamika kapitałów własnych</t>
  </si>
  <si>
    <t>Dynamika wartości księgowej</t>
  </si>
  <si>
    <t>Dynamika aktywów ogółem</t>
  </si>
  <si>
    <t>Dynamika rzeczowych aktywów trwałych netto</t>
  </si>
  <si>
    <t>Dynamika zapasów</t>
  </si>
  <si>
    <t>Dynamika należności</t>
  </si>
  <si>
    <t>Dynamika zysku netto</t>
  </si>
  <si>
    <t>Dynamika wyniku operacyjnego</t>
  </si>
  <si>
    <t>Dynamika zysku brutto ze sprzedaży</t>
  </si>
  <si>
    <t>Dynamika przychodów ogółem</t>
  </si>
  <si>
    <t>Dynamika przychodów ze sprzedaży netto</t>
  </si>
  <si>
    <t>Aktywa razem/Kapitał własnyj</t>
  </si>
  <si>
    <t>Przepływy pieniężne netto/Dług</t>
  </si>
  <si>
    <t>Zadłużenie długoterminowe/Kapitał Zaangażowany</t>
  </si>
  <si>
    <t>Wskaźnik długu do kapitału</t>
  </si>
  <si>
    <t>Wskaźnik ogólnego zadłużenia</t>
  </si>
  <si>
    <t>0.78x</t>
  </si>
  <si>
    <t>0.33x</t>
  </si>
  <si>
    <t>0.10x</t>
  </si>
  <si>
    <t>0.43x</t>
  </si>
  <si>
    <t>1.38x</t>
  </si>
  <si>
    <t>Wskaźnik przepływów operacyjnych</t>
  </si>
  <si>
    <t>0.46x</t>
  </si>
  <si>
    <t>0.45x</t>
  </si>
  <si>
    <t>0.34x</t>
  </si>
  <si>
    <t>0.63x</t>
  </si>
  <si>
    <t>Wskaźnik płynności gotówkowej</t>
  </si>
  <si>
    <t>0.77x</t>
  </si>
  <si>
    <t>0.64x</t>
  </si>
  <si>
    <t>0.70x</t>
  </si>
  <si>
    <t>0.84x</t>
  </si>
  <si>
    <t>0.89x</t>
  </si>
  <si>
    <t>Wskaźnik szybkiej płynności</t>
  </si>
  <si>
    <t>0.95x</t>
  </si>
  <si>
    <t>0.96x</t>
  </si>
  <si>
    <t>1.01x</t>
  </si>
  <si>
    <t>1.02x</t>
  </si>
  <si>
    <t>Wskaźnik bieżącej płynności</t>
  </si>
  <si>
    <t>Wskaźnik Altmana</t>
  </si>
  <si>
    <t>ROCE (Kapitał zaangażowany)</t>
  </si>
  <si>
    <t>Kapitał obrotowy</t>
  </si>
  <si>
    <t>Dług netto</t>
  </si>
  <si>
    <t>Zadłużenie krótkoterminowe</t>
  </si>
  <si>
    <t>Zadłużenie długoterminowe</t>
  </si>
  <si>
    <t>Dług</t>
  </si>
  <si>
    <t>Gotówka netto</t>
  </si>
  <si>
    <t>Wartość księgowa</t>
  </si>
  <si>
    <t>-59.81x</t>
  </si>
  <si>
    <t>-65.30x</t>
  </si>
  <si>
    <t>-36.91x</t>
  </si>
  <si>
    <t>250.69x</t>
  </si>
  <si>
    <t>170.31x</t>
  </si>
  <si>
    <t>Wskaźnik rotacji kapitału obrotowego</t>
  </si>
  <si>
    <t>2.68x</t>
  </si>
  <si>
    <t>2.71x</t>
  </si>
  <si>
    <t>2.92x</t>
  </si>
  <si>
    <t>3.36x</t>
  </si>
  <si>
    <t>3.38x</t>
  </si>
  <si>
    <t>Wskaźnik rotacji zobowiązań</t>
  </si>
  <si>
    <t>0.71x</t>
  </si>
  <si>
    <t>0.58x</t>
  </si>
  <si>
    <t>0.67x</t>
  </si>
  <si>
    <t>0.75x</t>
  </si>
  <si>
    <t>Wskaźnik rotacji aktywów</t>
  </si>
  <si>
    <t>0.60x</t>
  </si>
  <si>
    <t>0.88x</t>
  </si>
  <si>
    <t>1.06x</t>
  </si>
  <si>
    <t>Wskaźnik rotacji aktywów trwałych</t>
  </si>
  <si>
    <t>2.83x</t>
  </si>
  <si>
    <t>2.58x</t>
  </si>
  <si>
    <t>2.04x</t>
  </si>
  <si>
    <t>2.73x</t>
  </si>
  <si>
    <t>2.57x</t>
  </si>
  <si>
    <t>Obrót aktywów bieżących</t>
  </si>
  <si>
    <t>8.56x</t>
  </si>
  <si>
    <t>10.01x</t>
  </si>
  <si>
    <t>7.72x</t>
  </si>
  <si>
    <t>5.83x</t>
  </si>
  <si>
    <t>10.37x</t>
  </si>
  <si>
    <t>Wskaźnik obrotu należnościami</t>
  </si>
  <si>
    <t>10.58x</t>
  </si>
  <si>
    <t>6.25x</t>
  </si>
  <si>
    <t>8.34x</t>
  </si>
  <si>
    <t>12.31x</t>
  </si>
  <si>
    <t>9.65x</t>
  </si>
  <si>
    <t>Wskaźnik rotacji zapasów</t>
  </si>
  <si>
    <t>Operacyjny wskaźnik rentowności aktywów</t>
  </si>
  <si>
    <t>Marża z wyniku operacyjnego</t>
  </si>
  <si>
    <t>Marża zysku brutto ze sprzedaży</t>
  </si>
  <si>
    <t>Rentowność netto</t>
  </si>
  <si>
    <t>Zwrot z kapitału zaangażowanego</t>
  </si>
  <si>
    <t>Zannualizowana stopa zwrotu z kapitału własnego</t>
  </si>
  <si>
    <t>Stopa zwrotu z kapitału własnego (ROE)</t>
  </si>
  <si>
    <t>Zannualizowana stopa zwrotu z aktywów (ROA)</t>
  </si>
  <si>
    <t>Stopa zwrotu z aktywów</t>
  </si>
  <si>
    <t>Wskaźniki Finansowe</t>
  </si>
  <si>
    <t>https://www-1emis-1com-1m046ps3v0037.han.bg.pwr.edu.pl/php/benchmark/sector/indicators?pc=PL&amp;prod%5B%5D=PL&amp;change_selected_countries=1&amp;subp=&amp;indu=2121</t>
  </si>
  <si>
    <t>https://www-1emis-1com-1m046ps3v005b.han.bg.pwr.edu.pl/php/benchmark/sector/indicators?pc=PL&amp;prod%5B0%5D=PL&amp;change_selected_countries=1&amp;subp=&amp;indu=2121&amp;gid=1</t>
  </si>
  <si>
    <t>EBITDA/Przychody netto ze sprzedaży</t>
  </si>
  <si>
    <t>10.43x</t>
  </si>
  <si>
    <t>18.33x</t>
  </si>
  <si>
    <t>17.27x</t>
  </si>
  <si>
    <t>15.79x</t>
  </si>
  <si>
    <t>19.00x</t>
  </si>
  <si>
    <t>7.28x</t>
  </si>
  <si>
    <t>6.79x</t>
  </si>
  <si>
    <t>9.03x</t>
  </si>
  <si>
    <t>8.63x</t>
  </si>
  <si>
    <t>2.61x</t>
  </si>
  <si>
    <t>2.31x</t>
  </si>
  <si>
    <t>2.98x</t>
  </si>
  <si>
    <t>2.91x</t>
  </si>
  <si>
    <t>3.74x</t>
  </si>
  <si>
    <t>0.48x</t>
  </si>
  <si>
    <t>0.61x</t>
  </si>
  <si>
    <t>0.51x</t>
  </si>
  <si>
    <t>0.50x</t>
  </si>
  <si>
    <t>0.42x</t>
  </si>
  <si>
    <t>4.34x</t>
  </si>
  <si>
    <t>5.06x</t>
  </si>
  <si>
    <t>5.35x</t>
  </si>
  <si>
    <t>5.04x</t>
  </si>
  <si>
    <t>5.01x</t>
  </si>
  <si>
    <t>4.65x</t>
  </si>
  <si>
    <t>7.26x</t>
  </si>
  <si>
    <t>5.86x</t>
  </si>
  <si>
    <t>77.30x</t>
  </si>
  <si>
    <t>2.09x</t>
  </si>
  <si>
    <t>1.99x</t>
  </si>
  <si>
    <t>1.70x</t>
  </si>
  <si>
    <t>1.98x</t>
  </si>
  <si>
    <t>1.05x</t>
  </si>
  <si>
    <t>1.65x</t>
  </si>
  <si>
    <t>1.80x</t>
  </si>
  <si>
    <t>1.44x</t>
  </si>
  <si>
    <t>1.71x</t>
  </si>
  <si>
    <t>0.86x</t>
  </si>
  <si>
    <t>1.16x</t>
  </si>
  <si>
    <t>0.38x</t>
  </si>
  <si>
    <t>1.39x</t>
  </si>
  <si>
    <t>1.48x</t>
  </si>
  <si>
    <t>1.32x</t>
  </si>
  <si>
    <t>1.93x</t>
  </si>
  <si>
    <t>1.03x</t>
  </si>
  <si>
    <t>Dług/EBITDA</t>
  </si>
  <si>
    <t>0.05x</t>
  </si>
  <si>
    <t>0.08x</t>
  </si>
  <si>
    <t>Dynamika EBITDA</t>
  </si>
  <si>
    <t>22.00x</t>
  </si>
  <si>
    <t>19.27x</t>
  </si>
  <si>
    <t>12.92x</t>
  </si>
  <si>
    <t>22.10x</t>
  </si>
  <si>
    <t>26.77x</t>
  </si>
  <si>
    <t>0</t>
  </si>
  <si>
    <t>Deprecjacja i amortyzacja/Sprzedaż netto</t>
  </si>
  <si>
    <t>https://www.biznesradar.pl/wskazniki-plynnosci/JSW-JASTRZEBSKA-SPOLKA-WEGLOWA</t>
  </si>
  <si>
    <t>https://www-1emis-1com-1m046ps4a0060.han.bg.pwr.edu.pl/php/benchmark/sector/indicators?pc=PL&amp;subp=&amp;indu=2121&amp;gid=1</t>
  </si>
  <si>
    <t xml:space="preserve">ZYSK NETTO/ PRZYCHODY ZE SPRZEDAZY </t>
  </si>
  <si>
    <t>ZYSK NETTO / AKTYWA OGOLNIE</t>
  </si>
  <si>
    <t>ZYSK NETTO/ KAPITAL WLASNY RAZEM</t>
  </si>
  <si>
    <t xml:space="preserve">ZYSK BRUTTO ZE SPRZEDAZY/ PRZYCHODY NETTO ZE SPRZEDAZY </t>
  </si>
  <si>
    <t>https://www-1emis-1com-1m046psq70061.han.bg.pwr.edu.pl/php/benchmark/sector/indicators?pc=PL&amp;subp=&amp;indu=2121&amp;gid=4</t>
  </si>
  <si>
    <t>https://www-1emis-1com-1m046ps910002.han.bg.pwr.edu.pl/php/benchmark/sector/indicators?pc=PL&amp;subp=&amp;indu=2121&amp;gid=1</t>
  </si>
  <si>
    <t>SPÓŁKA JSW S.A ANALIZA NIERÓWNOŚCI</t>
  </si>
  <si>
    <t>ZYSK (STRATA) NETTO</t>
  </si>
  <si>
    <t>https://www-1emis-1com-1m046ps4k0006.han.bg.pwr.edu.pl/php/benchmark/sector/indicators?pc=PL&amp;subp=&amp;indu=2121&amp;gid=3</t>
  </si>
  <si>
    <t>https://www-1emis-1com-1m046ps4k0006.han.bg.pwr.edu.pl/php/benchmark/sector/indicators?pc=PL&amp;subp=&amp;indu=2121&amp;gid=1</t>
  </si>
  <si>
    <t>https://www-1emis-1com-1m046psyy0001.han.bg.pwr.edu.pl/php/benchmark/sector/indicators?pc=PL&amp;subp=&amp;indu=2121&amp;gid=3</t>
  </si>
  <si>
    <t xml:space="preserve">𝑧𝑜𝑏𝑜𝑤𝑖ą𝑧𝑎𝑛𝑖𝑎 𝑜𝑔ół𝑒𝑚/𝑘𝑎𝑝𝑖𝑡𝑎ł 𝑤ł𝑎𝑠𝑛𝑦 </t>
  </si>
  <si>
    <t xml:space="preserve">  aktywa trwale/aktywa obrotowe *100%</t>
  </si>
  <si>
    <t>ZOBOWIAZANIA OGÓŁEM/ AKTYWA OGÓŁEM</t>
  </si>
  <si>
    <t>(𝑍𝑦𝑠𝑘 𝑛𝑒𝑡𝑡𝑜 + 𝑎𝑚𝑜𝑟𝑡𝑦𝑧𝑎𝑐𝑗𝑎)/ 𝑝𝑟𝑧𝑒𝑐𝑖ę𝑡𝑛𝑦 𝑠𝑡𝑎𝑛 𝑧𝑜𝑏𝑜𝑤𝑖ą𝑧𝑎ń 𝑜𝑔ół𝑒𝑚</t>
  </si>
  <si>
    <t>KAPITAL WLASNY/zobowiązania ogółem</t>
  </si>
  <si>
    <t>https://zs2.jastrzebie.pl/application/files/2114/5314/4722/Analiza_wskaznikowa-strona_internetowa_-_szkola.pdf</t>
  </si>
  <si>
    <t>https://phavi.umcs.pl/at/attachments/2017/0508/102655-wskazniki-wzory-i-interpretacja.pdf</t>
  </si>
  <si>
    <t>rzeczowe aktywa trwale/ liczba zatrudnionych</t>
  </si>
  <si>
    <t>liczba zatrudnionych jsw - https://www.money.pl/gielda/spolki-gpw/pljsw0000015,o_firmie.html</t>
  </si>
  <si>
    <t>liczba zatrudnionych bogdanka - https://www.money.pl/gielda/spolki-gpw/pllwbgd00016,o_firmie.html</t>
  </si>
  <si>
    <t xml:space="preserve">KAPITAL WŁASNY/ AKYTWA TRWALE </t>
  </si>
  <si>
    <t>https://eanaliza.pl/wskaznik-zastosowania-kapitalu-wlasnego</t>
  </si>
  <si>
    <t>przychody netto ze sprzedazy/ przecietny stan srodkow trwałych</t>
  </si>
  <si>
    <t xml:space="preserve">przychody netto ze sprzedazy/ przecietny stan aktywow </t>
  </si>
  <si>
    <t>https://www-1emis-1com-1m046pssm0004.han.bg.pwr.edu.pl/php/benchmark/sector/indicators?pc=PL&amp;subp=&amp;indu=2121&amp;gid=2</t>
  </si>
  <si>
    <t>https://www-1emis-1com-1m046pssm0004.han.bg.pwr.edu.pl/php/benchmark/sector/indicators?pc=PL&amp;subp=&amp;indu=2121&amp;gid=1</t>
  </si>
  <si>
    <t xml:space="preserve"> dane dla sektora -https://www-1emis-1com-1m046pssm0004.han.bg.pwr.edu.pl/php/benchmark/sector/indicators?pc=PL&amp;subp=&amp;indu=2121&amp;gid=1</t>
  </si>
  <si>
    <t>https://www.wug.gov.pl/bhp/nadzorowane_zaklady</t>
  </si>
  <si>
    <t>zysk netto/rzeczowe aktywa trwale</t>
  </si>
  <si>
    <t>https://www-1emis-1com-1m046pss30017.han.bg.pwr.edu.pl/php/companies/index/financials?pc=PL&amp;cmpy=1454510&amp;view-fins=all&amp;fptype=A&amp;curr=PLN&amp;display_units=3&amp;hide-empty=yes&amp;excel_export=&amp;form_sent=1&amp;cons=A&amp;pub_standard=&amp;periods%5B%5D=2021YY&amp;periods%5B%5D=2020YY&amp;periods%5B%5D=2019YY&amp;periods%5B%5D=2018YY&amp;periods%5B%5D=2017YY</t>
  </si>
  <si>
    <t>https://www-1emis-1com-1m046pss30017.han.bg.pwr.edu.pl/php/companies/index/financials?pc=PL&amp;cmpy=1454137&amp;view-fins=all&amp;fptype=A&amp;curr=PLN&amp;display_units=3&amp;hide-empty=yes&amp;excel_export=&amp;form_sent=1&amp;cons=A&amp;pub_standard=&amp;periods%5B%5D=2021YY&amp;periods%5B%5D=2020YY&amp;periods%5B%5D=2019YY&amp;periods%5B%5D=2018YY&amp;periods%5B%5D=2017YY</t>
  </si>
  <si>
    <t>https://www-1emis-1com-1m046pss30017.han.bg.pwr.edu.pl/php/benchmark/sector/indicators?pc=PL&amp;subp=&amp;indu=2121&amp;gid=3</t>
  </si>
  <si>
    <t>DLA SEKTORA 2017!!!!</t>
  </si>
  <si>
    <t>JSW S.A.</t>
  </si>
  <si>
    <t>kapital staly/aktywa trwale</t>
  </si>
  <si>
    <t xml:space="preserve"> https://www-1emis-1com-1m046psl3002d.han.bg.pwr.edu.pl/php/benchmark/sector/indicators?pc=PL&amp;subp=&amp;indu=2121&amp;gid=2</t>
  </si>
  <si>
    <t>https://www-1emis-1com-1m046psl3002d.han.bg.pwr.edu.pl/php/benchmark/sector/indicators?pc=PL&amp;subp=&amp;indu=2121&amp;gid=3</t>
  </si>
  <si>
    <t>https://www.jsw.pl/raportroczny-2022/grupa-kaptialowa-jsw/akcjonariat-i-akcje</t>
  </si>
  <si>
    <t>przychody netto ze sprzedazy/liczba wyemitowanych akcji</t>
  </si>
  <si>
    <t>https://www.bankier.pl/wiadomosc/LW-BOGDANKA-S-A-wyniki-finansowe-8713828.html</t>
  </si>
  <si>
    <t>zysk netto/ liczba wyemitowanych akcji</t>
  </si>
  <si>
    <t>cena rynkowa/ zysk na jedna akcje</t>
  </si>
  <si>
    <t>https://www.bankier.pl/gielda/notowania/akcje/JSW/wyniki-finansowe/jednostkowy/roczny/standardowy/2</t>
  </si>
  <si>
    <t>https://ri.lw.com.pl/notowania-gieldowe</t>
  </si>
  <si>
    <t>liczba akcji* cena rynkowa</t>
  </si>
  <si>
    <t>Bogdanka S.A</t>
  </si>
  <si>
    <t xml:space="preserve">https://www-1emis-1com-1m046ps100008.han.bg.pwr.edu.pl/php/companies/index-v2/screener?i%5B0%5D=2121&amp;local_class=naicsbyid&amp;getRequestParams=1 , </t>
  </si>
  <si>
    <t>X1 = (ZYSK BRUTTO +AMORTYZACJA)/ZOBOWIĄZANIA OGÓŁEM</t>
  </si>
  <si>
    <t>X2 = AKTYWA OGÓŁEM/ ZOBOWIĄZANIA OGÓŁEM</t>
  </si>
  <si>
    <t>x1 dla sektora https://www-1emis-1com-1m046ps45003a.han.bg.pwr.edu.pl/php/benchmark/sector/indicators?pc=PL&amp;subp=&amp;indu=2121&amp;gid=2</t>
  </si>
  <si>
    <t>x2 dla sektora https://www-1emis-1com-1m046ps45003a.han.bg.pwr.edu.pl/php/benchmark/sector/indicators?pc=PL&amp;subp=&amp;indu=2121&amp;gid=2</t>
  </si>
  <si>
    <t>x3 dla sektora https://www-1emis-1com-1m046ps45003a.han.bg.pwr.edu.pl/php/benchmark/sector/indicators?pc=PL&amp;subp=&amp;indu=2121&amp;gid=2</t>
  </si>
  <si>
    <t>x4 dla sektora https://www-1emis-1com-1m046ps45003a.han.bg.pwr.edu.pl/php/benchmark/sector/indicators?pc=PL&amp;subp=&amp;indu=2121&amp;gid=2</t>
  </si>
  <si>
    <t>https://www-1emis-1com-1m046ps45003a.han.bg.pwr.edu.pl/php/benchmark/sector/indicators?pc=PL&amp;subp=&amp;indu=2121&amp;gid=3</t>
  </si>
  <si>
    <t>x5 = zapasy/ przychody ze sprzedazy</t>
  </si>
  <si>
    <t>x6 = przychody ze sprzedazy/aktywa ogółem</t>
  </si>
  <si>
    <t>EMIS Benchmark Bilans: Wydobycie węgla (2121)</t>
  </si>
  <si>
    <t>* All Figures except for employees and ratios in tys. PLN using Suma values. Growth indicators are calculated based on figures in local currency.</t>
  </si>
  <si>
    <t>Rok</t>
  </si>
  <si>
    <t>Spółki w sektorze</t>
  </si>
  <si>
    <t>Środki pieniężne i lokaty bankowe</t>
  </si>
  <si>
    <t>Inwestycje krótkoterminowe</t>
  </si>
  <si>
    <t>Pozostałe należności</t>
  </si>
  <si>
    <t>- Klienci</t>
  </si>
  <si>
    <t>- Należności wątpliwe</t>
  </si>
  <si>
    <t>- Surowce</t>
  </si>
  <si>
    <t>- Półprodukty i produkty w toku</t>
  </si>
  <si>
    <t xml:space="preserve">- Produkty gotowe </t>
  </si>
  <si>
    <t>Podatki, składki przedpłacone</t>
  </si>
  <si>
    <t>Pozostali dłużnicy</t>
  </si>
  <si>
    <t>Aktywa międzyokresowe</t>
  </si>
  <si>
    <t>Pozostałe aktywa obrotowe</t>
  </si>
  <si>
    <t>- Grunty i nieruchomości</t>
  </si>
  <si>
    <t xml:space="preserve">- Urządzenia techniczne i maszyny </t>
  </si>
  <si>
    <t>- Pozostałe wyposażenie</t>
  </si>
  <si>
    <t>Wartości niematerialne i prawne (netto)</t>
  </si>
  <si>
    <t>Inwestycje długoterminowe</t>
  </si>
  <si>
    <t>- Udziały lub akcje w spółkach zależnych lub powiązanych</t>
  </si>
  <si>
    <t>- Pozostałe inwestycje finansowe</t>
  </si>
  <si>
    <t>Pozostałe należności (długoterminowe)</t>
  </si>
  <si>
    <t>Pozostałe aktywa długoterminowe</t>
  </si>
  <si>
    <t>Aktywa długoterminowe ogółem</t>
  </si>
  <si>
    <t>Zobowiązania bieżące</t>
  </si>
  <si>
    <t>Krótkoterminowe zadłużenie finansowe</t>
  </si>
  <si>
    <t>Dostawcy</t>
  </si>
  <si>
    <t>Krótkoterminowe płatności</t>
  </si>
  <si>
    <t>Podatki do zapłaty</t>
  </si>
  <si>
    <t>Szacunkowe rezerwy na zobowiązania</t>
  </si>
  <si>
    <t>Zobowiązania międzyokresowe</t>
  </si>
  <si>
    <t>Pozostałe zobowiązania krótkoterminowe</t>
  </si>
  <si>
    <t>Bieżącej części zadłużenia długoterminowego</t>
  </si>
  <si>
    <t>Zobowiązania bieżące ogółem</t>
  </si>
  <si>
    <t>Zobowiąznia długoterminowe</t>
  </si>
  <si>
    <t>Długoterminowe zobowiązania finansowe</t>
  </si>
  <si>
    <t>Płatności długoterminowe</t>
  </si>
  <si>
    <t>Szacowane długoterminowe zobowiązania i rezerwy</t>
  </si>
  <si>
    <t>Długoterminowe zobowiązania międzyokresowe</t>
  </si>
  <si>
    <t>Pozostałe zobowiązania długoterminowe</t>
  </si>
  <si>
    <t>Długoterminowa pożyczka podporządkowana</t>
  </si>
  <si>
    <t>Kapitał podstawowy</t>
  </si>
  <si>
    <t>Pozostałe rezerwy</t>
  </si>
  <si>
    <t>Zyski okresowe</t>
  </si>
  <si>
    <t>Zyski z lat ubiegłych</t>
  </si>
  <si>
    <t>Wycena nadwyżki</t>
  </si>
  <si>
    <t>Pozostały kapitał własny</t>
  </si>
  <si>
    <t>Udział mniejszościowy</t>
  </si>
  <si>
    <t>Wartość aktywów netto ogółem</t>
  </si>
  <si>
    <t>Zobowiązania ogółem i kapitał własny ogółem</t>
  </si>
  <si>
    <t>Zobowiązania ogółem i aktywa netto</t>
  </si>
  <si>
    <t>ISI Emerging Markets Group Company</t>
  </si>
  <si>
    <t>Copyright ©2024 EMIS, wszelkie prawa zastrzeżone</t>
  </si>
  <si>
    <t>Zysk operacyjny</t>
  </si>
  <si>
    <t>Sprzedaż</t>
  </si>
  <si>
    <t>Koszt wyrobów sprzedanych</t>
  </si>
  <si>
    <t>Inne</t>
  </si>
  <si>
    <t>Other Operating Results</t>
  </si>
  <si>
    <t>Przychody nieoperacyjne</t>
  </si>
  <si>
    <t>Przychody nieoperacyjne ogółem</t>
  </si>
  <si>
    <t>- Przychody finansowe</t>
  </si>
  <si>
    <t>- Pozostałe koszty nieoperacyjne</t>
  </si>
  <si>
    <t>Koszty nieoperacyjne ogółem</t>
  </si>
  <si>
    <t>- Koszty finansowe</t>
  </si>
  <si>
    <t>Zysk przed opodatkowaniem podatkiem dochodowym</t>
  </si>
  <si>
    <t>Podatki i inne</t>
  </si>
  <si>
    <t xml:space="preserve">Zysk zdarzeń nadzwyczajnych </t>
  </si>
  <si>
    <t>Amortyzacja rzeczowych środków trwałych</t>
  </si>
  <si>
    <t>X3 =  ZYSK PRZED OPODATKOWANIEM/AKTYWA OGÓŁEM</t>
  </si>
  <si>
    <t>X4 = ZYSK PRZED OPODATKOWANIEM/SPRZEDAZ</t>
  </si>
  <si>
    <t>X1 = KAPITAŁ WŁASNY / AKTYWA OGÓŁEM</t>
  </si>
  <si>
    <t xml:space="preserve">X2 = (ZYSK BRUTTO + AMORTYZACJA)/ PRZYCHODY ZE SPRZEDAZY </t>
  </si>
  <si>
    <t>X3 = ( ZYSK BRUTTO + ODSETKI OD KREDYTU)/ AKTYWA OGÓŁEM</t>
  </si>
  <si>
    <t>X4 = KAPITAŁ OBCY/ (ZYSK BRUTTO + AMORTYZACJA) * 365 DNI</t>
  </si>
  <si>
    <t>EMIS Benchmark Kluczowe wskaźniki: Wydobycie węgla (2121)</t>
  </si>
  <si>
    <t>Wielkość</t>
  </si>
  <si>
    <t>Aktywa</t>
  </si>
  <si>
    <t>Zysk</t>
  </si>
  <si>
    <t>Kapitał własny ogółem</t>
  </si>
  <si>
    <t>Wzrost</t>
  </si>
  <si>
    <t>Stopa wzrostu sprzedaży netto %</t>
  </si>
  <si>
    <t>Wzrost/Spadek Aktywów</t>
  </si>
  <si>
    <t>Wzrost/Spadek zysku netto</t>
  </si>
  <si>
    <t>Wzrost (Spadek) kapitału własnego</t>
  </si>
  <si>
    <t>Rentowność</t>
  </si>
  <si>
    <t>Zysk netto / sprzedaż netto</t>
  </si>
  <si>
    <t>Zwrot z aktywów</t>
  </si>
  <si>
    <t>Zysk netto / aktywa netto</t>
  </si>
  <si>
    <t>Zysk operacyjny / Sprzedaż</t>
  </si>
  <si>
    <t>Zadłużenie</t>
  </si>
  <si>
    <t>Dźwignia</t>
  </si>
  <si>
    <t>Zobowiązania ogółem / Sprzedaż</t>
  </si>
  <si>
    <t>Zobowiązania bieżące / Zobowiązania ogółem</t>
  </si>
  <si>
    <t>Wydajność</t>
  </si>
  <si>
    <t>Wskaźnik obrotu należnościami w dniach</t>
  </si>
  <si>
    <t>Wskaźnik obrotu zapasami w dniach</t>
  </si>
  <si>
    <t>Wskaźnik obrotu zobowiązaniami wobec dostawców w dniach</t>
  </si>
  <si>
    <t>Cykl operacyjny</t>
  </si>
  <si>
    <t>Płynność</t>
  </si>
  <si>
    <t xml:space="preserve">Wskaźnik bieżącej płynności </t>
  </si>
  <si>
    <t>Wskaźnik płynności drugiego stopnia</t>
  </si>
  <si>
    <t>Marża Zysku Brutto</t>
  </si>
  <si>
    <t>Pozostałe przychody</t>
  </si>
  <si>
    <t>Lista płac</t>
  </si>
  <si>
    <t>Zatrudnienie ogółem</t>
  </si>
  <si>
    <t>W1 = ZYSK NETTO/MAJĄTEK CAŁKOWITY</t>
  </si>
  <si>
    <t>W2 = (MAJĄTEK OBROTOWY - ZAPASY)/ ZOBOWIĄZANIA KRÓTKOTERMINOWE</t>
  </si>
  <si>
    <t>W3 = KAPITAŁ STAŁY/ MAJĄTEK CAŁKOWITY</t>
  </si>
  <si>
    <t>W4 = WYNIK FINANSOWY ZE SPRZEDAZY/ PRZYCHODY ZE SPRZEDAŻY</t>
  </si>
  <si>
    <t>WZÓR = 3,562W1 + 1,588W2 + 4,288W3 + 6,719W4 - 2,368</t>
  </si>
  <si>
    <r>
      <t>W</t>
    </r>
    <r>
      <rPr>
        <sz val="6"/>
        <color rgb="FF000000"/>
        <rFont val="TimesNewRomanPSMT"/>
      </rPr>
      <t>1  </t>
    </r>
    <r>
      <rPr>
        <sz val="11"/>
        <color rgb="FF000000"/>
        <rFont val="TimesNewRomanPSMT"/>
      </rPr>
      <t xml:space="preserve">– (zysk z działalności operacyjnej – amortyzacja)/aktywa ogółem, </t>
    </r>
  </si>
  <si>
    <r>
      <t>W</t>
    </r>
    <r>
      <rPr>
        <sz val="6"/>
        <color rgb="FF000000"/>
        <rFont val="TimesNewRomanPSMT"/>
      </rPr>
      <t>2  </t>
    </r>
    <r>
      <rPr>
        <sz val="11"/>
        <color rgb="FF000000"/>
        <rFont val="TimesNewRomanPSMT"/>
      </rPr>
      <t xml:space="preserve">– (zysk z działalności operacyjnej – amortyzacja)/sprzedaż produktów, </t>
    </r>
  </si>
  <si>
    <r>
      <t>W</t>
    </r>
    <r>
      <rPr>
        <sz val="6"/>
        <color rgb="FF000000"/>
        <rFont val="TimesNewRomanPSMT"/>
      </rPr>
      <t>3  </t>
    </r>
    <r>
      <rPr>
        <sz val="11"/>
        <color rgb="FF000000"/>
        <rFont val="TimesNewRomanPSMT"/>
      </rPr>
      <t xml:space="preserve">– aktywa obrotowe/zobowiązania całkowite, </t>
    </r>
  </si>
  <si>
    <r>
      <t>W</t>
    </r>
    <r>
      <rPr>
        <sz val="6"/>
        <color rgb="FF000000"/>
        <rFont val="TimesNewRomanPSMT"/>
      </rPr>
      <t>4  </t>
    </r>
    <r>
      <rPr>
        <sz val="11"/>
        <color rgb="FF000000"/>
        <rFont val="TimesNewRomanPSMT"/>
      </rPr>
      <t xml:space="preserve">– kapitał obrotowy/aktywa ogółem. </t>
    </r>
  </si>
  <si>
    <r>
      <t xml:space="preserve">ZW </t>
    </r>
    <r>
      <rPr>
        <b/>
        <sz val="12"/>
        <color rgb="FF000000"/>
        <rFont val="Times New Roman"/>
        <family val="1"/>
      </rPr>
      <t>= 3,26</t>
    </r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1 + 2,16</t>
    </r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2 + 0,3</t>
    </r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3 + 0,69</t>
    </r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 xml:space="preserve">4 </t>
    </r>
  </si>
  <si>
    <t>wzor -https://cejsh.icm.edu.pl/cejsh/element/bwmeta1.element.desklight-961dc86b-87a5-439c-855b-ed914cb0f359/c/Ocena_skutecznosci_modeli.pdf</t>
  </si>
  <si>
    <t>wzór - https://cejsh.icm.edu.pl/cejsh/element/bwmeta1.element.desklight-961dc86b-87a5-439c-855b-ed914cb0f359/c/Ocena_skutecznosci_modeli.pdf</t>
  </si>
  <si>
    <t>wzór https://cejsh.icm.edu.pl/cejsh/element/bwmeta1.element.desklight-961dc86b-87a5-439c-855b-ed914cb0f359/c/Ocena_skutecznosci_modeli.pdf</t>
  </si>
  <si>
    <t>wzór - https://eportal.pwr.edu.pl/pluginfile.php/424736/mod_resource/content/0/Wykład%207.pdf</t>
  </si>
  <si>
    <r>
      <t>P</t>
    </r>
    <r>
      <rPr>
        <sz val="12"/>
        <color rgb="FF000000"/>
        <rFont val="Symbol"/>
        <charset val="2"/>
      </rPr>
      <t xml:space="preserve"> </t>
    </r>
    <r>
      <rPr>
        <sz val="12"/>
        <color rgb="FF000000"/>
        <rFont val="Times"/>
        <family val="1"/>
      </rPr>
      <t xml:space="preserve">1 (77) </t>
    </r>
  </si>
  <si>
    <r>
      <t xml:space="preserve">1 </t>
    </r>
    <r>
      <rPr>
        <sz val="12"/>
        <color rgb="FF000000"/>
        <rFont val="Times"/>
        <family val="1"/>
      </rPr>
      <t>1</t>
    </r>
    <r>
      <rPr>
        <sz val="12"/>
        <color rgb="FF000000"/>
        <rFont val="Symbol"/>
        <charset val="2"/>
      </rPr>
      <t></t>
    </r>
    <r>
      <rPr>
        <sz val="12"/>
        <color rgb="FF000000"/>
        <rFont val="Times"/>
        <family val="1"/>
      </rPr>
      <t>exp[</t>
    </r>
    <r>
      <rPr>
        <sz val="12"/>
        <color rgb="FF000000"/>
        <rFont val="Symbol"/>
        <charset val="2"/>
      </rPr>
      <t></t>
    </r>
    <r>
      <rPr>
        <sz val="12"/>
        <color rgb="FF000000"/>
        <rFont val="Times"/>
        <family val="1"/>
      </rPr>
      <t>(1,3508</t>
    </r>
    <r>
      <rPr>
        <sz val="12"/>
        <color rgb="FF000000"/>
        <rFont val="Symbol"/>
        <charset val="2"/>
      </rPr>
      <t></t>
    </r>
    <r>
      <rPr>
        <sz val="12"/>
        <color rgb="FF000000"/>
        <rFont val="Times"/>
        <family val="1"/>
      </rPr>
      <t>7,5153</t>
    </r>
    <r>
      <rPr>
        <sz val="12"/>
        <color rgb="FF000000"/>
        <rFont val="Symbol"/>
        <charset val="2"/>
      </rPr>
      <t></t>
    </r>
    <r>
      <rPr>
        <i/>
        <sz val="12"/>
        <color rgb="FF000000"/>
        <rFont val="Times"/>
        <family val="1"/>
      </rPr>
      <t>X</t>
    </r>
    <r>
      <rPr>
        <sz val="7"/>
        <color rgb="FF000000"/>
        <rFont val="Times"/>
        <family val="1"/>
      </rPr>
      <t xml:space="preserve">5 </t>
    </r>
    <r>
      <rPr>
        <sz val="12"/>
        <color rgb="FF000000"/>
        <rFont val="Symbol"/>
        <charset val="2"/>
      </rPr>
      <t></t>
    </r>
    <r>
      <rPr>
        <sz val="12"/>
        <color rgb="FF000000"/>
        <rFont val="Times"/>
        <family val="1"/>
      </rPr>
      <t>6,1903</t>
    </r>
    <r>
      <rPr>
        <i/>
        <sz val="12"/>
        <color rgb="FF000000"/>
        <rFont val="Times"/>
        <family val="1"/>
      </rPr>
      <t>X</t>
    </r>
    <r>
      <rPr>
        <sz val="7"/>
        <color rgb="FF000000"/>
        <rFont val="Times"/>
        <family val="1"/>
      </rPr>
      <t>13</t>
    </r>
    <r>
      <rPr>
        <sz val="12"/>
        <color rgb="FF000000"/>
        <rFont val="Times"/>
        <family val="1"/>
      </rPr>
      <t xml:space="preserve">)] </t>
    </r>
  </si>
  <si>
    <t>https://static.nbp.pl/publikacje/materialy-i-studia/ms286.pdf</t>
  </si>
  <si>
    <t xml:space="preserve">lw ile wskaznikow jest wyplacalnych </t>
  </si>
  <si>
    <r>
      <t>6,525∗𝑥</t>
    </r>
    <r>
      <rPr>
        <sz val="13"/>
        <color rgb="FF000000"/>
        <rFont val="CambriaMath"/>
      </rPr>
      <t xml:space="preserve">1 </t>
    </r>
    <r>
      <rPr>
        <sz val="18"/>
        <color rgb="FF000000"/>
        <rFont val="CambriaMath"/>
      </rPr>
      <t>+0,148∗𝑥</t>
    </r>
    <r>
      <rPr>
        <sz val="13"/>
        <color rgb="FF000000"/>
        <rFont val="CambriaMath"/>
      </rPr>
      <t xml:space="preserve">2 </t>
    </r>
    <r>
      <rPr>
        <sz val="18"/>
        <color rgb="FF000000"/>
        <rFont val="CambriaMath"/>
      </rPr>
      <t>+0,406∗𝑥</t>
    </r>
    <r>
      <rPr>
        <sz val="13"/>
        <color rgb="FF000000"/>
        <rFont val="CambriaMath"/>
      </rPr>
      <t xml:space="preserve">3 </t>
    </r>
    <r>
      <rPr>
        <sz val="18"/>
        <color rgb="FF000000"/>
        <rFont val="CambriaMath"/>
      </rPr>
      <t>+2,175∗𝑥</t>
    </r>
    <r>
      <rPr>
        <sz val="13"/>
        <color rgb="FF000000"/>
        <rFont val="CambriaMath"/>
      </rPr>
      <t xml:space="preserve">4 </t>
    </r>
    <r>
      <rPr>
        <sz val="18"/>
        <color rgb="FF000000"/>
        <rFont val="CambriaMath"/>
      </rPr>
      <t xml:space="preserve">−1,569 </t>
    </r>
  </si>
  <si>
    <r>
      <t>P</t>
    </r>
    <r>
      <rPr>
        <sz val="12"/>
        <color rgb="FF000000"/>
        <rFont val="Symbol"/>
        <charset val="2"/>
      </rPr>
      <t xml:space="preserve"> </t>
    </r>
    <r>
      <rPr>
        <sz val="12"/>
        <color rgb="FF000000"/>
        <rFont val="Times"/>
        <family val="1"/>
      </rPr>
      <t xml:space="preserve">1 (78) </t>
    </r>
  </si>
  <si>
    <r>
      <t xml:space="preserve">2 </t>
    </r>
    <r>
      <rPr>
        <sz val="12"/>
        <color rgb="FF000000"/>
        <rFont val="Times"/>
        <family val="1"/>
      </rPr>
      <t>1</t>
    </r>
    <r>
      <rPr>
        <sz val="12"/>
        <color rgb="FF000000"/>
        <rFont val="Symbol"/>
        <charset val="2"/>
      </rPr>
      <t></t>
    </r>
    <r>
      <rPr>
        <sz val="12"/>
        <color rgb="FF000000"/>
        <rFont val="Times"/>
        <family val="1"/>
      </rPr>
      <t>exp[</t>
    </r>
    <r>
      <rPr>
        <sz val="12"/>
        <color rgb="FF000000"/>
        <rFont val="Symbol"/>
        <charset val="2"/>
      </rPr>
      <t></t>
    </r>
    <r>
      <rPr>
        <sz val="12"/>
        <color rgb="FF000000"/>
        <rFont val="Times"/>
        <family val="1"/>
      </rPr>
      <t>(0,3133</t>
    </r>
    <r>
      <rPr>
        <sz val="12"/>
        <color rgb="FF000000"/>
        <rFont val="Symbol"/>
        <charset val="2"/>
      </rPr>
      <t></t>
    </r>
    <r>
      <rPr>
        <sz val="12"/>
        <color rgb="FF000000"/>
        <rFont val="Times"/>
        <family val="1"/>
      </rPr>
      <t>8,7592</t>
    </r>
    <r>
      <rPr>
        <sz val="12"/>
        <color rgb="FF000000"/>
        <rFont val="Symbol"/>
        <charset val="2"/>
      </rPr>
      <t></t>
    </r>
    <r>
      <rPr>
        <i/>
        <sz val="12"/>
        <color rgb="FF000000"/>
        <rFont val="Times"/>
        <family val="1"/>
      </rPr>
      <t>X</t>
    </r>
    <r>
      <rPr>
        <sz val="7"/>
        <color rgb="FF000000"/>
        <rFont val="Times"/>
        <family val="1"/>
      </rPr>
      <t xml:space="preserve">5 </t>
    </r>
    <r>
      <rPr>
        <sz val="12"/>
        <color rgb="FF000000"/>
        <rFont val="Symbol"/>
        <charset val="2"/>
      </rPr>
      <t></t>
    </r>
    <r>
      <rPr>
        <sz val="12"/>
        <color rgb="FF000000"/>
        <rFont val="Times"/>
        <family val="1"/>
      </rPr>
      <t>8,0069</t>
    </r>
    <r>
      <rPr>
        <i/>
        <sz val="12"/>
        <color rgb="FF000000"/>
        <rFont val="Times"/>
        <family val="1"/>
      </rPr>
      <t>X</t>
    </r>
    <r>
      <rPr>
        <sz val="7"/>
        <color rgb="FF000000"/>
        <rFont val="Times"/>
        <family val="1"/>
      </rPr>
      <t>16</t>
    </r>
    <r>
      <rPr>
        <sz val="12"/>
        <color rgb="FF000000"/>
        <rFont val="Times"/>
        <family val="1"/>
      </rPr>
      <t xml:space="preserve">)] </t>
    </r>
  </si>
  <si>
    <t>Środki pieniężne ze sprzedaży</t>
  </si>
  <si>
    <t>Sprzedaż netto</t>
  </si>
  <si>
    <t>+/- Należności handlowe</t>
  </si>
  <si>
    <t>Środki pieniężne z działalności operacyjnej</t>
  </si>
  <si>
    <t>(-) Koszty sprzedaży (bieżący okres)</t>
  </si>
  <si>
    <t>(-) (Inc.) Zapasy</t>
  </si>
  <si>
    <t xml:space="preserve">(+) (Inc) Płatności dla dostawców </t>
  </si>
  <si>
    <t>(+) Amortyzacja</t>
  </si>
  <si>
    <t>(-) Koszty administracyjne</t>
  </si>
  <si>
    <t>(-) Koszty sprzedaży</t>
  </si>
  <si>
    <t>+/- Other Operating Results</t>
  </si>
  <si>
    <t>(-) Podatki zapłacone</t>
  </si>
  <si>
    <t>(+) (Inc) Płatności</t>
  </si>
  <si>
    <t>(+) (Inc) Podatki</t>
  </si>
  <si>
    <t>(-) (Inc.) Rezerwy na koszty pracownicze, odroczone i szacowane</t>
  </si>
  <si>
    <t>Środki pieniężne z działalności operacyjnej netto</t>
  </si>
  <si>
    <t>Inwestycje w aktywa trwałe</t>
  </si>
  <si>
    <t>(-) Wzrost aktywów trwałych netto</t>
  </si>
  <si>
    <t>Wolne przepływy środków pieniężnych</t>
  </si>
  <si>
    <t>(–) (Inc) Investments</t>
  </si>
  <si>
    <t>Cashflow after Investment Activities</t>
  </si>
  <si>
    <t xml:space="preserve">Przepływy środków pieniężnych z działalności finansowej </t>
  </si>
  <si>
    <t>(-)  koszty finansowe</t>
  </si>
  <si>
    <t xml:space="preserve">Przepływy środków pieniężnych po odjęciu kosztów finansowych </t>
  </si>
  <si>
    <t>(+) (Inc) Zadłużenie krótkoterminowe</t>
  </si>
  <si>
    <t>(+) (Inc) Zadłużenie długoterminowe</t>
  </si>
  <si>
    <t>Przepływy środków pieniężnych</t>
  </si>
  <si>
    <t>(-) Dywidendy</t>
  </si>
  <si>
    <t>(-) Pozostałe koszty</t>
  </si>
  <si>
    <t>(-) Pozostali dłużnicy</t>
  </si>
  <si>
    <t>(-) Pozostałe aktywa obrotowe</t>
  </si>
  <si>
    <t>(-) Należności długoterminowe</t>
  </si>
  <si>
    <t>(-)(Inc.) Deferred and Other Long term Assets</t>
  </si>
  <si>
    <t>(+) Pozostałe przychody</t>
  </si>
  <si>
    <t>(-) (Inc.) Pozstałe zobowiązania długoterminowe</t>
  </si>
  <si>
    <t>(-) (Inc.) Other Short Term Liabilities</t>
  </si>
  <si>
    <t>(+) Zyski nadzwyczajne / Konsolidacja</t>
  </si>
  <si>
    <t>(-) Wartości niematerialne i prawne</t>
  </si>
  <si>
    <t>Inne przepływy pieniężne</t>
  </si>
  <si>
    <t>Środki pieniężne na koniec okresu rozliczeniowego</t>
  </si>
  <si>
    <t>+</t>
  </si>
  <si>
    <t>-</t>
  </si>
  <si>
    <t>Bardzo Dobra</t>
  </si>
  <si>
    <t>Dobra</t>
  </si>
  <si>
    <t>Bardzo zła</t>
  </si>
  <si>
    <t>Średnia Sytacja</t>
  </si>
  <si>
    <t>Bardzo dobra</t>
  </si>
  <si>
    <t>Średnia</t>
  </si>
  <si>
    <t>Dobra Sytuacja</t>
  </si>
  <si>
    <t>Zła</t>
  </si>
  <si>
    <t>Dobre</t>
  </si>
  <si>
    <t>ANALIZA LOGITOWA DLA Spółki JSW, Konkurencji ORAZ SEKTORA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</si>
</sst>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"/>
    <numFmt numFmtId="165" formatCode="0.000"/>
    <numFmt numFmtId="166" formatCode="0.0%"/>
    <numFmt numFmtId="167" formatCode="###,000"/>
    <numFmt numFmtId="168" formatCode="0.00000"/>
  </numFmts>
  <fonts count="62">
    <font>
      <sz val="11"/>
      <color rgb="FF000000"/>
      <name val="Calibri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</font>
    <font>
      <sz val="11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i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9"/>
      <color rgb="FF000000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b/>
      <sz val="13"/>
      <color rgb="FF000000"/>
      <name val="Times New Roman"/>
      <family val="1"/>
      <charset val="238"/>
    </font>
    <font>
      <sz val="13"/>
      <color rgb="FF000000"/>
      <name val="Times New Roman"/>
      <family val="1"/>
      <charset val="238"/>
    </font>
    <font>
      <sz val="13"/>
      <color rgb="FF000000"/>
      <name val="Calibri"/>
      <family val="2"/>
      <charset val="238"/>
    </font>
    <font>
      <b/>
      <sz val="16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22"/>
      <color rgb="FF000000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i/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6"/>
      <name val="Times New Roman"/>
      <family val="1"/>
      <charset val="238"/>
    </font>
    <font>
      <b/>
      <sz val="14"/>
      <name val="Times New Roman"/>
      <family val="1"/>
      <charset val="238"/>
    </font>
    <font>
      <sz val="10"/>
      <color rgb="FF000000"/>
      <name val="Calibri"/>
      <family val="2"/>
    </font>
    <font>
      <b/>
      <sz val="10"/>
      <color rgb="FF000080"/>
      <name val="Calibri"/>
      <family val="2"/>
    </font>
    <font>
      <b/>
      <sz val="11"/>
      <color rgb="FF000080"/>
      <name val="Calibri"/>
      <family val="2"/>
    </font>
    <font>
      <sz val="11"/>
      <color rgb="FF000000"/>
      <name val="Calibri"/>
      <family val="2"/>
    </font>
    <font>
      <b/>
      <sz val="11"/>
      <name val="Times New Roman"/>
      <family val="1"/>
    </font>
    <font>
      <sz val="20"/>
      <color rgb="FF1F1F1F"/>
      <name val="Arial"/>
      <family val="2"/>
    </font>
    <font>
      <b/>
      <sz val="11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name val="Verdana"/>
      <family val="2"/>
    </font>
    <font>
      <u/>
      <sz val="11"/>
      <color theme="10"/>
      <name val="Calibri"/>
      <family val="2"/>
    </font>
    <font>
      <i/>
      <sz val="12"/>
      <color rgb="FF000000"/>
      <name val="Times New Roman"/>
      <family val="1"/>
    </font>
    <font>
      <sz val="11"/>
      <color rgb="FF000000"/>
      <name val="CambriaMath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sz val="10"/>
      <color indexed="12"/>
      <name val="Calibri"/>
      <family val="2"/>
    </font>
    <font>
      <sz val="11"/>
      <color indexed="8"/>
      <name val="Calibri"/>
      <family val="2"/>
    </font>
    <font>
      <sz val="10"/>
      <color indexed="13"/>
      <name val="Calibri"/>
      <family val="2"/>
    </font>
    <font>
      <b/>
      <sz val="12"/>
      <color rgb="FF000000"/>
      <name val="Times New Roman"/>
      <family val="1"/>
    </font>
    <font>
      <i/>
      <sz val="11"/>
      <color rgb="FF000000"/>
      <name val="TimesNewRomanPS"/>
    </font>
    <font>
      <sz val="11"/>
      <color rgb="FF000000"/>
      <name val="TimesNewRomanPSMT"/>
    </font>
    <font>
      <sz val="6"/>
      <color rgb="FF000000"/>
      <name val="TimesNewRomanPSMT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0"/>
      <color rgb="FF0E0F11"/>
      <name val="Times New Roman"/>
      <family val="1"/>
    </font>
    <font>
      <sz val="10"/>
      <color rgb="FF000000"/>
      <name val="Times New Roman"/>
      <family val="1"/>
    </font>
    <font>
      <sz val="10"/>
      <color rgb="FF111111"/>
      <name val="Times New Roman"/>
      <family val="1"/>
    </font>
    <font>
      <i/>
      <sz val="12"/>
      <color rgb="FF000000"/>
      <name val="Times"/>
      <family val="1"/>
    </font>
    <font>
      <sz val="12"/>
      <color rgb="FF000000"/>
      <name val="Symbol"/>
      <charset val="2"/>
    </font>
    <font>
      <sz val="12"/>
      <color rgb="FF000000"/>
      <name val="Times"/>
      <family val="1"/>
    </font>
    <font>
      <sz val="7"/>
      <color rgb="FF000000"/>
      <name val="Times"/>
      <family val="1"/>
    </font>
    <font>
      <sz val="18"/>
      <color rgb="FF000000"/>
      <name val="CambriaMath"/>
    </font>
    <font>
      <sz val="13"/>
      <color rgb="FF000000"/>
      <name val="CambriaMath"/>
    </font>
  </fonts>
  <fills count="24">
    <fill>
      <patternFill patternType="none"/>
    </fill>
    <fill>
      <patternFill patternType="gray125"/>
    </fill>
    <fill>
      <patternFill patternType="solid">
        <fgColor rgb="FFD2D9D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indexed="9"/>
      </patternFill>
    </fill>
    <fill>
      <patternFill patternType="solid">
        <fgColor rgb="FFB8CCE4"/>
        <bgColor rgb="FF00000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9" fontId="21" fillId="0" borderId="0" applyFont="0" applyFill="0" applyBorder="0" applyAlignment="0" applyProtection="0"/>
    <xf numFmtId="0" fontId="33" fillId="0" borderId="0"/>
    <xf numFmtId="9" fontId="2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45" fillId="0" borderId="0" applyFill="0" applyProtection="0"/>
  </cellStyleXfs>
  <cellXfs count="309">
    <xf numFmtId="0" fontId="0" fillId="0" borderId="0" xfId="0"/>
    <xf numFmtId="1" fontId="0" fillId="0" borderId="0" xfId="0" applyNumberFormat="1"/>
    <xf numFmtId="0" fontId="0" fillId="4" borderId="7" xfId="0" applyFill="1" applyBorder="1"/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/>
    <xf numFmtId="0" fontId="3" fillId="4" borderId="7" xfId="0" applyFont="1" applyFill="1" applyBorder="1" applyAlignment="1">
      <alignment wrapText="1"/>
    </xf>
    <xf numFmtId="0" fontId="3" fillId="4" borderId="7" xfId="0" applyFont="1" applyFill="1" applyBorder="1" applyAlignment="1">
      <alignment vertical="center" wrapText="1"/>
    </xf>
    <xf numFmtId="0" fontId="5" fillId="0" borderId="0" xfId="0" applyFont="1"/>
    <xf numFmtId="0" fontId="6" fillId="5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1" fontId="7" fillId="5" borderId="6" xfId="0" applyNumberFormat="1" applyFont="1" applyFill="1" applyBorder="1" applyAlignment="1">
      <alignment vertical="center"/>
    </xf>
    <xf numFmtId="1" fontId="7" fillId="9" borderId="6" xfId="0" applyNumberFormat="1" applyFont="1" applyFill="1" applyBorder="1" applyAlignment="1">
      <alignment vertical="center"/>
    </xf>
    <xf numFmtId="1" fontId="7" fillId="6" borderId="6" xfId="0" applyNumberFormat="1" applyFont="1" applyFill="1" applyBorder="1" applyAlignment="1">
      <alignment vertical="center"/>
    </xf>
    <xf numFmtId="166" fontId="8" fillId="9" borderId="6" xfId="0" applyNumberFormat="1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0" borderId="6" xfId="0" applyFont="1" applyBorder="1"/>
    <xf numFmtId="1" fontId="7" fillId="5" borderId="6" xfId="0" applyNumberFormat="1" applyFont="1" applyFill="1" applyBorder="1"/>
    <xf numFmtId="1" fontId="7" fillId="9" borderId="6" xfId="0" applyNumberFormat="1" applyFont="1" applyFill="1" applyBorder="1"/>
    <xf numFmtId="1" fontId="7" fillId="6" borderId="6" xfId="0" applyNumberFormat="1" applyFont="1" applyFill="1" applyBorder="1"/>
    <xf numFmtId="0" fontId="6" fillId="5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10" fontId="7" fillId="5" borderId="6" xfId="0" applyNumberFormat="1" applyFont="1" applyFill="1" applyBorder="1"/>
    <xf numFmtId="10" fontId="7" fillId="9" borderId="8" xfId="0" applyNumberFormat="1" applyFont="1" applyFill="1" applyBorder="1"/>
    <xf numFmtId="166" fontId="8" fillId="8" borderId="6" xfId="0" applyNumberFormat="1" applyFont="1" applyFill="1" applyBorder="1"/>
    <xf numFmtId="10" fontId="7" fillId="6" borderId="8" xfId="0" applyNumberFormat="1" applyFont="1" applyFill="1" applyBorder="1"/>
    <xf numFmtId="0" fontId="8" fillId="0" borderId="0" xfId="1" applyFont="1"/>
    <xf numFmtId="0" fontId="8" fillId="0" borderId="0" xfId="0" applyFont="1"/>
    <xf numFmtId="0" fontId="2" fillId="0" borderId="0" xfId="0" applyFont="1"/>
    <xf numFmtId="0" fontId="6" fillId="5" borderId="6" xfId="0" applyFont="1" applyFill="1" applyBorder="1"/>
    <xf numFmtId="165" fontId="7" fillId="5" borderId="6" xfId="0" applyNumberFormat="1" applyFont="1" applyFill="1" applyBorder="1"/>
    <xf numFmtId="165" fontId="7" fillId="9" borderId="6" xfId="0" applyNumberFormat="1" applyFont="1" applyFill="1" applyBorder="1"/>
    <xf numFmtId="165" fontId="7" fillId="6" borderId="6" xfId="0" applyNumberFormat="1" applyFont="1" applyFill="1" applyBorder="1"/>
    <xf numFmtId="10" fontId="7" fillId="9" borderId="6" xfId="0" applyNumberFormat="1" applyFont="1" applyFill="1" applyBorder="1"/>
    <xf numFmtId="10" fontId="7" fillId="6" borderId="6" xfId="0" applyNumberFormat="1" applyFont="1" applyFill="1" applyBorder="1"/>
    <xf numFmtId="1" fontId="7" fillId="9" borderId="8" xfId="0" applyNumberFormat="1" applyFont="1" applyFill="1" applyBorder="1"/>
    <xf numFmtId="1" fontId="7" fillId="6" borderId="8" xfId="0" applyNumberFormat="1" applyFont="1" applyFill="1" applyBorder="1"/>
    <xf numFmtId="0" fontId="6" fillId="4" borderId="7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14" fillId="5" borderId="9" xfId="0" applyFont="1" applyFill="1" applyBorder="1" applyAlignment="1">
      <alignment horizontal="center"/>
    </xf>
    <xf numFmtId="164" fontId="8" fillId="5" borderId="9" xfId="0" applyNumberFormat="1" applyFont="1" applyFill="1" applyBorder="1" applyAlignment="1">
      <alignment horizontal="right" vertical="top"/>
    </xf>
    <xf numFmtId="3" fontId="8" fillId="5" borderId="9" xfId="0" applyNumberFormat="1" applyFont="1" applyFill="1" applyBorder="1" applyAlignment="1">
      <alignment horizontal="right" vertical="top"/>
    </xf>
    <xf numFmtId="164" fontId="8" fillId="7" borderId="9" xfId="0" applyNumberFormat="1" applyFont="1" applyFill="1" applyBorder="1" applyAlignment="1">
      <alignment horizontal="right" vertical="top"/>
    </xf>
    <xf numFmtId="164" fontId="8" fillId="11" borderId="9" xfId="0" applyNumberFormat="1" applyFont="1" applyFill="1" applyBorder="1" applyAlignment="1">
      <alignment horizontal="right" vertical="top"/>
    </xf>
    <xf numFmtId="164" fontId="8" fillId="9" borderId="9" xfId="0" applyNumberFormat="1" applyFont="1" applyFill="1" applyBorder="1" applyAlignment="1">
      <alignment horizontal="right" vertical="top"/>
    </xf>
    <xf numFmtId="0" fontId="13" fillId="4" borderId="9" xfId="0" applyFont="1" applyFill="1" applyBorder="1"/>
    <xf numFmtId="10" fontId="8" fillId="6" borderId="9" xfId="0" applyNumberFormat="1" applyFont="1" applyFill="1" applyBorder="1"/>
    <xf numFmtId="0" fontId="6" fillId="4" borderId="7" xfId="0" applyFont="1" applyFill="1" applyBorder="1"/>
    <xf numFmtId="165" fontId="7" fillId="4" borderId="7" xfId="0" applyNumberFormat="1" applyFont="1" applyFill="1" applyBorder="1"/>
    <xf numFmtId="10" fontId="7" fillId="5" borderId="6" xfId="0" applyNumberFormat="1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 wrapText="1"/>
    </xf>
    <xf numFmtId="0" fontId="8" fillId="0" borderId="0" xfId="1" applyFont="1" applyAlignment="1">
      <alignment vertical="top"/>
    </xf>
    <xf numFmtId="0" fontId="2" fillId="0" borderId="0" xfId="1"/>
    <xf numFmtId="0" fontId="18" fillId="0" borderId="0" xfId="0" applyFont="1"/>
    <xf numFmtId="0" fontId="18" fillId="0" borderId="7" xfId="0" applyFont="1" applyBorder="1"/>
    <xf numFmtId="0" fontId="17" fillId="5" borderId="9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vertical="center"/>
    </xf>
    <xf numFmtId="0" fontId="17" fillId="6" borderId="9" xfId="0" applyFont="1" applyFill="1" applyBorder="1" applyAlignment="1">
      <alignment horizontal="center" vertical="center" wrapText="1"/>
    </xf>
    <xf numFmtId="1" fontId="18" fillId="6" borderId="9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2" fontId="18" fillId="6" borderId="9" xfId="0" applyNumberFormat="1" applyFont="1" applyFill="1" applyBorder="1" applyAlignment="1">
      <alignment horizontal="center" vertical="center"/>
    </xf>
    <xf numFmtId="0" fontId="18" fillId="4" borderId="12" xfId="0" applyFont="1" applyFill="1" applyBorder="1"/>
    <xf numFmtId="0" fontId="18" fillId="4" borderId="7" xfId="0" applyFont="1" applyFill="1" applyBorder="1"/>
    <xf numFmtId="4" fontId="18" fillId="5" borderId="9" xfId="0" applyNumberFormat="1" applyFont="1" applyFill="1" applyBorder="1" applyAlignment="1">
      <alignment horizontal="center" vertical="center"/>
    </xf>
    <xf numFmtId="0" fontId="18" fillId="4" borderId="15" xfId="0" applyFont="1" applyFill="1" applyBorder="1"/>
    <xf numFmtId="0" fontId="19" fillId="4" borderId="12" xfId="1" applyFont="1" applyFill="1" applyBorder="1"/>
    <xf numFmtId="0" fontId="19" fillId="4" borderId="7" xfId="1" applyFont="1" applyFill="1" applyBorder="1"/>
    <xf numFmtId="0" fontId="19" fillId="4" borderId="13" xfId="1" applyFont="1" applyFill="1" applyBorder="1"/>
    <xf numFmtId="164" fontId="19" fillId="4" borderId="7" xfId="1" applyNumberFormat="1" applyFont="1" applyFill="1" applyBorder="1" applyAlignment="1">
      <alignment horizontal="right" vertical="top"/>
    </xf>
    <xf numFmtId="0" fontId="19" fillId="0" borderId="12" xfId="1" applyFont="1" applyBorder="1"/>
    <xf numFmtId="0" fontId="19" fillId="0" borderId="7" xfId="1" applyFont="1" applyBorder="1"/>
    <xf numFmtId="0" fontId="19" fillId="0" borderId="0" xfId="1" applyFont="1"/>
    <xf numFmtId="0" fontId="19" fillId="0" borderId="0" xfId="0" applyFont="1"/>
    <xf numFmtId="0" fontId="20" fillId="0" borderId="0" xfId="0" applyFont="1"/>
    <xf numFmtId="0" fontId="8" fillId="12" borderId="0" xfId="0" applyFont="1" applyFill="1"/>
    <xf numFmtId="165" fontId="7" fillId="5" borderId="6" xfId="2" applyNumberFormat="1" applyFont="1" applyFill="1" applyBorder="1" applyAlignment="1">
      <alignment vertical="center"/>
    </xf>
    <xf numFmtId="165" fontId="7" fillId="9" borderId="6" xfId="2" applyNumberFormat="1" applyFont="1" applyFill="1" applyBorder="1" applyAlignment="1">
      <alignment vertical="center"/>
    </xf>
    <xf numFmtId="165" fontId="7" fillId="6" borderId="6" xfId="2" applyNumberFormat="1" applyFont="1" applyFill="1" applyBorder="1" applyAlignment="1">
      <alignment vertical="center"/>
    </xf>
    <xf numFmtId="0" fontId="22" fillId="12" borderId="0" xfId="0" applyFont="1" applyFill="1"/>
    <xf numFmtId="0" fontId="24" fillId="0" borderId="0" xfId="0" applyFont="1"/>
    <xf numFmtId="0" fontId="9" fillId="0" borderId="0" xfId="0" applyFont="1"/>
    <xf numFmtId="0" fontId="10" fillId="0" borderId="0" xfId="0" applyFont="1"/>
    <xf numFmtId="0" fontId="25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164" fontId="25" fillId="5" borderId="6" xfId="0" applyNumberFormat="1" applyFont="1" applyFill="1" applyBorder="1" applyAlignment="1">
      <alignment horizontal="right" vertical="top"/>
    </xf>
    <xf numFmtId="9" fontId="25" fillId="5" borderId="6" xfId="2" applyFont="1" applyFill="1" applyBorder="1"/>
    <xf numFmtId="166" fontId="25" fillId="5" borderId="6" xfId="2" applyNumberFormat="1" applyFont="1" applyFill="1" applyBorder="1"/>
    <xf numFmtId="49" fontId="10" fillId="4" borderId="6" xfId="0" applyNumberFormat="1" applyFont="1" applyFill="1" applyBorder="1" applyAlignment="1">
      <alignment horizontal="left" vertical="top"/>
    </xf>
    <xf numFmtId="49" fontId="9" fillId="4" borderId="6" xfId="0" applyNumberFormat="1" applyFont="1" applyFill="1" applyBorder="1" applyAlignment="1">
      <alignment horizontal="left" vertical="top"/>
    </xf>
    <xf numFmtId="0" fontId="10" fillId="9" borderId="6" xfId="0" applyFont="1" applyFill="1" applyBorder="1" applyAlignment="1">
      <alignment horizontal="center"/>
    </xf>
    <xf numFmtId="164" fontId="25" fillId="9" borderId="6" xfId="0" applyNumberFormat="1" applyFont="1" applyFill="1" applyBorder="1" applyAlignment="1">
      <alignment horizontal="right" vertical="top"/>
    </xf>
    <xf numFmtId="166" fontId="25" fillId="9" borderId="6" xfId="2" applyNumberFormat="1" applyFont="1" applyFill="1" applyBorder="1"/>
    <xf numFmtId="9" fontId="25" fillId="9" borderId="6" xfId="2" applyFont="1" applyFill="1" applyBorder="1"/>
    <xf numFmtId="49" fontId="6" fillId="10" borderId="9" xfId="0" applyNumberFormat="1" applyFont="1" applyFill="1" applyBorder="1" applyAlignment="1">
      <alignment horizontal="left" vertical="top"/>
    </xf>
    <xf numFmtId="0" fontId="12" fillId="14" borderId="18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justify" vertical="center" wrapText="1"/>
    </xf>
    <xf numFmtId="0" fontId="6" fillId="16" borderId="20" xfId="0" applyFont="1" applyFill="1" applyBorder="1" applyAlignment="1">
      <alignment horizontal="center" vertical="center" wrapText="1"/>
    </xf>
    <xf numFmtId="0" fontId="6" fillId="17" borderId="20" xfId="0" applyFont="1" applyFill="1" applyBorder="1" applyAlignment="1">
      <alignment horizontal="center" vertical="center" wrapText="1"/>
    </xf>
    <xf numFmtId="0" fontId="6" fillId="18" borderId="20" xfId="0" applyFont="1" applyFill="1" applyBorder="1" applyAlignment="1">
      <alignment horizontal="center" vertical="center" wrapText="1"/>
    </xf>
    <xf numFmtId="0" fontId="11" fillId="16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justify" vertical="center" wrapText="1"/>
    </xf>
    <xf numFmtId="0" fontId="11" fillId="16" borderId="18" xfId="0" applyFont="1" applyFill="1" applyBorder="1" applyAlignment="1">
      <alignment horizontal="left" vertical="center" wrapText="1"/>
    </xf>
    <xf numFmtId="0" fontId="11" fillId="16" borderId="18" xfId="0" applyFont="1" applyFill="1" applyBorder="1" applyAlignment="1">
      <alignment horizontal="justify" vertical="center" wrapText="1"/>
    </xf>
    <xf numFmtId="0" fontId="6" fillId="13" borderId="20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5" borderId="20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6" fillId="14" borderId="23" xfId="0" applyFont="1" applyFill="1" applyBorder="1" applyAlignment="1">
      <alignment horizontal="center" vertical="center"/>
    </xf>
    <xf numFmtId="0" fontId="6" fillId="15" borderId="22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0" fontId="6" fillId="13" borderId="19" xfId="0" applyFont="1" applyFill="1" applyBorder="1" applyAlignment="1">
      <alignment horizontal="center" vertical="center"/>
    </xf>
    <xf numFmtId="0" fontId="15" fillId="14" borderId="20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 wrapText="1"/>
    </xf>
    <xf numFmtId="49" fontId="28" fillId="4" borderId="6" xfId="0" applyNumberFormat="1" applyFont="1" applyFill="1" applyBorder="1" applyAlignment="1">
      <alignment horizontal="left" vertical="top"/>
    </xf>
    <xf numFmtId="49" fontId="29" fillId="4" borderId="6" xfId="0" applyNumberFormat="1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center"/>
    </xf>
    <xf numFmtId="164" fontId="25" fillId="0" borderId="0" xfId="0" applyNumberFormat="1" applyFont="1"/>
    <xf numFmtId="3" fontId="8" fillId="7" borderId="9" xfId="0" applyNumberFormat="1" applyFont="1" applyFill="1" applyBorder="1" applyAlignment="1">
      <alignment horizontal="right" vertical="top"/>
    </xf>
    <xf numFmtId="3" fontId="8" fillId="9" borderId="9" xfId="0" applyNumberFormat="1" applyFont="1" applyFill="1" applyBorder="1" applyAlignment="1">
      <alignment horizontal="right" vertical="top"/>
    </xf>
    <xf numFmtId="49" fontId="30" fillId="3" borderId="0" xfId="0" applyNumberFormat="1" applyFont="1" applyFill="1" applyAlignment="1">
      <alignment horizontal="right" vertical="top"/>
    </xf>
    <xf numFmtId="49" fontId="30" fillId="3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right" vertical="top"/>
    </xf>
    <xf numFmtId="49" fontId="30" fillId="0" borderId="0" xfId="0" applyNumberFormat="1" applyFont="1" applyAlignment="1">
      <alignment horizontal="left" vertical="top"/>
    </xf>
    <xf numFmtId="164" fontId="30" fillId="3" borderId="0" xfId="0" applyNumberFormat="1" applyFont="1" applyFill="1" applyAlignment="1">
      <alignment horizontal="right" vertical="top"/>
    </xf>
    <xf numFmtId="164" fontId="30" fillId="0" borderId="0" xfId="0" applyNumberFormat="1" applyFont="1" applyAlignment="1">
      <alignment horizontal="right" vertical="top"/>
    </xf>
    <xf numFmtId="167" fontId="30" fillId="3" borderId="0" xfId="0" applyNumberFormat="1" applyFont="1" applyFill="1" applyAlignment="1">
      <alignment horizontal="right" vertical="top"/>
    </xf>
    <xf numFmtId="167" fontId="30" fillId="0" borderId="0" xfId="0" applyNumberFormat="1" applyFont="1" applyAlignment="1">
      <alignment horizontal="right" vertical="top"/>
    </xf>
    <xf numFmtId="0" fontId="31" fillId="0" borderId="1" xfId="0" applyFont="1" applyBorder="1" applyAlignment="1">
      <alignment horizontal="center"/>
    </xf>
    <xf numFmtId="9" fontId="25" fillId="5" borderId="6" xfId="2" applyFont="1" applyFill="1" applyBorder="1" applyAlignment="1">
      <alignment horizontal="right" vertical="top"/>
    </xf>
    <xf numFmtId="9" fontId="25" fillId="9" borderId="6" xfId="2" applyFont="1" applyFill="1" applyBorder="1" applyAlignment="1">
      <alignment horizontal="right" vertical="top"/>
    </xf>
    <xf numFmtId="166" fontId="25" fillId="9" borderId="6" xfId="2" applyNumberFormat="1" applyFont="1" applyFill="1" applyBorder="1" applyAlignment="1">
      <alignment horizontal="right" vertical="top"/>
    </xf>
    <xf numFmtId="10" fontId="25" fillId="9" borderId="6" xfId="2" applyNumberFormat="1" applyFont="1" applyFill="1" applyBorder="1" applyAlignment="1">
      <alignment horizontal="right" vertical="top"/>
    </xf>
    <xf numFmtId="9" fontId="6" fillId="14" borderId="18" xfId="2" applyFont="1" applyFill="1" applyBorder="1" applyAlignment="1">
      <alignment horizontal="center" vertical="center" wrapText="1"/>
    </xf>
    <xf numFmtId="9" fontId="9" fillId="0" borderId="0" xfId="2" applyFont="1"/>
    <xf numFmtId="9" fontId="12" fillId="14" borderId="18" xfId="2" applyFont="1" applyFill="1" applyBorder="1" applyAlignment="1">
      <alignment horizontal="center" vertical="center" wrapText="1"/>
    </xf>
    <xf numFmtId="9" fontId="0" fillId="0" borderId="0" xfId="2" applyFont="1"/>
    <xf numFmtId="0" fontId="26" fillId="4" borderId="0" xfId="3" applyFont="1" applyFill="1" applyAlignment="1">
      <alignment vertical="center"/>
    </xf>
    <xf numFmtId="0" fontId="33" fillId="0" borderId="0" xfId="3" applyAlignment="1">
      <alignment vertical="center"/>
    </xf>
    <xf numFmtId="0" fontId="27" fillId="4" borderId="0" xfId="3" applyFont="1" applyFill="1" applyAlignment="1">
      <alignment horizontal="center" vertical="center"/>
    </xf>
    <xf numFmtId="164" fontId="26" fillId="11" borderId="6" xfId="3" applyNumberFormat="1" applyFont="1" applyFill="1" applyBorder="1" applyAlignment="1">
      <alignment horizontal="right" vertical="center"/>
    </xf>
    <xf numFmtId="49" fontId="26" fillId="10" borderId="16" xfId="3" applyNumberFormat="1" applyFont="1" applyFill="1" applyBorder="1" applyAlignment="1">
      <alignment horizontal="left" vertical="center"/>
    </xf>
    <xf numFmtId="0" fontId="27" fillId="4" borderId="6" xfId="3" applyFont="1" applyFill="1" applyBorder="1" applyAlignment="1">
      <alignment horizontal="center" vertical="center"/>
    </xf>
    <xf numFmtId="3" fontId="26" fillId="5" borderId="6" xfId="3" applyNumberFormat="1" applyFont="1" applyFill="1" applyBorder="1" applyAlignment="1">
      <alignment horizontal="right" vertical="center"/>
    </xf>
    <xf numFmtId="49" fontId="26" fillId="4" borderId="16" xfId="3" applyNumberFormat="1" applyFont="1" applyFill="1" applyBorder="1" applyAlignment="1">
      <alignment horizontal="left" vertical="center"/>
    </xf>
    <xf numFmtId="164" fontId="26" fillId="5" borderId="6" xfId="3" applyNumberFormat="1" applyFont="1" applyFill="1" applyBorder="1" applyAlignment="1">
      <alignment horizontal="right" vertical="center"/>
    </xf>
    <xf numFmtId="164" fontId="26" fillId="9" borderId="6" xfId="3" applyNumberFormat="1" applyFont="1" applyFill="1" applyBorder="1" applyAlignment="1">
      <alignment horizontal="right" vertical="center"/>
    </xf>
    <xf numFmtId="3" fontId="26" fillId="9" borderId="6" xfId="3" applyNumberFormat="1" applyFont="1" applyFill="1" applyBorder="1" applyAlignment="1">
      <alignment horizontal="right" vertical="center"/>
    </xf>
    <xf numFmtId="49" fontId="27" fillId="4" borderId="16" xfId="3" applyNumberFormat="1" applyFont="1" applyFill="1" applyBorder="1" applyAlignment="1">
      <alignment horizontal="left" vertical="center"/>
    </xf>
    <xf numFmtId="1" fontId="26" fillId="11" borderId="6" xfId="3" applyNumberFormat="1" applyFont="1" applyFill="1" applyBorder="1" applyAlignment="1">
      <alignment horizontal="right" vertical="center"/>
    </xf>
    <xf numFmtId="3" fontId="26" fillId="7" borderId="6" xfId="3" applyNumberFormat="1" applyFont="1" applyFill="1" applyBorder="1" applyAlignment="1">
      <alignment horizontal="right" vertical="center"/>
    </xf>
    <xf numFmtId="49" fontId="27" fillId="10" borderId="16" xfId="3" applyNumberFormat="1" applyFont="1" applyFill="1" applyBorder="1" applyAlignment="1">
      <alignment horizontal="left" vertical="center"/>
    </xf>
    <xf numFmtId="0" fontId="27" fillId="4" borderId="0" xfId="3" applyFont="1" applyFill="1" applyAlignment="1">
      <alignment vertical="center"/>
    </xf>
    <xf numFmtId="164" fontId="27" fillId="9" borderId="6" xfId="3" applyNumberFormat="1" applyFont="1" applyFill="1" applyBorder="1" applyAlignment="1">
      <alignment horizontal="right" vertical="center"/>
    </xf>
    <xf numFmtId="164" fontId="34" fillId="9" borderId="6" xfId="3" applyNumberFormat="1" applyFont="1" applyFill="1" applyBorder="1" applyAlignment="1">
      <alignment horizontal="right" vertical="center"/>
    </xf>
    <xf numFmtId="3" fontId="34" fillId="7" borderId="6" xfId="3" applyNumberFormat="1" applyFont="1" applyFill="1" applyBorder="1" applyAlignment="1">
      <alignment horizontal="right" vertical="center"/>
    </xf>
    <xf numFmtId="1" fontId="26" fillId="9" borderId="6" xfId="3" applyNumberFormat="1" applyFont="1" applyFill="1" applyBorder="1" applyAlignment="1">
      <alignment horizontal="right" vertical="center"/>
    </xf>
    <xf numFmtId="164" fontId="26" fillId="7" borderId="6" xfId="3" applyNumberFormat="1" applyFont="1" applyFill="1" applyBorder="1" applyAlignment="1">
      <alignment horizontal="right" vertical="center"/>
    </xf>
    <xf numFmtId="9" fontId="6" fillId="5" borderId="6" xfId="4" applyFont="1" applyFill="1" applyBorder="1" applyAlignment="1">
      <alignment vertical="center"/>
    </xf>
    <xf numFmtId="164" fontId="27" fillId="7" borderId="6" xfId="3" applyNumberFormat="1" applyFont="1" applyFill="1" applyBorder="1" applyAlignment="1">
      <alignment horizontal="right" vertical="center"/>
    </xf>
    <xf numFmtId="0" fontId="12" fillId="14" borderId="18" xfId="3" applyFont="1" applyFill="1" applyBorder="1" applyAlignment="1">
      <alignment horizontal="center" vertical="center" wrapText="1"/>
    </xf>
    <xf numFmtId="0" fontId="6" fillId="14" borderId="18" xfId="3" applyFont="1" applyFill="1" applyBorder="1" applyAlignment="1">
      <alignment horizontal="center" vertical="center"/>
    </xf>
    <xf numFmtId="0" fontId="27" fillId="9" borderId="16" xfId="3" applyFont="1" applyFill="1" applyBorder="1" applyAlignment="1">
      <alignment horizontal="center" vertical="center"/>
    </xf>
    <xf numFmtId="3" fontId="26" fillId="11" borderId="6" xfId="3" applyNumberFormat="1" applyFont="1" applyFill="1" applyBorder="1" applyAlignment="1">
      <alignment horizontal="right" vertical="center"/>
    </xf>
    <xf numFmtId="0" fontId="33" fillId="0" borderId="0" xfId="0" applyFont="1"/>
    <xf numFmtId="2" fontId="7" fillId="5" borderId="6" xfId="0" applyNumberFormat="1" applyFont="1" applyFill="1" applyBorder="1"/>
    <xf numFmtId="2" fontId="7" fillId="9" borderId="8" xfId="0" applyNumberFormat="1" applyFont="1" applyFill="1" applyBorder="1"/>
    <xf numFmtId="2" fontId="7" fillId="6" borderId="8" xfId="0" applyNumberFormat="1" applyFont="1" applyFill="1" applyBorder="1"/>
    <xf numFmtId="0" fontId="35" fillId="0" borderId="0" xfId="0" applyFont="1"/>
    <xf numFmtId="0" fontId="38" fillId="19" borderId="0" xfId="5" applyFont="1" applyFill="1" applyAlignment="1">
      <alignment horizontal="right"/>
    </xf>
    <xf numFmtId="0" fontId="36" fillId="19" borderId="0" xfId="5" applyFont="1" applyFill="1"/>
    <xf numFmtId="0" fontId="33" fillId="0" borderId="0" xfId="3"/>
    <xf numFmtId="49" fontId="30" fillId="3" borderId="0" xfId="3" applyNumberFormat="1" applyFont="1" applyFill="1" applyAlignment="1">
      <alignment horizontal="right" vertical="top"/>
    </xf>
    <xf numFmtId="49" fontId="30" fillId="3" borderId="0" xfId="3" applyNumberFormat="1" applyFont="1" applyFill="1" applyAlignment="1">
      <alignment horizontal="left" vertical="top"/>
    </xf>
    <xf numFmtId="49" fontId="30" fillId="0" borderId="0" xfId="3" applyNumberFormat="1" applyFont="1" applyAlignment="1">
      <alignment horizontal="right" vertical="top"/>
    </xf>
    <xf numFmtId="49" fontId="30" fillId="0" borderId="0" xfId="3" applyNumberFormat="1" applyFont="1" applyAlignment="1">
      <alignment horizontal="left" vertical="top"/>
    </xf>
    <xf numFmtId="167" fontId="30" fillId="0" borderId="0" xfId="3" applyNumberFormat="1" applyFont="1" applyAlignment="1">
      <alignment horizontal="right" vertical="top"/>
    </xf>
    <xf numFmtId="10" fontId="30" fillId="3" borderId="0" xfId="3" applyNumberFormat="1" applyFont="1" applyFill="1" applyAlignment="1">
      <alignment horizontal="right" vertical="top"/>
    </xf>
    <xf numFmtId="10" fontId="30" fillId="0" borderId="0" xfId="3" applyNumberFormat="1" applyFont="1" applyAlignment="1">
      <alignment horizontal="right" vertical="top"/>
    </xf>
    <xf numFmtId="164" fontId="30" fillId="3" borderId="0" xfId="3" applyNumberFormat="1" applyFont="1" applyFill="1" applyAlignment="1">
      <alignment horizontal="right" vertical="top"/>
    </xf>
    <xf numFmtId="164" fontId="30" fillId="0" borderId="0" xfId="3" applyNumberFormat="1" applyFont="1" applyAlignment="1">
      <alignment horizontal="right" vertical="top"/>
    </xf>
    <xf numFmtId="0" fontId="31" fillId="0" borderId="1" xfId="3" applyFont="1" applyBorder="1" applyAlignment="1">
      <alignment horizontal="center"/>
    </xf>
    <xf numFmtId="0" fontId="39" fillId="0" borderId="0" xfId="6"/>
    <xf numFmtId="10" fontId="30" fillId="0" borderId="0" xfId="0" applyNumberFormat="1" applyFont="1" applyAlignment="1">
      <alignment horizontal="right" vertical="top"/>
    </xf>
    <xf numFmtId="10" fontId="30" fillId="3" borderId="0" xfId="0" applyNumberFormat="1" applyFont="1" applyFill="1" applyAlignment="1">
      <alignment horizontal="right" vertical="top"/>
    </xf>
    <xf numFmtId="2" fontId="7" fillId="5" borderId="6" xfId="0" applyNumberFormat="1" applyFont="1" applyFill="1" applyBorder="1" applyAlignment="1">
      <alignment horizontal="right"/>
    </xf>
    <xf numFmtId="2" fontId="7" fillId="21" borderId="6" xfId="0" applyNumberFormat="1" applyFont="1" applyFill="1" applyBorder="1"/>
    <xf numFmtId="2" fontId="7" fillId="22" borderId="6" xfId="0" applyNumberFormat="1" applyFont="1" applyFill="1" applyBorder="1"/>
    <xf numFmtId="2" fontId="0" fillId="0" borderId="0" xfId="0" applyNumberFormat="1"/>
    <xf numFmtId="2" fontId="7" fillId="9" borderId="6" xfId="0" applyNumberFormat="1" applyFont="1" applyFill="1" applyBorder="1"/>
    <xf numFmtId="2" fontId="7" fillId="6" borderId="6" xfId="0" applyNumberFormat="1" applyFont="1" applyFill="1" applyBorder="1"/>
    <xf numFmtId="2" fontId="7" fillId="20" borderId="6" xfId="0" applyNumberFormat="1" applyFont="1" applyFill="1" applyBorder="1"/>
    <xf numFmtId="2" fontId="7" fillId="22" borderId="8" xfId="0" applyNumberFormat="1" applyFont="1" applyFill="1" applyBorder="1"/>
    <xf numFmtId="0" fontId="8" fillId="0" borderId="0" xfId="0" applyFont="1" applyAlignment="1">
      <alignment horizontal="left" vertical="center"/>
    </xf>
    <xf numFmtId="1" fontId="7" fillId="21" borderId="6" xfId="0" applyNumberFormat="1" applyFont="1" applyFill="1" applyBorder="1" applyAlignment="1">
      <alignment vertical="center"/>
    </xf>
    <xf numFmtId="1" fontId="7" fillId="22" borderId="6" xfId="0" applyNumberFormat="1" applyFont="1" applyFill="1" applyBorder="1" applyAlignment="1">
      <alignment vertical="center"/>
    </xf>
    <xf numFmtId="10" fontId="7" fillId="22" borderId="8" xfId="0" applyNumberFormat="1" applyFont="1" applyFill="1" applyBorder="1"/>
    <xf numFmtId="10" fontId="7" fillId="5" borderId="8" xfId="0" applyNumberFormat="1" applyFont="1" applyFill="1" applyBorder="1"/>
    <xf numFmtId="10" fontId="8" fillId="9" borderId="6" xfId="2" applyNumberFormat="1" applyFont="1" applyFill="1" applyBorder="1" applyAlignment="1">
      <alignment vertical="center"/>
    </xf>
    <xf numFmtId="10" fontId="40" fillId="21" borderId="6" xfId="0" applyNumberFormat="1" applyFont="1" applyFill="1" applyBorder="1"/>
    <xf numFmtId="10" fontId="7" fillId="21" borderId="6" xfId="0" applyNumberFormat="1" applyFont="1" applyFill="1" applyBorder="1"/>
    <xf numFmtId="10" fontId="7" fillId="22" borderId="6" xfId="0" applyNumberFormat="1" applyFont="1" applyFill="1" applyBorder="1"/>
    <xf numFmtId="1" fontId="7" fillId="21" borderId="6" xfId="0" applyNumberFormat="1" applyFont="1" applyFill="1" applyBorder="1"/>
    <xf numFmtId="1" fontId="7" fillId="22" borderId="6" xfId="0" applyNumberFormat="1" applyFont="1" applyFill="1" applyBorder="1"/>
    <xf numFmtId="166" fontId="8" fillId="21" borderId="6" xfId="0" applyNumberFormat="1" applyFont="1" applyFill="1" applyBorder="1"/>
    <xf numFmtId="10" fontId="8" fillId="8" borderId="6" xfId="0" applyNumberFormat="1" applyFont="1" applyFill="1" applyBorder="1"/>
    <xf numFmtId="0" fontId="39" fillId="0" borderId="0" xfId="6" applyFill="1" applyBorder="1" applyAlignment="1">
      <alignment horizontal="left" vertical="center"/>
    </xf>
    <xf numFmtId="0" fontId="41" fillId="0" borderId="0" xfId="0" applyFont="1"/>
    <xf numFmtId="0" fontId="39" fillId="0" borderId="0" xfId="6" applyFill="1" applyBorder="1"/>
    <xf numFmtId="2" fontId="7" fillId="5" borderId="8" xfId="0" applyNumberFormat="1" applyFont="1" applyFill="1" applyBorder="1"/>
    <xf numFmtId="2" fontId="8" fillId="16" borderId="18" xfId="0" applyNumberFormat="1" applyFont="1" applyFill="1" applyBorder="1" applyAlignment="1">
      <alignment horizontal="justify" vertical="center" wrapText="1"/>
    </xf>
    <xf numFmtId="2" fontId="8" fillId="17" borderId="18" xfId="0" applyNumberFormat="1" applyFont="1" applyFill="1" applyBorder="1" applyAlignment="1">
      <alignment horizontal="justify" vertical="center" wrapText="1"/>
    </xf>
    <xf numFmtId="2" fontId="8" fillId="18" borderId="18" xfId="0" applyNumberFormat="1" applyFont="1" applyFill="1" applyBorder="1" applyAlignment="1">
      <alignment horizontal="justify" vertical="center" wrapText="1"/>
    </xf>
    <xf numFmtId="165" fontId="7" fillId="21" borderId="6" xfId="2" applyNumberFormat="1" applyFont="1" applyFill="1" applyBorder="1" applyAlignment="1">
      <alignment vertical="center"/>
    </xf>
    <xf numFmtId="165" fontId="7" fillId="22" borderId="6" xfId="2" applyNumberFormat="1" applyFont="1" applyFill="1" applyBorder="1" applyAlignment="1">
      <alignment vertical="center"/>
    </xf>
    <xf numFmtId="0" fontId="42" fillId="0" borderId="0" xfId="0" applyFont="1"/>
    <xf numFmtId="0" fontId="43" fillId="0" borderId="0" xfId="0" applyFont="1"/>
    <xf numFmtId="0" fontId="43" fillId="0" borderId="0" xfId="0" applyFont="1" applyAlignment="1">
      <alignment horizontal="left"/>
    </xf>
    <xf numFmtId="4" fontId="43" fillId="0" borderId="0" xfId="0" applyNumberFormat="1" applyFont="1"/>
    <xf numFmtId="4" fontId="44" fillId="0" borderId="0" xfId="0" applyNumberFormat="1" applyFont="1"/>
    <xf numFmtId="0" fontId="1" fillId="23" borderId="0" xfId="7"/>
    <xf numFmtId="0" fontId="1" fillId="23" borderId="0" xfId="7" applyAlignment="1">
      <alignment horizontal="left"/>
    </xf>
    <xf numFmtId="0" fontId="46" fillId="0" borderId="0" xfId="0" applyFont="1"/>
    <xf numFmtId="2" fontId="7" fillId="5" borderId="6" xfId="2" applyNumberFormat="1" applyFont="1" applyFill="1" applyBorder="1" applyAlignment="1">
      <alignment vertical="center"/>
    </xf>
    <xf numFmtId="2" fontId="7" fillId="9" borderId="6" xfId="2" applyNumberFormat="1" applyFont="1" applyFill="1" applyBorder="1" applyAlignment="1">
      <alignment vertical="center"/>
    </xf>
    <xf numFmtId="2" fontId="7" fillId="6" borderId="6" xfId="2" applyNumberFormat="1" applyFont="1" applyFill="1" applyBorder="1" applyAlignment="1">
      <alignment vertical="center"/>
    </xf>
    <xf numFmtId="2" fontId="8" fillId="0" borderId="0" xfId="0" applyNumberFormat="1" applyFont="1"/>
    <xf numFmtId="0" fontId="47" fillId="0" borderId="0" xfId="0" applyFont="1"/>
    <xf numFmtId="0" fontId="48" fillId="0" borderId="0" xfId="0" applyFont="1"/>
    <xf numFmtId="4" fontId="0" fillId="0" borderId="0" xfId="0" applyNumberFormat="1"/>
    <xf numFmtId="0" fontId="52" fillId="0" borderId="0" xfId="0" applyFont="1"/>
    <xf numFmtId="0" fontId="53" fillId="0" borderId="0" xfId="0" applyFont="1"/>
    <xf numFmtId="0" fontId="54" fillId="0" borderId="0" xfId="0" applyFont="1"/>
    <xf numFmtId="10" fontId="53" fillId="0" borderId="0" xfId="0" applyNumberFormat="1" applyFont="1"/>
    <xf numFmtId="10" fontId="55" fillId="0" borderId="0" xfId="0" applyNumberFormat="1" applyFont="1"/>
    <xf numFmtId="10" fontId="8" fillId="0" borderId="0" xfId="0" applyNumberFormat="1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2" fontId="7" fillId="5" borderId="6" xfId="2" applyNumberFormat="1" applyFont="1" applyFill="1" applyBorder="1" applyAlignment="1">
      <alignment horizontal="right"/>
    </xf>
    <xf numFmtId="2" fontId="7" fillId="9" borderId="6" xfId="2" applyNumberFormat="1" applyFont="1" applyFill="1" applyBorder="1" applyAlignment="1">
      <alignment horizontal="right"/>
    </xf>
    <xf numFmtId="2" fontId="7" fillId="6" borderId="6" xfId="2" applyNumberFormat="1" applyFont="1" applyFill="1" applyBorder="1" applyAlignment="1">
      <alignment horizontal="right"/>
    </xf>
    <xf numFmtId="164" fontId="8" fillId="0" borderId="0" xfId="0" applyNumberFormat="1" applyFont="1"/>
    <xf numFmtId="0" fontId="51" fillId="16" borderId="18" xfId="0" applyFont="1" applyFill="1" applyBorder="1" applyAlignment="1">
      <alignment horizontal="center" vertical="center" wrapText="1"/>
    </xf>
    <xf numFmtId="2" fontId="18" fillId="6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6" fillId="5" borderId="6" xfId="3" applyFont="1" applyFill="1" applyBorder="1" applyAlignment="1">
      <alignment horizontal="right" vertical="center"/>
    </xf>
    <xf numFmtId="10" fontId="26" fillId="9" borderId="6" xfId="3" applyNumberFormat="1" applyFont="1" applyFill="1" applyBorder="1" applyAlignment="1">
      <alignment horizontal="right" vertical="center"/>
    </xf>
    <xf numFmtId="1" fontId="6" fillId="13" borderId="20" xfId="0" applyNumberFormat="1" applyFont="1" applyFill="1" applyBorder="1" applyAlignment="1">
      <alignment horizontal="center" vertical="center"/>
    </xf>
    <xf numFmtId="1" fontId="6" fillId="14" borderId="23" xfId="0" applyNumberFormat="1" applyFont="1" applyFill="1" applyBorder="1" applyAlignment="1">
      <alignment horizontal="center" vertical="center"/>
    </xf>
    <xf numFmtId="1" fontId="6" fillId="15" borderId="22" xfId="0" applyNumberFormat="1" applyFont="1" applyFill="1" applyBorder="1" applyAlignment="1">
      <alignment horizontal="center" vertical="center"/>
    </xf>
    <xf numFmtId="1" fontId="6" fillId="14" borderId="22" xfId="0" applyNumberFormat="1" applyFont="1" applyFill="1" applyBorder="1" applyAlignment="1">
      <alignment horizontal="center" vertical="center"/>
    </xf>
    <xf numFmtId="1" fontId="6" fillId="13" borderId="19" xfId="0" applyNumberFormat="1" applyFont="1" applyFill="1" applyBorder="1" applyAlignment="1">
      <alignment horizontal="center" vertical="center"/>
    </xf>
    <xf numFmtId="3" fontId="18" fillId="5" borderId="9" xfId="0" applyNumberFormat="1" applyFont="1" applyFill="1" applyBorder="1" applyAlignment="1">
      <alignment horizontal="center" vertical="center"/>
    </xf>
    <xf numFmtId="10" fontId="27" fillId="7" borderId="6" xfId="3" applyNumberFormat="1" applyFont="1" applyFill="1" applyBorder="1" applyAlignment="1">
      <alignment horizontal="right" vertical="center"/>
    </xf>
    <xf numFmtId="10" fontId="26" fillId="7" borderId="6" xfId="3" applyNumberFormat="1" applyFont="1" applyFill="1" applyBorder="1" applyAlignment="1">
      <alignment horizontal="right" vertical="center"/>
    </xf>
    <xf numFmtId="10" fontId="26" fillId="5" borderId="6" xfId="3" applyNumberFormat="1" applyFont="1" applyFill="1" applyBorder="1" applyAlignment="1">
      <alignment horizontal="right" vertical="center"/>
    </xf>
    <xf numFmtId="10" fontId="6" fillId="14" borderId="18" xfId="3" applyNumberFormat="1" applyFont="1" applyFill="1" applyBorder="1" applyAlignment="1">
      <alignment horizontal="center" vertical="center"/>
    </xf>
    <xf numFmtId="10" fontId="27" fillId="9" borderId="6" xfId="3" applyNumberFormat="1" applyFont="1" applyFill="1" applyBorder="1" applyAlignment="1">
      <alignment horizontal="right" vertical="center"/>
    </xf>
    <xf numFmtId="10" fontId="34" fillId="7" borderId="6" xfId="3" applyNumberFormat="1" applyFont="1" applyFill="1" applyBorder="1" applyAlignment="1">
      <alignment horizontal="right" vertical="center"/>
    </xf>
    <xf numFmtId="10" fontId="34" fillId="9" borderId="6" xfId="3" applyNumberFormat="1" applyFont="1" applyFill="1" applyBorder="1" applyAlignment="1">
      <alignment horizontal="right" vertical="center"/>
    </xf>
    <xf numFmtId="10" fontId="26" fillId="11" borderId="6" xfId="3" applyNumberFormat="1" applyFont="1" applyFill="1" applyBorder="1" applyAlignment="1">
      <alignment horizontal="right" vertical="center"/>
    </xf>
    <xf numFmtId="10" fontId="26" fillId="4" borderId="0" xfId="3" applyNumberFormat="1" applyFont="1" applyFill="1" applyAlignment="1">
      <alignment vertical="center"/>
    </xf>
    <xf numFmtId="1" fontId="7" fillId="5" borderId="6" xfId="4" applyNumberFormat="1" applyFont="1" applyFill="1" applyBorder="1" applyAlignment="1">
      <alignment horizontal="right"/>
    </xf>
    <xf numFmtId="1" fontId="7" fillId="9" borderId="6" xfId="4" applyNumberFormat="1" applyFont="1" applyFill="1" applyBorder="1" applyAlignment="1">
      <alignment horizontal="right"/>
    </xf>
    <xf numFmtId="1" fontId="7" fillId="6" borderId="6" xfId="4" applyNumberFormat="1" applyFont="1" applyFill="1" applyBorder="1" applyAlignment="1">
      <alignment horizontal="right"/>
    </xf>
    <xf numFmtId="1" fontId="7" fillId="22" borderId="6" xfId="4" applyNumberFormat="1" applyFont="1" applyFill="1" applyBorder="1" applyAlignment="1">
      <alignment horizontal="right"/>
    </xf>
    <xf numFmtId="165" fontId="7" fillId="5" borderId="6" xfId="4" applyNumberFormat="1" applyFont="1" applyFill="1" applyBorder="1" applyAlignment="1">
      <alignment horizontal="right"/>
    </xf>
    <xf numFmtId="165" fontId="7" fillId="9" borderId="6" xfId="4" applyNumberFormat="1" applyFont="1" applyFill="1" applyBorder="1" applyAlignment="1">
      <alignment horizontal="right"/>
    </xf>
    <xf numFmtId="165" fontId="7" fillId="6" borderId="6" xfId="4" applyNumberFormat="1" applyFont="1" applyFill="1" applyBorder="1" applyAlignment="1">
      <alignment horizontal="right"/>
    </xf>
    <xf numFmtId="0" fontId="32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32" fillId="2" borderId="0" xfId="3" applyFont="1" applyFill="1" applyAlignment="1">
      <alignment wrapText="1"/>
    </xf>
    <xf numFmtId="0" fontId="33" fillId="0" borderId="0" xfId="3"/>
    <xf numFmtId="0" fontId="33" fillId="0" borderId="0" xfId="3" applyAlignment="1">
      <alignment horizontal="right"/>
    </xf>
    <xf numFmtId="0" fontId="9" fillId="0" borderId="5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9" fontId="10" fillId="5" borderId="6" xfId="2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0" fontId="27" fillId="5" borderId="17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7" fillId="4" borderId="2" xfId="3" applyFont="1" applyFill="1" applyBorder="1" applyAlignment="1">
      <alignment horizontal="center" vertical="center"/>
    </xf>
    <xf numFmtId="0" fontId="27" fillId="4" borderId="4" xfId="3" applyFont="1" applyFill="1" applyBorder="1" applyAlignment="1">
      <alignment horizontal="center" vertical="center"/>
    </xf>
    <xf numFmtId="0" fontId="27" fillId="4" borderId="3" xfId="3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18" fillId="5" borderId="0" xfId="0" applyFont="1" applyFill="1" applyAlignment="1">
      <alignment horizontal="center" vertical="center" wrapText="1"/>
    </xf>
    <xf numFmtId="168" fontId="18" fillId="5" borderId="9" xfId="0" applyNumberFormat="1" applyFont="1" applyFill="1" applyBorder="1" applyAlignment="1">
      <alignment horizontal="center" vertical="center"/>
    </xf>
    <xf numFmtId="168" fontId="18" fillId="5" borderId="11" xfId="0" applyNumberFormat="1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 wrapText="1"/>
    </xf>
    <xf numFmtId="2" fontId="18" fillId="5" borderId="9" xfId="0" applyNumberFormat="1" applyFont="1" applyFill="1" applyBorder="1" applyAlignment="1">
      <alignment horizontal="center" vertical="center"/>
    </xf>
    <xf numFmtId="2" fontId="18" fillId="5" borderId="11" xfId="0" applyNumberFormat="1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2" fontId="18" fillId="5" borderId="24" xfId="0" applyNumberFormat="1" applyFont="1" applyFill="1" applyBorder="1" applyAlignment="1">
      <alignment horizontal="center" vertical="center"/>
    </xf>
    <xf numFmtId="2" fontId="18" fillId="5" borderId="25" xfId="0" applyNumberFormat="1" applyFont="1" applyFill="1" applyBorder="1" applyAlignment="1">
      <alignment horizontal="center" vertical="center"/>
    </xf>
    <xf numFmtId="165" fontId="18" fillId="6" borderId="6" xfId="0" applyNumberFormat="1" applyFont="1" applyFill="1" applyBorder="1" applyAlignment="1">
      <alignment horizontal="center" vertical="center"/>
    </xf>
    <xf numFmtId="165" fontId="18" fillId="6" borderId="14" xfId="0" applyNumberFormat="1" applyFont="1" applyFill="1" applyBorder="1" applyAlignment="1">
      <alignment horizontal="center" vertical="center"/>
    </xf>
    <xf numFmtId="165" fontId="18" fillId="5" borderId="9" xfId="0" applyNumberFormat="1" applyFont="1" applyFill="1" applyBorder="1" applyAlignment="1">
      <alignment horizontal="center" vertical="center"/>
    </xf>
    <xf numFmtId="165" fontId="18" fillId="5" borderId="1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1" fillId="16" borderId="22" xfId="0" applyFont="1" applyFill="1" applyBorder="1" applyAlignment="1">
      <alignment horizontal="center" vertical="center" wrapText="1"/>
    </xf>
    <xf numFmtId="0" fontId="11" fillId="16" borderId="23" xfId="0" applyFont="1" applyFill="1" applyBorder="1" applyAlignment="1">
      <alignment horizontal="center" vertical="center" wrapText="1"/>
    </xf>
    <xf numFmtId="0" fontId="11" fillId="16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9">
    <cellStyle name="20% — akcent 1" xfId="7" builtinId="30"/>
    <cellStyle name="Hiperłącze" xfId="6" builtinId="8"/>
    <cellStyle name="Normalny" xfId="0" builtinId="0"/>
    <cellStyle name="Normalny 2" xfId="1" xr:uid="{00000000-0005-0000-0000-000001000000}"/>
    <cellStyle name="Normalny 3" xfId="3" xr:uid="{C68EDFBA-2142-7644-8EF0-F6DE144C819E}"/>
    <cellStyle name="Normalny 4" xfId="5" xr:uid="{AA73B91A-2169-FA4D-8AA1-78F7A4372061}"/>
    <cellStyle name="Normalny 5" xfId="8" xr:uid="{DC00AEDF-0370-674C-8CA1-9D41838100D2}"/>
    <cellStyle name="Procentowy" xfId="2" builtinId="5"/>
    <cellStyle name="Procentowy 2" xfId="4" xr:uid="{6C72FD0E-E4DB-674F-A0C9-7DE8B2A29235}"/>
  </cellStyles>
  <dxfs count="0"/>
  <tableStyles count="0" defaultTableStyle="TableStyleMedium9"/>
  <colors>
    <mruColors>
      <color rgb="FF336699"/>
      <color rgb="FF589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WSKAŹNIK SZYBKIEJ PŁYNNOŚCI FINANSOWEJ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'Statyczna analiza płynności'!$A$6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płynności'!$B$6:$F$6</c:f>
              <c:numCache>
                <c:formatCode>0.00</c:formatCode>
                <c:ptCount val="5"/>
                <c:pt idx="0">
                  <c:v>0.77</c:v>
                </c:pt>
                <c:pt idx="1">
                  <c:v>0.64</c:v>
                </c:pt>
                <c:pt idx="2">
                  <c:v>0.7</c:v>
                </c:pt>
                <c:pt idx="3">
                  <c:v>0.84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3-4049-914A-EEED65AE0EDB}"/>
            </c:ext>
          </c:extLst>
        </c:ser>
        <c:ser>
          <c:idx val="1"/>
          <c:order val="1"/>
          <c:tx>
            <c:strRef>
              <c:f>'Statyczna analiza płynności'!$A$7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płynności'!$B$7:$F$7</c:f>
              <c:numCache>
                <c:formatCode>0.00</c:formatCode>
                <c:ptCount val="5"/>
                <c:pt idx="0">
                  <c:v>0.86</c:v>
                </c:pt>
                <c:pt idx="1">
                  <c:v>1.71</c:v>
                </c:pt>
                <c:pt idx="2">
                  <c:v>1.44</c:v>
                </c:pt>
                <c:pt idx="3">
                  <c:v>1.8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3-4049-914A-EEED65AE0EDB}"/>
            </c:ext>
          </c:extLst>
        </c:ser>
        <c:ser>
          <c:idx val="3"/>
          <c:order val="2"/>
          <c:tx>
            <c:strRef>
              <c:f>'Statyczna analiza płynności'!$A$8</c:f>
              <c:strCache>
                <c:ptCount val="1"/>
                <c:pt idx="0">
                  <c:v>Sektor wydobycia węgla kamiennego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płynności'!$B$8:$F$8</c:f>
              <c:numCache>
                <c:formatCode>0.00</c:formatCode>
                <c:ptCount val="5"/>
                <c:pt idx="0">
                  <c:v>0.73</c:v>
                </c:pt>
                <c:pt idx="1">
                  <c:v>0.49</c:v>
                </c:pt>
                <c:pt idx="2">
                  <c:v>0.41</c:v>
                </c:pt>
                <c:pt idx="3">
                  <c:v>0.57999999999999996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3-4049-914A-EEED65AE0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762991"/>
        <c:axId val="169764239"/>
      </c:barChart>
      <c:catAx>
        <c:axId val="1697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64239"/>
        <c:crosses val="autoZero"/>
        <c:auto val="1"/>
        <c:lblAlgn val="ctr"/>
        <c:lblOffset val="100"/>
        <c:noMultiLvlLbl val="0"/>
      </c:catAx>
      <c:valAx>
        <c:axId val="1697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WYDAJNOŚCI GOTÓWKOWEJ ZYSKU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7579792812008043E-2"/>
          <c:y val="0.15578992250395424"/>
          <c:w val="0.8774568512323544"/>
          <c:h val="0.66263230852444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płynności'!$H$11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-3.85704983672834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83-4E7A-B9EC-939AE333E2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płynności'!$I$10:$M$10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płynności'!$I$11:$M$11</c:f>
              <c:numCache>
                <c:formatCode>0.00</c:formatCode>
                <c:ptCount val="5"/>
                <c:pt idx="0">
                  <c:v>125.02218278615793</c:v>
                </c:pt>
                <c:pt idx="1">
                  <c:v>125.91651943462898</c:v>
                </c:pt>
                <c:pt idx="2">
                  <c:v>-19.920251600584074</c:v>
                </c:pt>
                <c:pt idx="3">
                  <c:v>131.59062103929026</c:v>
                </c:pt>
                <c:pt idx="4">
                  <c:v>114.49595133027719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9-481B-B2C3-E5CCCAEF0FCC}"/>
            </c:ext>
          </c:extLst>
        </c:ser>
        <c:ser>
          <c:idx val="1"/>
          <c:order val="1"/>
          <c:tx>
            <c:strRef>
              <c:f>'Dynamiczna analiza płynności'!$H$12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2.4994789472036309E-3"/>
                  <c:y val="-6.10298914316675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5C-4A8C-88E0-05FDB6B2B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płynności'!$I$10:$M$10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płynności'!$I$12:$M$12</c:f>
              <c:numCache>
                <c:formatCode>0.00</c:formatCode>
                <c:ptCount val="5"/>
                <c:pt idx="0">
                  <c:v>739.79718509681277</c:v>
                </c:pt>
                <c:pt idx="1">
                  <c:v>192.14678243812997</c:v>
                </c:pt>
                <c:pt idx="2">
                  <c:v>500.79272582186246</c:v>
                </c:pt>
                <c:pt idx="3">
                  <c:v>207.96514702915502</c:v>
                </c:pt>
                <c:pt idx="4">
                  <c:v>311.69035388555255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9-481B-B2C3-E5CCCAEF0FCC}"/>
            </c:ext>
          </c:extLst>
        </c:ser>
        <c:ser>
          <c:idx val="3"/>
          <c:order val="2"/>
          <c:tx>
            <c:strRef>
              <c:f>'Dynamiczna analiza płynności'!$H$13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-3.94105546430443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3-4E7A-B9EC-939AE333E242}"/>
                </c:ext>
              </c:extLst>
            </c:dLbl>
            <c:dLbl>
              <c:idx val="4"/>
              <c:layout>
                <c:manualLayout>
                  <c:x val="0"/>
                  <c:y val="-6.30568874288709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83-4E7A-B9EC-939AE333E2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płynności'!$I$10:$M$10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płynności'!$I$13:$M$13</c:f>
              <c:numCache>
                <c:formatCode>0.00</c:formatCode>
                <c:ptCount val="5"/>
                <c:pt idx="0">
                  <c:v>176.80558544231576</c:v>
                </c:pt>
                <c:pt idx="1">
                  <c:v>69.49855308072091</c:v>
                </c:pt>
                <c:pt idx="2">
                  <c:v>-50.292974516769384</c:v>
                </c:pt>
                <c:pt idx="3">
                  <c:v>170.76725560464263</c:v>
                </c:pt>
                <c:pt idx="4">
                  <c:v>12.843216430315918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3-4E7A-B9EC-939AE333E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999567"/>
        <c:axId val="299998735"/>
      </c:barChart>
      <c:catAx>
        <c:axId val="2999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98735"/>
        <c:crosses val="autoZero"/>
        <c:auto val="1"/>
        <c:lblAlgn val="ctr"/>
        <c:lblOffset val="100"/>
        <c:noMultiLvlLbl val="0"/>
      </c:catAx>
      <c:valAx>
        <c:axId val="2999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WSKAŹNIK WYDAJNOŚCI GOTÓWKOWEJ MAJĄTKU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płynności'!$H$16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płynności'!$I$15:$M$15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płynności'!$I$16:$M$16</c:f>
              <c:numCache>
                <c:formatCode>0.00</c:formatCode>
                <c:ptCount val="5"/>
                <c:pt idx="0">
                  <c:v>20.476674901903795</c:v>
                </c:pt>
                <c:pt idx="1">
                  <c:v>7.639484403473042</c:v>
                </c:pt>
                <c:pt idx="2">
                  <c:v>2.3598054674038149</c:v>
                </c:pt>
                <c:pt idx="3">
                  <c:v>10.407347542257138</c:v>
                </c:pt>
                <c:pt idx="4">
                  <c:v>39.646034766032095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3-4D87-B5F5-D3994D06AC6F}"/>
            </c:ext>
          </c:extLst>
        </c:ser>
        <c:ser>
          <c:idx val="1"/>
          <c:order val="1"/>
          <c:tx>
            <c:strRef>
              <c:f>'Dynamiczna analiza płynności'!$H$17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płynności'!$I$15:$M$15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płynności'!$I$17:$M$17</c:f>
              <c:numCache>
                <c:formatCode>0.00</c:formatCode>
                <c:ptCount val="5"/>
                <c:pt idx="0">
                  <c:v>11.666235736398811</c:v>
                </c:pt>
                <c:pt idx="1">
                  <c:v>16.954335180732865</c:v>
                </c:pt>
                <c:pt idx="2">
                  <c:v>10.901287534029382</c:v>
                </c:pt>
                <c:pt idx="3">
                  <c:v>16.222987279574586</c:v>
                </c:pt>
                <c:pt idx="4">
                  <c:v>12.957308689941643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3-4D87-B5F5-D3994D06AC6F}"/>
            </c:ext>
          </c:extLst>
        </c:ser>
        <c:ser>
          <c:idx val="3"/>
          <c:order val="2"/>
          <c:tx>
            <c:strRef>
              <c:f>'Dynamiczna analiza płynności'!$H$18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płynności'!$I$15:$M$15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płynności'!$I$18:$M$18</c:f>
              <c:numCache>
                <c:formatCode>0.00</c:formatCode>
                <c:ptCount val="5"/>
                <c:pt idx="0">
                  <c:v>7.3617061557391059</c:v>
                </c:pt>
                <c:pt idx="1">
                  <c:v>-9.6368496014492013</c:v>
                </c:pt>
                <c:pt idx="2">
                  <c:v>2.1999991064614615</c:v>
                </c:pt>
                <c:pt idx="3">
                  <c:v>9.0005589421120433</c:v>
                </c:pt>
                <c:pt idx="4">
                  <c:v>3.7306447440366908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A-45F6-B84C-EED2E5339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8062239"/>
        <c:axId val="288064735"/>
      </c:barChart>
      <c:catAx>
        <c:axId val="288062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64735"/>
        <c:crosses val="autoZero"/>
        <c:auto val="1"/>
        <c:lblAlgn val="ctr"/>
        <c:lblOffset val="100"/>
        <c:noMultiLvlLbl val="0"/>
      </c:catAx>
      <c:valAx>
        <c:axId val="2880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6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WSKAŹNIK RENTOWNOŚCI SPRZEDAŻY 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'Wskaźniki rentowności'!$A$2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rentowności'!$B$2:$F$2</c:f>
              <c:numCache>
                <c:formatCode>0.00%</c:formatCode>
                <c:ptCount val="5"/>
                <c:pt idx="0">
                  <c:v>0.17942705678458559</c:v>
                </c:pt>
                <c:pt idx="1">
                  <c:v>7.4909476694573221E-2</c:v>
                </c:pt>
                <c:pt idx="2">
                  <c:v>-0.2216551326412918</c:v>
                </c:pt>
                <c:pt idx="3">
                  <c:v>8.9621887083572452E-2</c:v>
                </c:pt>
                <c:pt idx="4">
                  <c:v>0.3759586107879298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8-404E-A2D9-0BB413D215AD}"/>
            </c:ext>
          </c:extLst>
        </c:ser>
        <c:ser>
          <c:idx val="1"/>
          <c:order val="1"/>
          <c:tx>
            <c:strRef>
              <c:f>'Wskaźniki rentowności'!$A$3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rentowności'!$B$3:$F$3</c:f>
              <c:numCache>
                <c:formatCode>0.00%</c:formatCode>
                <c:ptCount val="5"/>
                <c:pt idx="0">
                  <c:v>3.0622694858627484E-2</c:v>
                </c:pt>
                <c:pt idx="1">
                  <c:v>0.14307965156235736</c:v>
                </c:pt>
                <c:pt idx="2">
                  <c:v>4.0042544036810034E-2</c:v>
                </c:pt>
                <c:pt idx="3">
                  <c:v>0.12156556796329408</c:v>
                </c:pt>
                <c:pt idx="4">
                  <c:v>7.1638016653648565E-2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8-404E-A2D9-0BB413D215AD}"/>
            </c:ext>
          </c:extLst>
        </c:ser>
        <c:ser>
          <c:idx val="3"/>
          <c:order val="2"/>
          <c:tx>
            <c:strRef>
              <c:f>'Wskaźniki rentowności'!$A$4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rentowności'!$B$1:$F$1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rentowności'!$B$4:$F$4</c:f>
              <c:numCache>
                <c:formatCode>0.00%</c:formatCode>
                <c:ptCount val="5"/>
                <c:pt idx="0">
                  <c:v>6.3799999999999996E-2</c:v>
                </c:pt>
                <c:pt idx="1">
                  <c:v>-0.2389</c:v>
                </c:pt>
                <c:pt idx="2">
                  <c:v>-0.11749999999999999</c:v>
                </c:pt>
                <c:pt idx="3">
                  <c:v>6.3700000000000007E-2</c:v>
                </c:pt>
                <c:pt idx="4">
                  <c:v>0.32250000000000001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8-404E-A2D9-0BB413D2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118400"/>
        <c:axId val="1532135040"/>
      </c:lineChart>
      <c:catAx>
        <c:axId val="15321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135040"/>
        <c:crosses val="autoZero"/>
        <c:auto val="1"/>
        <c:lblAlgn val="ctr"/>
        <c:lblOffset val="100"/>
        <c:noMultiLvlLbl val="0"/>
      </c:catAx>
      <c:valAx>
        <c:axId val="1532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1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RENTOWNOŚCI AKTYWÓW 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'Wskaźniki rentowności'!$A$31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rentowności'!$B$30:$F$30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rentowności'!$B$31:$F$31</c:f>
              <c:numCache>
                <c:formatCode>0.00%</c:formatCode>
                <c:ptCount val="5"/>
                <c:pt idx="0">
                  <c:v>0.1278883883156518</c:v>
                </c:pt>
                <c:pt idx="1">
                  <c:v>4.3520205809840284E-2</c:v>
                </c:pt>
                <c:pt idx="2">
                  <c:v>-0.10228263111324006</c:v>
                </c:pt>
                <c:pt idx="3">
                  <c:v>5.9679985966495007E-2</c:v>
                </c:pt>
                <c:pt idx="4">
                  <c:v>0.2816367554175892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C-4981-B84A-7AF59AE1FF5A}"/>
            </c:ext>
          </c:extLst>
        </c:ser>
        <c:ser>
          <c:idx val="1"/>
          <c:order val="1"/>
          <c:tx>
            <c:strRef>
              <c:f>'Wskaźniki rentowności'!$A$32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rentowności'!$B$30:$F$30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rentowności'!$B$32:$F$32</c:f>
              <c:numCache>
                <c:formatCode>0.00%</c:formatCode>
                <c:ptCount val="5"/>
                <c:pt idx="0">
                  <c:v>1.3676379250160995E-2</c:v>
                </c:pt>
                <c:pt idx="1">
                  <c:v>7.2604024396208874E-2</c:v>
                </c:pt>
                <c:pt idx="2">
                  <c:v>1.6676026104030774E-2</c:v>
                </c:pt>
                <c:pt idx="3">
                  <c:v>6.1306529670926091E-2</c:v>
                </c:pt>
                <c:pt idx="4">
                  <c:v>3.644876667173718E-2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C-4981-B84A-7AF59AE1FF5A}"/>
            </c:ext>
          </c:extLst>
        </c:ser>
        <c:ser>
          <c:idx val="3"/>
          <c:order val="2"/>
          <c:tx>
            <c:strRef>
              <c:f>'Wskaźniki rentowności'!$A$33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rentowności'!$B$30:$F$30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rentowności'!$B$33:$F$33</c:f>
              <c:numCache>
                <c:formatCode>0.00%</c:formatCode>
                <c:ptCount val="5"/>
                <c:pt idx="0">
                  <c:v>5.3999999999999999E-2</c:v>
                </c:pt>
                <c:pt idx="1">
                  <c:v>-0.34839999999999999</c:v>
                </c:pt>
                <c:pt idx="2">
                  <c:v>-0.23799999999999999</c:v>
                </c:pt>
                <c:pt idx="3">
                  <c:v>0.12720000000000001</c:v>
                </c:pt>
                <c:pt idx="4">
                  <c:v>0.39610000000000001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C-4981-B84A-7AF59AE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786800"/>
        <c:axId val="1687774320"/>
      </c:lineChart>
      <c:catAx>
        <c:axId val="168778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774320"/>
        <c:crosses val="autoZero"/>
        <c:auto val="1"/>
        <c:lblAlgn val="ctr"/>
        <c:lblOffset val="100"/>
        <c:noMultiLvlLbl val="0"/>
      </c:catAx>
      <c:valAx>
        <c:axId val="1687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7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RENTOWNOŚCI K. WŁASNYCH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24781277340333"/>
          <c:y val="0.17171296296296298"/>
          <c:w val="0.8534188538932633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'Wskaźniki rentowności'!$A$60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rentowności'!$B$59:$F$59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rentowności'!$B$60:$F$60</c:f>
              <c:numCache>
                <c:formatCode>0.00%</c:formatCode>
                <c:ptCount val="5"/>
                <c:pt idx="0">
                  <c:v>0.20840734162226168</c:v>
                </c:pt>
                <c:pt idx="1">
                  <c:v>7.3388691182285484E-2</c:v>
                </c:pt>
                <c:pt idx="2">
                  <c:v>-0.21011056292793592</c:v>
                </c:pt>
                <c:pt idx="3">
                  <c:v>0.1148015136542216</c:v>
                </c:pt>
                <c:pt idx="4">
                  <c:v>0.47647372549019607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7-4A8B-A3B6-85CB9EF938D2}"/>
            </c:ext>
          </c:extLst>
        </c:ser>
        <c:ser>
          <c:idx val="1"/>
          <c:order val="1"/>
          <c:tx>
            <c:strRef>
              <c:f>'Wskaźniki rentowności'!$A$61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rentowności'!$B$59:$F$59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rentowności'!$B$61:$F$61</c:f>
              <c:numCache>
                <c:formatCode>0.00%</c:formatCode>
                <c:ptCount val="5"/>
                <c:pt idx="0">
                  <c:v>1.8234537218197521E-2</c:v>
                </c:pt>
                <c:pt idx="1">
                  <c:v>9.563134853253924E-2</c:v>
                </c:pt>
                <c:pt idx="2">
                  <c:v>2.2110856114578126E-2</c:v>
                </c:pt>
                <c:pt idx="3">
                  <c:v>8.0214062963918337E-2</c:v>
                </c:pt>
                <c:pt idx="4">
                  <c:v>4.73710670654083E-2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7-4A8B-A3B6-85CB9EF938D2}"/>
            </c:ext>
          </c:extLst>
        </c:ser>
        <c:ser>
          <c:idx val="3"/>
          <c:order val="2"/>
          <c:tx>
            <c:strRef>
              <c:f>'Wskaźniki rentowności'!$A$62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rentowności'!$B$59:$F$59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rentowności'!$B$62:$F$62</c:f>
              <c:numCache>
                <c:formatCode>0.00%</c:formatCode>
                <c:ptCount val="5"/>
                <c:pt idx="0">
                  <c:v>5.4048266387919326E-2</c:v>
                </c:pt>
                <c:pt idx="1">
                  <c:v>-0.34841463641921266</c:v>
                </c:pt>
                <c:pt idx="2">
                  <c:v>-0.23800442725289644</c:v>
                </c:pt>
                <c:pt idx="3">
                  <c:v>0.12722877561107929</c:v>
                </c:pt>
                <c:pt idx="4">
                  <c:v>0.3960911674418558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7-4A8B-A3B6-85CB9EF9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18000"/>
        <c:axId val="1687806768"/>
      </c:lineChart>
      <c:catAx>
        <c:axId val="168781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806768"/>
        <c:crosses val="autoZero"/>
        <c:auto val="1"/>
        <c:lblAlgn val="ctr"/>
        <c:lblOffset val="100"/>
        <c:noMultiLvlLbl val="0"/>
      </c:catAx>
      <c:valAx>
        <c:axId val="1687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8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RENTOWNOŚCI OPERACYJNEJ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'Wskaźniki rentowności'!$L$2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rentowności'!$M$1:$Q$1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rentowności'!$M$2:$Q$2</c:f>
              <c:numCache>
                <c:formatCode>0.00%</c:formatCode>
                <c:ptCount val="5"/>
                <c:pt idx="0">
                  <c:v>0.22978896931389539</c:v>
                </c:pt>
                <c:pt idx="1">
                  <c:v>0.10443045273184344</c:v>
                </c:pt>
                <c:pt idx="2">
                  <c:v>-0.2567185697808535</c:v>
                </c:pt>
                <c:pt idx="3">
                  <c:v>0.11876828706099293</c:v>
                </c:pt>
                <c:pt idx="4">
                  <c:v>0.46223234398593954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5-4435-94D9-A12583D939E5}"/>
            </c:ext>
          </c:extLst>
        </c:ser>
        <c:ser>
          <c:idx val="1"/>
          <c:order val="1"/>
          <c:tx>
            <c:strRef>
              <c:f>'Wskaźniki rentowności'!$L$3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rentowności'!$M$1:$Q$1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rentowności'!$M$3:$Q$3</c:f>
              <c:numCache>
                <c:formatCode>0.00%</c:formatCode>
                <c:ptCount val="5"/>
                <c:pt idx="0">
                  <c:v>3.5309400565046042E-2</c:v>
                </c:pt>
                <c:pt idx="1">
                  <c:v>0.17388608441414902</c:v>
                </c:pt>
                <c:pt idx="2">
                  <c:v>5.2269564110219352E-2</c:v>
                </c:pt>
                <c:pt idx="3">
                  <c:v>0.15468354643905402</c:v>
                </c:pt>
                <c:pt idx="4">
                  <c:v>8.1705663178632107E-2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435-94D9-A12583D939E5}"/>
            </c:ext>
          </c:extLst>
        </c:ser>
        <c:ser>
          <c:idx val="3"/>
          <c:order val="2"/>
          <c:tx>
            <c:strRef>
              <c:f>'Wskaźniki rentowności'!$L$4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rentowności'!$M$1:$Q$1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rentowności'!$M$4:$Q$4</c:f>
              <c:numCache>
                <c:formatCode>0.00%</c:formatCode>
                <c:ptCount val="5"/>
                <c:pt idx="0">
                  <c:v>0.10030573078923313</c:v>
                </c:pt>
                <c:pt idx="1">
                  <c:v>-0.26117804116429488</c:v>
                </c:pt>
                <c:pt idx="2">
                  <c:v>-7.8762007633425668E-2</c:v>
                </c:pt>
                <c:pt idx="3">
                  <c:v>0.10010045125721437</c:v>
                </c:pt>
                <c:pt idx="4">
                  <c:v>0.39609266034333995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5-4435-94D9-A12583D9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21887"/>
        <c:axId val="288022303"/>
      </c:lineChart>
      <c:catAx>
        <c:axId val="28802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22303"/>
        <c:crosses val="autoZero"/>
        <c:auto val="1"/>
        <c:lblAlgn val="ctr"/>
        <c:lblOffset val="100"/>
        <c:noMultiLvlLbl val="0"/>
      </c:catAx>
      <c:valAx>
        <c:axId val="288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PRZYCHODY</a:t>
            </a:r>
            <a:r>
              <a:rPr lang="pl-PL" baseline="0"/>
              <a:t> OPERACYJNE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'Wskaźniki rentowności'!$W$2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rentowności'!$X$1:$AB$1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rentowności'!$X$2:$AB$2</c:f>
              <c:numCache>
                <c:formatCode>0</c:formatCode>
                <c:ptCount val="5"/>
                <c:pt idx="0">
                  <c:v>11425000</c:v>
                </c:pt>
                <c:pt idx="1">
                  <c:v>8961300</c:v>
                </c:pt>
                <c:pt idx="2">
                  <c:v>7250600</c:v>
                </c:pt>
                <c:pt idx="3">
                  <c:v>11219400</c:v>
                </c:pt>
                <c:pt idx="4">
                  <c:v>20558200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6-4B12-8852-24F3F67926FE}"/>
            </c:ext>
          </c:extLst>
        </c:ser>
        <c:ser>
          <c:idx val="1"/>
          <c:order val="1"/>
          <c:tx>
            <c:strRef>
              <c:f>'Wskaźniki rentowności'!$W$3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rentowności'!$X$1:$AB$1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rentowności'!$X$3:$AB$3</c:f>
              <c:numCache>
                <c:formatCode>0</c:formatCode>
                <c:ptCount val="5"/>
                <c:pt idx="0">
                  <c:v>1791604</c:v>
                </c:pt>
                <c:pt idx="1">
                  <c:v>2163128</c:v>
                </c:pt>
                <c:pt idx="2">
                  <c:v>1829849</c:v>
                </c:pt>
                <c:pt idx="3">
                  <c:v>2376503</c:v>
                </c:pt>
                <c:pt idx="4">
                  <c:v>2455055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6-4B12-8852-24F3F67926FE}"/>
            </c:ext>
          </c:extLst>
        </c:ser>
        <c:ser>
          <c:idx val="3"/>
          <c:order val="2"/>
          <c:tx>
            <c:strRef>
              <c:f>'Wskaźniki rentowności'!$W$4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rentowności'!$X$1:$AB$1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rentowności'!$X$4:$AB$4</c:f>
              <c:numCache>
                <c:formatCode>0</c:formatCode>
                <c:ptCount val="5"/>
                <c:pt idx="0">
                  <c:v>25991167</c:v>
                </c:pt>
                <c:pt idx="1">
                  <c:v>31535825</c:v>
                </c:pt>
                <c:pt idx="2">
                  <c:v>34185962</c:v>
                </c:pt>
                <c:pt idx="3">
                  <c:v>37365386</c:v>
                </c:pt>
                <c:pt idx="4">
                  <c:v>24574828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6-4B12-8852-24F3F679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46895"/>
        <c:axId val="487240239"/>
      </c:lineChart>
      <c:catAx>
        <c:axId val="48724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240239"/>
        <c:crosses val="autoZero"/>
        <c:auto val="1"/>
        <c:lblAlgn val="ctr"/>
        <c:lblOffset val="100"/>
        <c:noMultiLvlLbl val="0"/>
      </c:catAx>
      <c:valAx>
        <c:axId val="4872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2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OPERACYJNE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'Wskaźniki rentowności'!$W$31</c:f>
              <c:strCache>
                <c:ptCount val="1"/>
                <c:pt idx="0">
                  <c:v>Spółka JSW S.A.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rentowności'!$X$30:$AB$30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rentowności'!$X$31:$AB$31</c:f>
              <c:numCache>
                <c:formatCode>0</c:formatCode>
                <c:ptCount val="5"/>
                <c:pt idx="0">
                  <c:v>-9169000</c:v>
                </c:pt>
                <c:pt idx="1">
                  <c:v>-8134100</c:v>
                </c:pt>
                <c:pt idx="2">
                  <c:v>-9031200</c:v>
                </c:pt>
                <c:pt idx="3">
                  <c:v>-9957000</c:v>
                </c:pt>
                <c:pt idx="4">
                  <c:v>-11221800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D-428F-B1A3-035D33E8117D}"/>
            </c:ext>
          </c:extLst>
        </c:ser>
        <c:ser>
          <c:idx val="1"/>
          <c:order val="1"/>
          <c:tx>
            <c:strRef>
              <c:f>'Wskaźniki rentowności'!$W$32</c:f>
              <c:strCache>
                <c:ptCount val="1"/>
                <c:pt idx="0">
                  <c:v>Bogdanka S.A.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rentowności'!$X$30:$AB$30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rentowności'!$X$32:$AB$32</c:f>
              <c:numCache>
                <c:formatCode>0</c:formatCode>
                <c:ptCount val="5"/>
                <c:pt idx="0">
                  <c:v>-1729577</c:v>
                </c:pt>
                <c:pt idx="1">
                  <c:v>-1800658</c:v>
                </c:pt>
                <c:pt idx="2">
                  <c:v>-2099294</c:v>
                </c:pt>
                <c:pt idx="3">
                  <c:v>-2439856</c:v>
                </c:pt>
                <c:pt idx="4">
                  <c:v>-2653207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D-428F-B1A3-035D33E8117D}"/>
            </c:ext>
          </c:extLst>
        </c:ser>
        <c:ser>
          <c:idx val="3"/>
          <c:order val="2"/>
          <c:tx>
            <c:strRef>
              <c:f>'Wskaźniki rentowności'!$W$33</c:f>
              <c:strCache>
                <c:ptCount val="1"/>
                <c:pt idx="0">
                  <c:v>Sektor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'Wskaźniki rentowności'!$X$30:$AB$30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rentowności'!$X$33:$AB$33</c:f>
              <c:numCache>
                <c:formatCode>0</c:formatCode>
                <c:ptCount val="5"/>
                <c:pt idx="0">
                  <c:v>25215658</c:v>
                </c:pt>
                <c:pt idx="1">
                  <c:v>49251705</c:v>
                </c:pt>
                <c:pt idx="2">
                  <c:v>39276688</c:v>
                </c:pt>
                <c:pt idx="3">
                  <c:v>40334711</c:v>
                </c:pt>
                <c:pt idx="4">
                  <c:v>15137312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D-428F-B1A3-035D33E8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63071"/>
        <c:axId val="288063487"/>
      </c:lineChart>
      <c:catAx>
        <c:axId val="28806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63487"/>
        <c:crosses val="autoZero"/>
        <c:auto val="1"/>
        <c:lblAlgn val="ctr"/>
        <c:lblOffset val="100"/>
        <c:noMultiLvlLbl val="0"/>
      </c:catAx>
      <c:valAx>
        <c:axId val="2880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6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1">
                <a:effectLst/>
              </a:rPr>
              <a:t>WSKAŹNIK MARŻY BRUTTO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rentowności'!$L$31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rentowności'!$M$30:$Q$30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rentowności'!$M$31:$Q$31</c:f>
              <c:numCache>
                <c:formatCode>0.00</c:formatCode>
                <c:ptCount val="5"/>
                <c:pt idx="0">
                  <c:v>0.29269038637985523</c:v>
                </c:pt>
                <c:pt idx="1">
                  <c:v>0.18492123895846307</c:v>
                </c:pt>
                <c:pt idx="2">
                  <c:v>-5.7857554786620531E-2</c:v>
                </c:pt>
                <c:pt idx="3">
                  <c:v>0.24415990065010207</c:v>
                </c:pt>
                <c:pt idx="4">
                  <c:v>0.52706884174567414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6-4396-8F59-08549A637942}"/>
            </c:ext>
          </c:extLst>
        </c:ser>
        <c:ser>
          <c:idx val="1"/>
          <c:order val="1"/>
          <c:tx>
            <c:strRef>
              <c:f>'Wskaźniki rentowności'!$L$32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rentowności'!$M$30:$Q$30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rentowności'!$M$32:$Q$32</c:f>
              <c:numCache>
                <c:formatCode>0.00</c:formatCode>
                <c:ptCount val="5"/>
                <c:pt idx="0">
                  <c:v>9.8310952933133189E-2</c:v>
                </c:pt>
                <c:pt idx="1">
                  <c:v>0.23712231696110175</c:v>
                </c:pt>
                <c:pt idx="2">
                  <c:v>0.13648721922691909</c:v>
                </c:pt>
                <c:pt idx="3">
                  <c:v>0.22903790357950138</c:v>
                </c:pt>
                <c:pt idx="4">
                  <c:v>0.16657931284835309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6-4396-8F59-08549A637942}"/>
            </c:ext>
          </c:extLst>
        </c:ser>
        <c:ser>
          <c:idx val="3"/>
          <c:order val="2"/>
          <c:tx>
            <c:strRef>
              <c:f>'Wskaźniki rentowności'!$L$33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rentowności'!$M$30:$Q$30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rentowności'!$M$33:$Q$33</c:f>
              <c:numCache>
                <c:formatCode>0.00</c:formatCode>
                <c:ptCount val="5"/>
                <c:pt idx="0">
                  <c:v>0.1857</c:v>
                </c:pt>
                <c:pt idx="1">
                  <c:v>-0.1547</c:v>
                </c:pt>
                <c:pt idx="2">
                  <c:v>0.01</c:v>
                </c:pt>
                <c:pt idx="3">
                  <c:v>6.2199999999999998E-2</c:v>
                </c:pt>
                <c:pt idx="4">
                  <c:v>0.4733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6-4396-8F59-08549A6379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937119"/>
        <c:axId val="80936703"/>
      </c:barChart>
      <c:catAx>
        <c:axId val="809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36703"/>
        <c:crosses val="autoZero"/>
        <c:auto val="1"/>
        <c:lblAlgn val="ctr"/>
        <c:lblOffset val="100"/>
        <c:noMultiLvlLbl val="0"/>
      </c:catAx>
      <c:valAx>
        <c:axId val="80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 (STRATA)Z DZIAŁALNOŚCI OPERACYJNEJ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rentowności'!$W$60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rentowności'!$X$60:$AB$60</c:f>
              <c:numCache>
                <c:formatCode>0</c:formatCode>
                <c:ptCount val="5"/>
                <c:pt idx="0">
                  <c:v>2254000</c:v>
                </c:pt>
                <c:pt idx="1">
                  <c:v>905600</c:v>
                </c:pt>
                <c:pt idx="2">
                  <c:v>-1780600</c:v>
                </c:pt>
                <c:pt idx="3">
                  <c:v>1262400</c:v>
                </c:pt>
                <c:pt idx="4">
                  <c:v>9336400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C-493B-BCBB-79A46A4A1191}"/>
            </c:ext>
          </c:extLst>
        </c:ser>
        <c:ser>
          <c:idx val="1"/>
          <c:order val="1"/>
          <c:tx>
            <c:strRef>
              <c:f>'Wskaźniki rentowności'!$W$61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3132617053661201E-4"/>
                  <c:y val="1.14249744139451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7C-4EBA-BBD3-CFEE8977E980}"/>
                </c:ext>
              </c:extLst>
            </c:dLbl>
            <c:dLbl>
              <c:idx val="1"/>
              <c:layout>
                <c:manualLayout>
                  <c:x val="-4.3132617053666172E-4"/>
                  <c:y val="1.0501971554887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7C-4EBA-BBD3-CFEE8977E980}"/>
                </c:ext>
              </c:extLst>
            </c:dLbl>
            <c:dLbl>
              <c:idx val="2"/>
              <c:layout>
                <c:manualLayout>
                  <c:x val="3.6931169266336566E-5"/>
                  <c:y val="5.37458677006145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7C-4EBA-BBD3-CFEE8977E980}"/>
                </c:ext>
              </c:extLst>
            </c:dLbl>
            <c:dLbl>
              <c:idx val="3"/>
              <c:layout>
                <c:manualLayout>
                  <c:x val="-1.630735271828349E-3"/>
                  <c:y val="6.76428619669139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7C-4EBA-BBD3-CFEE8977E980}"/>
                </c:ext>
              </c:extLst>
            </c:dLbl>
            <c:dLbl>
              <c:idx val="4"/>
              <c:layout>
                <c:manualLayout>
                  <c:x val="-1.7868922100849843E-3"/>
                  <c:y val="7.13508917454451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7C-4EBA-BBD3-CFEE8977E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rentowności'!$X$61:$AB$61</c:f>
              <c:numCache>
                <c:formatCode>0</c:formatCode>
                <c:ptCount val="5"/>
                <c:pt idx="0">
                  <c:v>62027</c:v>
                </c:pt>
                <c:pt idx="1">
                  <c:v>375222</c:v>
                </c:pt>
                <c:pt idx="2">
                  <c:v>95241</c:v>
                </c:pt>
                <c:pt idx="3">
                  <c:v>366798</c:v>
                </c:pt>
                <c:pt idx="4">
                  <c:v>200319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C-493B-BCBB-79A46A4A1191}"/>
            </c:ext>
          </c:extLst>
        </c:ser>
        <c:ser>
          <c:idx val="3"/>
          <c:order val="2"/>
          <c:tx>
            <c:strRef>
              <c:f>'Wskaźniki rentowności'!$W$62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rentowności'!$X$62:$AB$62</c:f>
              <c:numCache>
                <c:formatCode>0</c:formatCode>
                <c:ptCount val="5"/>
                <c:pt idx="0">
                  <c:v>2607063</c:v>
                </c:pt>
                <c:pt idx="1">
                  <c:v>-8236465</c:v>
                </c:pt>
                <c:pt idx="2">
                  <c:v>-2692555</c:v>
                </c:pt>
                <c:pt idx="3">
                  <c:v>3740292</c:v>
                </c:pt>
                <c:pt idx="4">
                  <c:v>9733909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C-493B-BCBB-79A46A4A1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9828159"/>
        <c:axId val="489833983"/>
      </c:barChart>
      <c:catAx>
        <c:axId val="489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33983"/>
        <c:crosses val="autoZero"/>
        <c:auto val="1"/>
        <c:lblAlgn val="ctr"/>
        <c:lblOffset val="100"/>
        <c:noMultiLvlLbl val="0"/>
      </c:catAx>
      <c:valAx>
        <c:axId val="489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UDZIAŁU KAPITAŁU PRACUJĄCEGO W AKTYWACH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'Statyczna analiza płynności'!$H$6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płynności'!$I$6:$M$6</c:f>
              <c:numCache>
                <c:formatCode>0.00</c:formatCode>
                <c:ptCount val="5"/>
                <c:pt idx="0">
                  <c:v>-1.1916872547594826</c:v>
                </c:pt>
                <c:pt idx="1">
                  <c:v>-0.88969878872333585</c:v>
                </c:pt>
                <c:pt idx="2">
                  <c:v>-1.2500914782215302</c:v>
                </c:pt>
                <c:pt idx="3">
                  <c:v>0.26563420165645479</c:v>
                </c:pt>
                <c:pt idx="4">
                  <c:v>0.43986040180839742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4-4ADD-B388-DDC1F5BD039E}"/>
            </c:ext>
          </c:extLst>
        </c:ser>
        <c:ser>
          <c:idx val="1"/>
          <c:order val="1"/>
          <c:tx>
            <c:strRef>
              <c:f>'Statyczna analiza płynności'!$H$7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-4.18648884894082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D7-4949-8143-3788126CB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płynności'!$I$7:$M$7</c:f>
              <c:numCache>
                <c:formatCode>0.00</c:formatCode>
                <c:ptCount val="5"/>
                <c:pt idx="0">
                  <c:v>0.57777706591656841</c:v>
                </c:pt>
                <c:pt idx="1">
                  <c:v>8.666081594106382</c:v>
                </c:pt>
                <c:pt idx="2">
                  <c:v>5.7352438013440565</c:v>
                </c:pt>
                <c:pt idx="3">
                  <c:v>10.84830341868345</c:v>
                </c:pt>
                <c:pt idx="4">
                  <c:v>10.148444323988022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4-4ADD-B388-DDC1F5BD039E}"/>
            </c:ext>
          </c:extLst>
        </c:ser>
        <c:ser>
          <c:idx val="3"/>
          <c:order val="2"/>
          <c:tx>
            <c:strRef>
              <c:f>'Statyczna analiza płynności'!$H$8</c:f>
              <c:strCache>
                <c:ptCount val="1"/>
                <c:pt idx="0">
                  <c:v>Sektor wydobycia węgla kamiennego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płynności'!$I$8:$M$8</c:f>
              <c:numCache>
                <c:formatCode>0.00</c:formatCode>
                <c:ptCount val="5"/>
                <c:pt idx="0">
                  <c:v>-1.636170361635676</c:v>
                </c:pt>
                <c:pt idx="1">
                  <c:v>-5.6675539213582695</c:v>
                </c:pt>
                <c:pt idx="2">
                  <c:v>-13.314271719383411</c:v>
                </c:pt>
                <c:pt idx="3">
                  <c:v>-15.912580974563095</c:v>
                </c:pt>
                <c:pt idx="4">
                  <c:v>2.0851076058513862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4-4ADD-B388-DDC1F5BD0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9939503"/>
        <c:axId val="509939919"/>
      </c:barChart>
      <c:catAx>
        <c:axId val="5099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939919"/>
        <c:crosses val="autoZero"/>
        <c:auto val="1"/>
        <c:lblAlgn val="ctr"/>
        <c:lblOffset val="100"/>
        <c:noMultiLvlLbl val="0"/>
      </c:catAx>
      <c:valAx>
        <c:axId val="509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9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 (STRATA) NETTO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rentowności'!$W$92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rentowności'!$X$92:$AB$92</c:f>
              <c:numCache>
                <c:formatCode>0</c:formatCode>
                <c:ptCount val="5"/>
                <c:pt idx="0">
                  <c:v>1760000</c:v>
                </c:pt>
                <c:pt idx="1">
                  <c:v>649600</c:v>
                </c:pt>
                <c:pt idx="2">
                  <c:v>-1537400</c:v>
                </c:pt>
                <c:pt idx="3">
                  <c:v>952600</c:v>
                </c:pt>
                <c:pt idx="4">
                  <c:v>7593800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4-46ED-A0FE-47D183174E7E}"/>
            </c:ext>
          </c:extLst>
        </c:ser>
        <c:ser>
          <c:idx val="1"/>
          <c:order val="1"/>
          <c:tx>
            <c:strRef>
              <c:f>'Wskaźniki rentowności'!$W$93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461089197723365E-3"/>
                  <c:y val="6.68561799062661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34-46ED-A0FE-47D183174E7E}"/>
                </c:ext>
              </c:extLst>
            </c:dLbl>
            <c:dLbl>
              <c:idx val="1"/>
              <c:layout>
                <c:manualLayout>
                  <c:x val="-1.7461089197723365E-3"/>
                  <c:y val="5.02082240425258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34-46ED-A0FE-47D183174E7E}"/>
                </c:ext>
              </c:extLst>
            </c:dLbl>
            <c:dLbl>
              <c:idx val="2"/>
              <c:layout>
                <c:manualLayout>
                  <c:x val="-1.24184378409283E-3"/>
                  <c:y val="2.6312134329480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34-46ED-A0FE-47D183174E7E}"/>
                </c:ext>
              </c:extLst>
            </c:dLbl>
            <c:dLbl>
              <c:idx val="3"/>
              <c:layout>
                <c:manualLayout>
                  <c:x val="-2.2005463300008992E-4"/>
                  <c:y val="1.23103432061800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34-46ED-A0FE-47D183174E7E}"/>
                </c:ext>
              </c:extLst>
            </c:dLbl>
            <c:dLbl>
              <c:idx val="4"/>
              <c:layout>
                <c:manualLayout>
                  <c:x val="-3.104074827984847E-3"/>
                  <c:y val="9.92073423487540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34-46ED-A0FE-47D183174E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rentowności'!$X$93:$AB$93</c:f>
              <c:numCache>
                <c:formatCode>0</c:formatCode>
                <c:ptCount val="5"/>
                <c:pt idx="0">
                  <c:v>53794</c:v>
                </c:pt>
                <c:pt idx="1">
                  <c:v>308746</c:v>
                </c:pt>
                <c:pt idx="2">
                  <c:v>72962</c:v>
                </c:pt>
                <c:pt idx="3">
                  <c:v>288266</c:v>
                </c:pt>
                <c:pt idx="4">
                  <c:v>175636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4-46ED-A0FE-47D183174E7E}"/>
            </c:ext>
          </c:extLst>
        </c:ser>
        <c:ser>
          <c:idx val="3"/>
          <c:order val="2"/>
          <c:tx>
            <c:strRef>
              <c:f>'Wskaźniki rentowności'!$W$94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0">
              <a:solidFill>
                <a:schemeClr val="accent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rentowności'!$X$59:$AB$59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rentowności'!$X$94:$AB$94</c:f>
              <c:numCache>
                <c:formatCode>0</c:formatCode>
                <c:ptCount val="5"/>
                <c:pt idx="0">
                  <c:v>1658724</c:v>
                </c:pt>
                <c:pt idx="1">
                  <c:v>-7533777</c:v>
                </c:pt>
                <c:pt idx="2">
                  <c:v>-4016438</c:v>
                </c:pt>
                <c:pt idx="3">
                  <c:v>2379900</c:v>
                </c:pt>
                <c:pt idx="4">
                  <c:v>7925000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4-46ED-A0FE-47D183174E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9828159"/>
        <c:axId val="489833983"/>
      </c:barChart>
      <c:catAx>
        <c:axId val="489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33983"/>
        <c:crosses val="autoZero"/>
        <c:auto val="1"/>
        <c:lblAlgn val="ctr"/>
        <c:lblOffset val="100"/>
        <c:noMultiLvlLbl val="0"/>
      </c:catAx>
      <c:valAx>
        <c:axId val="489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8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STRUKTURY AKTYWÓW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majątkowo-kap'!$A$5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majątkowo-kap'!$B$5:$F$5</c:f>
              <c:numCache>
                <c:formatCode>0.00</c:formatCode>
                <c:ptCount val="5"/>
                <c:pt idx="0">
                  <c:v>2.9760184917653856</c:v>
                </c:pt>
                <c:pt idx="1">
                  <c:v>3.4406628387826137</c:v>
                </c:pt>
                <c:pt idx="2">
                  <c:v>3.4307569862044569</c:v>
                </c:pt>
                <c:pt idx="3">
                  <c:v>3.1016034535923529</c:v>
                </c:pt>
                <c:pt idx="4">
                  <c:v>2.4337837321549101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D-4C77-9768-E2964E8CB56D}"/>
            </c:ext>
          </c:extLst>
        </c:ser>
        <c:ser>
          <c:idx val="1"/>
          <c:order val="1"/>
          <c:tx>
            <c:strRef>
              <c:f>'Wskaźniki analizy majątkowo-kap'!$A$6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majątkowo-kap'!$B$6:$F$6</c:f>
              <c:numCache>
                <c:formatCode>0.00</c:formatCode>
                <c:ptCount val="5"/>
                <c:pt idx="0">
                  <c:v>7.3772269657465248</c:v>
                </c:pt>
                <c:pt idx="1">
                  <c:v>4.7258053223174326</c:v>
                </c:pt>
                <c:pt idx="2">
                  <c:v>6.1570982696403505</c:v>
                </c:pt>
                <c:pt idx="3">
                  <c:v>2.6095809737757603</c:v>
                </c:pt>
                <c:pt idx="4">
                  <c:v>4.1362253125995947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D-4C77-9768-E2964E8CB56D}"/>
            </c:ext>
          </c:extLst>
        </c:ser>
        <c:ser>
          <c:idx val="3"/>
          <c:order val="2"/>
          <c:tx>
            <c:strRef>
              <c:f>'Wskaźniki analizy majątkowo-kap'!$A$7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majątkowo-kap'!$B$7:$F$7</c:f>
              <c:numCache>
                <c:formatCode>0.00</c:formatCode>
                <c:ptCount val="5"/>
                <c:pt idx="0">
                  <c:v>5.3646347458640236</c:v>
                </c:pt>
                <c:pt idx="1">
                  <c:v>6.113275427675771</c:v>
                </c:pt>
                <c:pt idx="2">
                  <c:v>5.0920957401993547</c:v>
                </c:pt>
                <c:pt idx="3">
                  <c:v>2.5161485232712191</c:v>
                </c:pt>
                <c:pt idx="4">
                  <c:v>2.4913001483716628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D-4C77-9768-E2964E8CB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005343"/>
        <c:axId val="314994943"/>
      </c:barChart>
      <c:catAx>
        <c:axId val="3150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994943"/>
        <c:crosses val="autoZero"/>
        <c:auto val="1"/>
        <c:lblAlgn val="ctr"/>
        <c:lblOffset val="100"/>
        <c:noMultiLvlLbl val="0"/>
      </c:catAx>
      <c:valAx>
        <c:axId val="314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0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WSKAŹNIK WYKORZYSTANIA AKTYWÓW 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majątkowo-kap'!$A$28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majątkowo-kap'!$B$28:$F$28</c:f>
              <c:numCache>
                <c:formatCode>0.00</c:formatCode>
                <c:ptCount val="5"/>
                <c:pt idx="0">
                  <c:v>0.75885224468323775</c:v>
                </c:pt>
                <c:pt idx="1">
                  <c:v>0.60455096833563393</c:v>
                </c:pt>
                <c:pt idx="2">
                  <c:v>0.46305908743444835</c:v>
                </c:pt>
                <c:pt idx="3">
                  <c:v>0.68590990781700212</c:v>
                </c:pt>
                <c:pt idx="4">
                  <c:v>0.9411087736954542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5-44B0-A643-9A24AB0361BF}"/>
            </c:ext>
          </c:extLst>
        </c:ser>
        <c:ser>
          <c:idx val="1"/>
          <c:order val="1"/>
          <c:tx>
            <c:strRef>
              <c:f>'Wskaźniki analizy majątkowo-kap'!$A$29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0"/>
                  <c:y val="-1.88572996124230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AB-4AA0-B2D9-DED75C9F2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majątkowo-kap'!$B$29:$F$29</c:f>
              <c:numCache>
                <c:formatCode>0.00</c:formatCode>
                <c:ptCount val="5"/>
                <c:pt idx="0">
                  <c:v>0.43416277579102802</c:v>
                </c:pt>
                <c:pt idx="1">
                  <c:v>0.52721958656529622</c:v>
                </c:pt>
                <c:pt idx="2">
                  <c:v>0.422385177463311</c:v>
                </c:pt>
                <c:pt idx="3">
                  <c:v>0.52246332530121542</c:v>
                </c:pt>
                <c:pt idx="4">
                  <c:v>0.51502543968948677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5-44B0-A643-9A24AB0361BF}"/>
            </c:ext>
          </c:extLst>
        </c:ser>
        <c:ser>
          <c:idx val="3"/>
          <c:order val="2"/>
          <c:tx>
            <c:strRef>
              <c:f>'Wskaźniki analizy majątkowo-kap'!$A$30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majątkowo-kap'!$B$30:$F$30</c:f>
              <c:numCache>
                <c:formatCode>0.00</c:formatCode>
                <c:ptCount val="5"/>
                <c:pt idx="0">
                  <c:v>0.41510384053471022</c:v>
                </c:pt>
                <c:pt idx="1">
                  <c:v>0.51692574019583815</c:v>
                </c:pt>
                <c:pt idx="2">
                  <c:v>0.5652798125781</c:v>
                </c:pt>
                <c:pt idx="3">
                  <c:v>0.56393160024823907</c:v>
                </c:pt>
                <c:pt idx="4">
                  <c:v>0.47044585791681404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5-44B0-A643-9A24AB036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042783"/>
        <c:axId val="315052351"/>
      </c:barChart>
      <c:catAx>
        <c:axId val="3150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052351"/>
        <c:crosses val="autoZero"/>
        <c:auto val="1"/>
        <c:lblAlgn val="ctr"/>
        <c:lblOffset val="100"/>
        <c:noMultiLvlLbl val="0"/>
      </c:catAx>
      <c:valAx>
        <c:axId val="3150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0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RENTOWNOŚCI RZECZOWYCH ŚRODKÓW TRWAŁYCH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majątkowo-kap'!$H$5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majątkowo-kap'!$I$4:$M$4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majątkowo-kap'!$I$5:$M$5</c:f>
              <c:numCache>
                <c:formatCode>0.00</c:formatCode>
                <c:ptCount val="5"/>
                <c:pt idx="0">
                  <c:v>0.24099685060933862</c:v>
                </c:pt>
                <c:pt idx="1">
                  <c:v>7.4905157801275324E-2</c:v>
                </c:pt>
                <c:pt idx="2">
                  <c:v>-0.17090577615723243</c:v>
                </c:pt>
                <c:pt idx="3">
                  <c:v>0.10151970501097683</c:v>
                </c:pt>
                <c:pt idx="4">
                  <c:v>0.73198191685222136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D-4F5F-8609-60FFBA1706A6}"/>
            </c:ext>
          </c:extLst>
        </c:ser>
        <c:ser>
          <c:idx val="1"/>
          <c:order val="1"/>
          <c:tx>
            <c:strRef>
              <c:f>'Wskaźniki analizy majątkowo-kap'!$H$6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majątkowo-kap'!$I$4:$M$4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majątkowo-kap'!$I$6:$M$6</c:f>
              <c:numCache>
                <c:formatCode>0.00</c:formatCode>
                <c:ptCount val="5"/>
                <c:pt idx="0">
                  <c:v>1.6449290629310585E-2</c:v>
                </c:pt>
                <c:pt idx="1">
                  <c:v>9.4059648756157369E-2</c:v>
                </c:pt>
                <c:pt idx="2">
                  <c:v>2.0659962367958681E-2</c:v>
                </c:pt>
                <c:pt idx="3">
                  <c:v>8.3789925536472826E-2</c:v>
                </c:pt>
                <c:pt idx="4">
                  <c:v>4.8284479144473237E-2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D-4F5F-8609-60FFBA1706A6}"/>
            </c:ext>
          </c:extLst>
        </c:ser>
        <c:ser>
          <c:idx val="3"/>
          <c:order val="2"/>
          <c:tx>
            <c:strRef>
              <c:f>'Wskaźniki analizy majątkowo-kap'!$H$7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majątkowo-kap'!$I$4:$M$4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majątkowo-kap'!$I$7:$M$7</c:f>
              <c:numCache>
                <c:formatCode>0.00</c:formatCode>
                <c:ptCount val="5"/>
                <c:pt idx="0">
                  <c:v>3.5455733824423873E-2</c:v>
                </c:pt>
                <c:pt idx="1">
                  <c:v>-0.16757194674497539</c:v>
                </c:pt>
                <c:pt idx="2">
                  <c:v>-8.7336537193859948E-2</c:v>
                </c:pt>
                <c:pt idx="3">
                  <c:v>5.2614331379822611E-2</c:v>
                </c:pt>
                <c:pt idx="4">
                  <c:v>0.53613760247247044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1-48E3-85C9-887F2B0E5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2930959"/>
        <c:axId val="352932207"/>
      </c:barChart>
      <c:catAx>
        <c:axId val="3529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932207"/>
        <c:crosses val="autoZero"/>
        <c:auto val="1"/>
        <c:lblAlgn val="ctr"/>
        <c:lblOffset val="100"/>
        <c:noMultiLvlLbl val="0"/>
      </c:catAx>
      <c:valAx>
        <c:axId val="3529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9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WSKAŹNIK TECHNICZNEGO UZBROJENIA PRACY</a:t>
            </a:r>
          </a:p>
        </c:rich>
      </c:tx>
      <c:layout>
        <c:manualLayout>
          <c:xMode val="edge"/>
          <c:yMode val="edge"/>
          <c:x val="0.24112469851821494"/>
          <c:y val="3.711214346378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majątkowo-kap'!$H$28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majątkowo-kap'!$I$27:$M$27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majątkowo-kap'!$I$28:$M$28</c:f>
              <c:numCache>
                <c:formatCode>0.00</c:formatCode>
                <c:ptCount val="5"/>
                <c:pt idx="0">
                  <c:v>337.85159141376761</c:v>
                </c:pt>
                <c:pt idx="1">
                  <c:v>386.58672491418889</c:v>
                </c:pt>
                <c:pt idx="2">
                  <c:v>409.39334637964777</c:v>
                </c:pt>
                <c:pt idx="3">
                  <c:v>405.87395648600716</c:v>
                </c:pt>
                <c:pt idx="4">
                  <c:v>488.45520033899902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E-4370-B7EF-CCA707998567}"/>
            </c:ext>
          </c:extLst>
        </c:ser>
        <c:ser>
          <c:idx val="1"/>
          <c:order val="1"/>
          <c:tx>
            <c:strRef>
              <c:f>'Wskaźniki analizy majątkowo-kap'!$H$29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majątkowo-kap'!$I$27:$M$27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majątkowo-kap'!$I$29:$M$29</c:f>
              <c:numCache>
                <c:formatCode>0.00</c:formatCode>
                <c:ptCount val="5"/>
                <c:pt idx="0">
                  <c:v>688.62771109707307</c:v>
                </c:pt>
                <c:pt idx="1">
                  <c:v>667.70728234336855</c:v>
                </c:pt>
                <c:pt idx="2">
                  <c:v>717.50609508329944</c:v>
                </c:pt>
                <c:pt idx="3">
                  <c:v>701.10902791929891</c:v>
                </c:pt>
                <c:pt idx="4">
                  <c:v>737.98437817001422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E-4370-B7EF-CCA707998567}"/>
            </c:ext>
          </c:extLst>
        </c:ser>
        <c:ser>
          <c:idx val="2"/>
          <c:order val="2"/>
          <c:tx>
            <c:strRef>
              <c:f>'Wskaźniki analizy majątkowo-kap'!$H$30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majątkowo-kap'!$I$27:$M$27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majątkowo-kap'!$I$30:$M$30</c:f>
              <c:numCache>
                <c:formatCode>0.00</c:formatCode>
                <c:ptCount val="5"/>
                <c:pt idx="0">
                  <c:v>1654.9793052214518</c:v>
                </c:pt>
                <c:pt idx="1">
                  <c:v>1522.6736435683804</c:v>
                </c:pt>
                <c:pt idx="2">
                  <c:v>886.29473095898857</c:v>
                </c:pt>
                <c:pt idx="3">
                  <c:v>804.61289289716638</c:v>
                </c:pt>
                <c:pt idx="4">
                  <c:v>216.85106726325827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0846-8384-B54DE717B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015327"/>
        <c:axId val="315020319"/>
      </c:barChart>
      <c:catAx>
        <c:axId val="3150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020319"/>
        <c:crosses val="autoZero"/>
        <c:auto val="1"/>
        <c:lblAlgn val="ctr"/>
        <c:lblOffset val="100"/>
        <c:noMultiLvlLbl val="0"/>
      </c:catAx>
      <c:valAx>
        <c:axId val="3150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0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WSKAŹNIK PRODUKTYWNOŚCI ŚRODKÓW TRWAŁYCH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2128785737490926"/>
          <c:y val="2.0974291629083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majątkowo-kap'!$O$5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majątkowo-kap'!$P$4:$T$4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majątkowo-kap'!$P$5:$T$5</c:f>
              <c:numCache>
                <c:formatCode>0.00</c:formatCode>
                <c:ptCount val="5"/>
                <c:pt idx="0">
                  <c:v>1.0651420877175837</c:v>
                </c:pt>
                <c:pt idx="1">
                  <c:v>0.79320926956656956</c:v>
                </c:pt>
                <c:pt idx="2">
                  <c:v>0.59783826647589167</c:v>
                </c:pt>
                <c:pt idx="3">
                  <c:v>0.8966413173223331</c:v>
                </c:pt>
                <c:pt idx="4">
                  <c:v>1.2955646066514865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0F7-9537-8725A4F39A53}"/>
            </c:ext>
          </c:extLst>
        </c:ser>
        <c:ser>
          <c:idx val="1"/>
          <c:order val="1"/>
          <c:tx>
            <c:strRef>
              <c:f>'Wskaźniki analizy majątkowo-kap'!$O$6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majątkowo-kap'!$P$4:$T$4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majątkowo-kap'!$P$6:$T$6</c:f>
              <c:numCache>
                <c:formatCode>0.00</c:formatCode>
                <c:ptCount val="5"/>
                <c:pt idx="0">
                  <c:v>0.50972466666192728</c:v>
                </c:pt>
                <c:pt idx="1">
                  <c:v>0.61886554466400578</c:v>
                </c:pt>
                <c:pt idx="2">
                  <c:v>1.0142963466367498</c:v>
                </c:pt>
                <c:pt idx="3">
                  <c:v>0.73637970968451671</c:v>
                </c:pt>
                <c:pt idx="4">
                  <c:v>0.74782109259235541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8-40F7-9537-8725A4F39A53}"/>
            </c:ext>
          </c:extLst>
        </c:ser>
        <c:ser>
          <c:idx val="3"/>
          <c:order val="2"/>
          <c:tx>
            <c:strRef>
              <c:f>'Wskaźniki analizy majątkowo-kap'!$O$7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majątkowo-kap'!$P$4:$T$4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majątkowo-kap'!$P$7:$T$7</c:f>
              <c:numCache>
                <c:formatCode>0.00</c:formatCode>
                <c:ptCount val="5"/>
                <c:pt idx="0">
                  <c:v>0.4925141494818876</c:v>
                </c:pt>
                <c:pt idx="1">
                  <c:v>0.60751492191764023</c:v>
                </c:pt>
                <c:pt idx="2">
                  <c:v>0.66709423110664867</c:v>
                </c:pt>
                <c:pt idx="3">
                  <c:v>0.73620221268988284</c:v>
                </c:pt>
                <c:pt idx="4">
                  <c:v>0.66442422709111082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D-4F02-B9D0-0F61B31A8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113519"/>
        <c:axId val="171113935"/>
      </c:barChart>
      <c:catAx>
        <c:axId val="1711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13935"/>
        <c:crosses val="autoZero"/>
        <c:auto val="1"/>
        <c:lblAlgn val="ctr"/>
        <c:lblOffset val="100"/>
        <c:noMultiLvlLbl val="0"/>
      </c:catAx>
      <c:valAx>
        <c:axId val="1711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STRUKTURY PASYWÓW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majątkowo-kap'!$O$28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majątkowo-kap'!$P$27:$T$27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majątkowo-kap'!$P$28:$T$28</c:f>
              <c:numCache>
                <c:formatCode>0.00</c:formatCode>
                <c:ptCount val="5"/>
                <c:pt idx="0">
                  <c:v>1.5886004514672687</c:v>
                </c:pt>
                <c:pt idx="1">
                  <c:v>1.4570610215806021</c:v>
                </c:pt>
                <c:pt idx="2">
                  <c:v>0.94857268790997951</c:v>
                </c:pt>
                <c:pt idx="3">
                  <c:v>1.0826983298538622</c:v>
                </c:pt>
                <c:pt idx="4">
                  <c:v>1.445499564649543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D-4B12-97BE-E4116F3F7409}"/>
            </c:ext>
          </c:extLst>
        </c:ser>
        <c:ser>
          <c:idx val="1"/>
          <c:order val="1"/>
          <c:tx>
            <c:strRef>
              <c:f>'Wskaźniki analizy majątkowo-kap'!$O$29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21357323544179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40-429E-A248-7B709864021D}"/>
                </c:ext>
              </c:extLst>
            </c:dLbl>
            <c:dLbl>
              <c:idx val="2"/>
              <c:layout>
                <c:manualLayout>
                  <c:x val="0"/>
                  <c:y val="-3.74539843150381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40-429E-A248-7B709864021D}"/>
                </c:ext>
              </c:extLst>
            </c:dLbl>
            <c:dLbl>
              <c:idx val="3"/>
              <c:layout>
                <c:manualLayout>
                  <c:x val="-7.9606629406870071E-17"/>
                  <c:y val="-2.80904882362786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40-429E-A248-7B7098640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majątkowo-kap'!$P$27:$T$27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majątkowo-kap'!$P$29:$T$29</c:f>
              <c:numCache>
                <c:formatCode>0.00</c:formatCode>
                <c:ptCount val="5"/>
                <c:pt idx="0">
                  <c:v>3.0004180079024851</c:v>
                </c:pt>
                <c:pt idx="1">
                  <c:v>3.1529509884155855</c:v>
                </c:pt>
                <c:pt idx="2">
                  <c:v>3.0683620410698547</c:v>
                </c:pt>
                <c:pt idx="3">
                  <c:v>3.2424393346776923</c:v>
                </c:pt>
                <c:pt idx="4">
                  <c:v>3.3370961572213549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D-4B12-97BE-E4116F3F7409}"/>
            </c:ext>
          </c:extLst>
        </c:ser>
        <c:ser>
          <c:idx val="3"/>
          <c:order val="2"/>
          <c:tx>
            <c:strRef>
              <c:f>'Wskaźniki analizy majątkowo-kap'!$O$30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7.9606629406870071E-17"/>
                  <c:y val="-5.61809764725572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40-429E-A248-7B709864021D}"/>
                </c:ext>
              </c:extLst>
            </c:dLbl>
            <c:dLbl>
              <c:idx val="2"/>
              <c:layout>
                <c:manualLayout>
                  <c:x val="0"/>
                  <c:y val="-4.21357323544179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40-429E-A248-7B709864021D}"/>
                </c:ext>
              </c:extLst>
            </c:dLbl>
            <c:dLbl>
              <c:idx val="3"/>
              <c:layout>
                <c:manualLayout>
                  <c:x val="0"/>
                  <c:y val="-5.61809764725572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40-429E-A248-7B709864021D}"/>
                </c:ext>
              </c:extLst>
            </c:dLbl>
            <c:dLbl>
              <c:idx val="4"/>
              <c:layout>
                <c:manualLayout>
                  <c:x val="0"/>
                  <c:y val="-8.8953212748215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40-429E-A248-7B7098640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majątkowo-kap'!$P$27:$T$27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majątkowo-kap'!$P$30:$T$30</c:f>
              <c:numCache>
                <c:formatCode>0.00</c:formatCode>
                <c:ptCount val="5"/>
                <c:pt idx="0">
                  <c:v>0.96146071873525207</c:v>
                </c:pt>
                <c:pt idx="1">
                  <c:v>0.57243613231995405</c:v>
                </c:pt>
                <c:pt idx="2">
                  <c:v>0.37775629521223575</c:v>
                </c:pt>
                <c:pt idx="3">
                  <c:v>0.35797545944174147</c:v>
                </c:pt>
                <c:pt idx="4">
                  <c:v>1.4820966342632429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D-4B12-97BE-E4116F3F74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1615679"/>
        <c:axId val="301614847"/>
      </c:barChart>
      <c:catAx>
        <c:axId val="3016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614847"/>
        <c:crosses val="autoZero"/>
        <c:auto val="1"/>
        <c:lblAlgn val="ctr"/>
        <c:lblOffset val="100"/>
        <c:noMultiLvlLbl val="0"/>
      </c:catAx>
      <c:valAx>
        <c:axId val="3016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6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W. POKRYCIA ZOBOWIĄZAŃ OGÓŁEM NADWYŻKA FINANSOWĄ</a:t>
            </a:r>
          </a:p>
        </c:rich>
      </c:tx>
      <c:layout>
        <c:manualLayout>
          <c:xMode val="edge"/>
          <c:yMode val="edge"/>
          <c:x val="0.16117772111324108"/>
          <c:y val="3.043692262341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majątkowo-kap'!$V$5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majątkowo-kap'!$W$4:$AA$4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majątkowo-kap'!$W$5:$AA$5</c:f>
              <c:numCache>
                <c:formatCode>0.00</c:formatCode>
                <c:ptCount val="5"/>
                <c:pt idx="0">
                  <c:v>0.32638830936419189</c:v>
                </c:pt>
                <c:pt idx="1">
                  <c:v>0.11405595694809015</c:v>
                </c:pt>
                <c:pt idx="2">
                  <c:v>-0.22299419089544337</c:v>
                </c:pt>
                <c:pt idx="3">
                  <c:v>0.1238928845478547</c:v>
                </c:pt>
                <c:pt idx="4">
                  <c:v>0.81262306309391319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6-45A0-BCD2-51832430188C}"/>
            </c:ext>
          </c:extLst>
        </c:ser>
        <c:ser>
          <c:idx val="1"/>
          <c:order val="1"/>
          <c:tx>
            <c:strRef>
              <c:f>'Wskaźniki analizy majątkowo-kap'!$V$6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majątkowo-kap'!$W$4:$AA$4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majątkowo-kap'!$W$6:$AA$6</c:f>
              <c:numCache>
                <c:formatCode>0.00</c:formatCode>
                <c:ptCount val="5"/>
                <c:pt idx="0">
                  <c:v>4.8017923930410877E-2</c:v>
                </c:pt>
                <c:pt idx="1">
                  <c:v>0.30763896119812856</c:v>
                </c:pt>
                <c:pt idx="2">
                  <c:v>-0.27791204907311523</c:v>
                </c:pt>
                <c:pt idx="3">
                  <c:v>-0.12994494386087185</c:v>
                </c:pt>
                <c:pt idx="4">
                  <c:v>-0.20080833385900568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6-45A0-BCD2-51832430188C}"/>
            </c:ext>
          </c:extLst>
        </c:ser>
        <c:ser>
          <c:idx val="3"/>
          <c:order val="2"/>
          <c:tx>
            <c:strRef>
              <c:f>'Wskaźniki analizy majątkowo-kap'!$V$7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majątkowo-kap'!$W$4:$AA$4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majątkowo-kap'!$W$7:$AA$7</c:f>
              <c:numCache>
                <c:formatCode>0.00</c:formatCode>
                <c:ptCount val="5"/>
                <c:pt idx="0">
                  <c:v>0.11167813205125539</c:v>
                </c:pt>
                <c:pt idx="1">
                  <c:v>7.4955306827544727E-2</c:v>
                </c:pt>
                <c:pt idx="2">
                  <c:v>-2.4659985679700732E-2</c:v>
                </c:pt>
                <c:pt idx="3">
                  <c:v>0.10456829845095977</c:v>
                </c:pt>
                <c:pt idx="4">
                  <c:v>0.25543190792281201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6-45A0-BCD2-518324301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0851743"/>
        <c:axId val="390850911"/>
      </c:barChart>
      <c:catAx>
        <c:axId val="39085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850911"/>
        <c:crosses val="autoZero"/>
        <c:auto val="1"/>
        <c:lblAlgn val="ctr"/>
        <c:lblOffset val="100"/>
        <c:noMultiLvlLbl val="0"/>
      </c:catAx>
      <c:valAx>
        <c:axId val="3908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8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OGÓLNEGO ZADŁUŻENIA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majątkowo-kap'!$V$28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majątkowo-kap'!$W$27:$AA$27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majątkowo-kap'!$W$28:$AA$28</c:f>
              <c:numCache>
                <c:formatCode>0.00%</c:formatCode>
                <c:ptCount val="5"/>
                <c:pt idx="0">
                  <c:v>0.38628106379886645</c:v>
                </c:pt>
                <c:pt idx="1">
                  <c:v>0.40699029906742418</c:v>
                </c:pt>
                <c:pt idx="2">
                  <c:v>0.51319614926584567</c:v>
                </c:pt>
                <c:pt idx="3">
                  <c:v>0.48014634940921452</c:v>
                </c:pt>
                <c:pt idx="4">
                  <c:v>0.4089144052427206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12E-9946-620EA11AE2EE}"/>
            </c:ext>
          </c:extLst>
        </c:ser>
        <c:ser>
          <c:idx val="1"/>
          <c:order val="1"/>
          <c:tx>
            <c:strRef>
              <c:f>'Wskaźniki analizy majątkowo-kap'!$V$29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9.38159412490595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8E-4D7A-8FA9-A930262EFB12}"/>
                </c:ext>
              </c:extLst>
            </c:dLbl>
            <c:dLbl>
              <c:idx val="2"/>
              <c:layout>
                <c:manualLayout>
                  <c:x val="0"/>
                  <c:y val="-3.283557943717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8E-4D7A-8FA9-A930262EFB12}"/>
                </c:ext>
              </c:extLst>
            </c:dLbl>
            <c:dLbl>
              <c:idx val="4"/>
              <c:layout>
                <c:manualLayout>
                  <c:x val="0"/>
                  <c:y val="-3.7526376499623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8E-4D7A-8FA9-A930262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majątkowo-kap'!$W$27:$AA$27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majątkowo-kap'!$W$29:$AA$29</c:f>
              <c:numCache>
                <c:formatCode>0.00%</c:formatCode>
                <c:ptCount val="5"/>
                <c:pt idx="0">
                  <c:v>0.24997387723597514</c:v>
                </c:pt>
                <c:pt idx="1">
                  <c:v>0.24079263222451736</c:v>
                </c:pt>
                <c:pt idx="2">
                  <c:v>0.24579916681580055</c:v>
                </c:pt>
                <c:pt idx="3">
                  <c:v>0.23571344717318682</c:v>
                </c:pt>
                <c:pt idx="4">
                  <c:v>0.2305690175522116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A-412E-9946-620EA11AE2EE}"/>
            </c:ext>
          </c:extLst>
        </c:ser>
        <c:ser>
          <c:idx val="3"/>
          <c:order val="2"/>
          <c:tx>
            <c:strRef>
              <c:f>'Wskaźniki analizy majątkowo-kap'!$V$30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1.4072391187358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8E-4D7A-8FA9-A930262EFB12}"/>
                </c:ext>
              </c:extLst>
            </c:dLbl>
            <c:dLbl>
              <c:idx val="2"/>
              <c:layout>
                <c:manualLayout>
                  <c:x val="0"/>
                  <c:y val="-1.87631882498119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8E-4D7A-8FA9-A930262EFB12}"/>
                </c:ext>
              </c:extLst>
            </c:dLbl>
            <c:dLbl>
              <c:idx val="3"/>
              <c:layout>
                <c:manualLayout>
                  <c:x val="0"/>
                  <c:y val="-2.3453985312264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8E-4D7A-8FA9-A930262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majątkowo-kap'!$W$27:$AA$27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majątkowo-kap'!$W$30:$AA$30</c:f>
              <c:numCache>
                <c:formatCode>0.00%</c:formatCode>
                <c:ptCount val="5"/>
                <c:pt idx="0">
                  <c:v>0.5097905566950568</c:v>
                </c:pt>
                <c:pt idx="1">
                  <c:v>0.63592777285413438</c:v>
                </c:pt>
                <c:pt idx="2">
                  <c:v>0.72576316111190309</c:v>
                </c:pt>
                <c:pt idx="3">
                  <c:v>0.73634184118899593</c:v>
                </c:pt>
                <c:pt idx="4">
                  <c:v>0.40285652615815959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A-412E-9946-620EA11AE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970735"/>
        <c:axId val="297971151"/>
      </c:barChart>
      <c:catAx>
        <c:axId val="2979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971151"/>
        <c:crosses val="autoZero"/>
        <c:auto val="1"/>
        <c:lblAlgn val="ctr"/>
        <c:lblOffset val="100"/>
        <c:noMultiLvlLbl val="0"/>
      </c:catAx>
      <c:valAx>
        <c:axId val="2979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9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W. ZADŁUŻENIA KAPITAŁÓW WŁASNYCH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5729910822096448E-2"/>
          <c:y val="0.18300925925925926"/>
          <c:w val="0.87081190970682376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majątkowo-kap'!$AC$5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majątkowo-kap'!$AD$4:$AH$4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majątkowo-kap'!$AD$5:$AH$5</c:f>
              <c:numCache>
                <c:formatCode>0.00</c:formatCode>
                <c:ptCount val="5"/>
                <c:pt idx="0">
                  <c:v>0.62948490230905862</c:v>
                </c:pt>
                <c:pt idx="1">
                  <c:v>0.68631305428458456</c:v>
                </c:pt>
                <c:pt idx="2">
                  <c:v>1.0542154678766178</c:v>
                </c:pt>
                <c:pt idx="3">
                  <c:v>0.92361830846730464</c:v>
                </c:pt>
                <c:pt idx="4">
                  <c:v>0.69180235294117642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A-433C-8E8F-EFA4A607317A}"/>
            </c:ext>
          </c:extLst>
        </c:ser>
        <c:ser>
          <c:idx val="1"/>
          <c:order val="1"/>
          <c:tx>
            <c:strRef>
              <c:f>'Wskaźniki analizy majątkowo-kap'!$AC$6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A-4AD9-9F6A-CCC1E2781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majątkowo-kap'!$AD$4:$AH$4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majątkowo-kap'!$AD$6:$AH$6</c:f>
              <c:numCache>
                <c:formatCode>0.00</c:formatCode>
                <c:ptCount val="5"/>
                <c:pt idx="0">
                  <c:v>0.33328689448143733</c:v>
                </c:pt>
                <c:pt idx="1">
                  <c:v>0.31716319209342292</c:v>
                </c:pt>
                <c:pt idx="2">
                  <c:v>0.32590678238586446</c:v>
                </c:pt>
                <c:pt idx="3">
                  <c:v>0.30840977942287479</c:v>
                </c:pt>
                <c:pt idx="4">
                  <c:v>0.29966172770779659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A-433C-8E8F-EFA4A607317A}"/>
            </c:ext>
          </c:extLst>
        </c:ser>
        <c:ser>
          <c:idx val="3"/>
          <c:order val="2"/>
          <c:tx>
            <c:strRef>
              <c:f>'Wskaźniki analizy majątkowo-kap'!$AC$7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majątkowo-kap'!$AD$4:$AH$4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majątkowo-kap'!$AD$7:$AH$7</c:f>
              <c:numCache>
                <c:formatCode>0.00</c:formatCode>
                <c:ptCount val="5"/>
                <c:pt idx="0">
                  <c:v>1.0400840934151154</c:v>
                </c:pt>
                <c:pt idx="1">
                  <c:v>1.7469197759184529</c:v>
                </c:pt>
                <c:pt idx="2">
                  <c:v>2.6472093587167556</c:v>
                </c:pt>
                <c:pt idx="3">
                  <c:v>2.7934875802924823</c:v>
                </c:pt>
                <c:pt idx="4">
                  <c:v>0.67471983734522456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A-433C-8E8F-EFA4A6073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973231"/>
        <c:axId val="297971983"/>
      </c:barChart>
      <c:catAx>
        <c:axId val="2979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971983"/>
        <c:crosses val="autoZero"/>
        <c:auto val="1"/>
        <c:lblAlgn val="ctr"/>
        <c:lblOffset val="100"/>
        <c:noMultiLvlLbl val="0"/>
      </c:catAx>
      <c:valAx>
        <c:axId val="2979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9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POKRYCIA ZOBOWIĄZAŃ NALEŻNOŚCIAMI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'Statyczna analiza płynności'!$O$6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płynności'!$P$5:$T$5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płynności'!$P$6:$T$6</c:f>
              <c:numCache>
                <c:formatCode>0.00</c:formatCode>
                <c:ptCount val="5"/>
                <c:pt idx="0">
                  <c:v>0.31613793103448273</c:v>
                </c:pt>
                <c:pt idx="1">
                  <c:v>0.24787498926762255</c:v>
                </c:pt>
                <c:pt idx="2">
                  <c:v>0.25092869312627436</c:v>
                </c:pt>
                <c:pt idx="3">
                  <c:v>0.47355294606671516</c:v>
                </c:pt>
                <c:pt idx="4">
                  <c:v>0.2518199568123925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DF9-B167-444A18039B0F}"/>
            </c:ext>
          </c:extLst>
        </c:ser>
        <c:ser>
          <c:idx val="1"/>
          <c:order val="1"/>
          <c:tx>
            <c:strRef>
              <c:f>'Statyczna analiza płynności'!$O$7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91242004324106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D7-4A99-8E07-9572B55C7B89}"/>
                </c:ext>
              </c:extLst>
            </c:dLbl>
            <c:dLbl>
              <c:idx val="2"/>
              <c:layout>
                <c:manualLayout>
                  <c:x val="-6.8253631368344666E-17"/>
                  <c:y val="-4.97944369139771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D7-4A99-8E07-9572B55C7B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płynności'!$P$5:$T$5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płynności'!$P$7:$T$7</c:f>
              <c:numCache>
                <c:formatCode>0.00</c:formatCode>
                <c:ptCount val="5"/>
                <c:pt idx="0">
                  <c:v>0.48183875220175337</c:v>
                </c:pt>
                <c:pt idx="1">
                  <c:v>0.68338313350901481</c:v>
                </c:pt>
                <c:pt idx="2">
                  <c:v>0.7730155999400643</c:v>
                </c:pt>
                <c:pt idx="3">
                  <c:v>0.63177853989339006</c:v>
                </c:pt>
                <c:pt idx="4">
                  <c:v>0.45342274527615067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9-4DF9-B167-444A18039B0F}"/>
            </c:ext>
          </c:extLst>
        </c:ser>
        <c:ser>
          <c:idx val="3"/>
          <c:order val="2"/>
          <c:tx>
            <c:strRef>
              <c:f>'Statyczna analiza płynności'!$O$8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'Statyczna analiza płynności'!$P$5:$T$5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'Statyczna analiza płynności'!$P$8:$T$8</c:f>
              <c:numCache>
                <c:formatCode>0.00</c:formatCode>
                <c:ptCount val="5"/>
                <c:pt idx="0">
                  <c:v>0.3</c:v>
                </c:pt>
                <c:pt idx="1">
                  <c:v>0.27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9-4DF9-B167-444A18039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9945711"/>
        <c:axId val="289944879"/>
      </c:barChart>
      <c:catAx>
        <c:axId val="2899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9944879"/>
        <c:crosses val="autoZero"/>
        <c:auto val="1"/>
        <c:lblAlgn val="ctr"/>
        <c:lblOffset val="100"/>
        <c:noMultiLvlLbl val="0"/>
      </c:catAx>
      <c:valAx>
        <c:axId val="2899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99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ZASTOSOWANIA K. WŁASNYCH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majątkowo-kap'!$AJ$5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majątkowo-kap'!$AK$4:$AO$4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majątkowo-kap'!$AK$5:$AO$5</c:f>
              <c:numCache>
                <c:formatCode>0.00</c:formatCode>
                <c:ptCount val="5"/>
                <c:pt idx="0">
                  <c:v>0.81990291262135917</c:v>
                </c:pt>
                <c:pt idx="1">
                  <c:v>0.76536303188039878</c:v>
                </c:pt>
                <c:pt idx="2">
                  <c:v>0.6286978562529536</c:v>
                </c:pt>
                <c:pt idx="3">
                  <c:v>0.68746168249076234</c:v>
                </c:pt>
                <c:pt idx="4">
                  <c:v>0.83395252945978193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1-414E-A4C3-F1090A96C881}"/>
            </c:ext>
          </c:extLst>
        </c:ser>
        <c:ser>
          <c:idx val="1"/>
          <c:order val="1"/>
          <c:tx>
            <c:strRef>
              <c:f>'Wskaźniki analizy majątkowo-kap'!$AJ$6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81679639948124E-17"/>
                  <c:y val="-7.50256630162749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76-4DC5-80C0-BF05688784C8}"/>
                </c:ext>
              </c:extLst>
            </c:dLbl>
            <c:dLbl>
              <c:idx val="1"/>
              <c:layout>
                <c:manualLayout>
                  <c:x val="0"/>
                  <c:y val="-7.50256630162749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76-4DC5-80C0-BF05688784C8}"/>
                </c:ext>
              </c:extLst>
            </c:dLbl>
            <c:dLbl>
              <c:idx val="2"/>
              <c:layout>
                <c:manualLayout>
                  <c:x val="0"/>
                  <c:y val="-5.7372565835974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76-4DC5-80C0-BF05688784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majątkowo-kap'!$AK$4:$AO$4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majątkowo-kap'!$AK$6:$AO$6</c:f>
              <c:numCache>
                <c:formatCode>0.00</c:formatCode>
                <c:ptCount val="5"/>
                <c:pt idx="0">
                  <c:v>0.90209531684164079</c:v>
                </c:pt>
                <c:pt idx="1">
                  <c:v>0.98356501502384353</c:v>
                </c:pt>
                <c:pt idx="2">
                  <c:v>0.93438093309906511</c:v>
                </c:pt>
                <c:pt idx="3">
                  <c:v>1.0445789982507554</c:v>
                </c:pt>
                <c:pt idx="4">
                  <c:v>1.019282066789919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1-414E-A4C3-F1090A96C881}"/>
            </c:ext>
          </c:extLst>
        </c:ser>
        <c:ser>
          <c:idx val="3"/>
          <c:order val="2"/>
          <c:tx>
            <c:strRef>
              <c:f>'Wskaźniki analizy majątkowo-kap'!$AJ$7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majątkowo-kap'!$AK$4:$AO$4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majątkowo-kap'!$AK$7:$AO$7</c:f>
              <c:numCache>
                <c:formatCode>0.00</c:formatCode>
                <c:ptCount val="5"/>
                <c:pt idx="0">
                  <c:v>0.58154763281969202</c:v>
                </c:pt>
                <c:pt idx="1">
                  <c:v>0.42359318293618725</c:v>
                </c:pt>
                <c:pt idx="2">
                  <c:v>0.3280263822573814</c:v>
                </c:pt>
                <c:pt idx="3">
                  <c:v>0.37364267528343587</c:v>
                </c:pt>
                <c:pt idx="4">
                  <c:v>0.39965681642503181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1-414E-A4C3-F1090A96C8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8901503"/>
        <c:axId val="348901919"/>
      </c:barChart>
      <c:catAx>
        <c:axId val="3489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01919"/>
        <c:crosses val="autoZero"/>
        <c:auto val="1"/>
        <c:lblAlgn val="ctr"/>
        <c:lblOffset val="100"/>
        <c:noMultiLvlLbl val="0"/>
      </c:catAx>
      <c:valAx>
        <c:axId val="3489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ZWIĄZANIA AKTYWÓW DŁUGOTERMINOWYCH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'Wskaźniki analizy majątkowo-kap'!$AU$5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majątkowo-kap'!$AV$4:$AZ$4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majątkowo-kap'!$AV$5:$AZ$5</c:f>
              <c:numCache>
                <c:formatCode>0.00</c:formatCode>
                <c:ptCount val="5"/>
                <c:pt idx="0">
                  <c:v>0.98407766990291257</c:v>
                </c:pt>
                <c:pt idx="1">
                  <c:v>0.98851717667810912</c:v>
                </c:pt>
                <c:pt idx="2">
                  <c:v>0.98385530781458097</c:v>
                </c:pt>
                <c:pt idx="3">
                  <c:v>1.0035127835495683</c:v>
                </c:pt>
                <c:pt idx="4">
                  <c:v>1.0062059149800113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4F61-8646-AF22F9AA6DC4}"/>
            </c:ext>
          </c:extLst>
        </c:ser>
        <c:ser>
          <c:idx val="1"/>
          <c:order val="1"/>
          <c:tx>
            <c:strRef>
              <c:f>'Wskaźniki analizy majątkowo-kap'!$AU$6</c:f>
              <c:strCache>
                <c:ptCount val="1"/>
                <c:pt idx="0">
                  <c:v>Konkurent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60024152801433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1B-4501-98AD-4B02ECBD1773}"/>
                </c:ext>
              </c:extLst>
            </c:dLbl>
            <c:dLbl>
              <c:idx val="1"/>
              <c:layout>
                <c:manualLayout>
                  <c:x val="0"/>
                  <c:y val="-4.00026836446034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1B-4501-98AD-4B02ECBD1773}"/>
                </c:ext>
              </c:extLst>
            </c:dLbl>
            <c:dLbl>
              <c:idx val="2"/>
              <c:layout>
                <c:manualLayout>
                  <c:x val="0"/>
                  <c:y val="-4.0002683644603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1B-4501-98AD-4B02ECBD1773}"/>
                </c:ext>
              </c:extLst>
            </c:dLbl>
            <c:dLbl>
              <c:idx val="3"/>
              <c:layout>
                <c:manualLayout>
                  <c:x val="-1.9619638547553522E-3"/>
                  <c:y val="-2.40016101867622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1B-4501-98AD-4B02ECBD1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majątkowo-kap'!$AV$4:$AZ$4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majątkowo-kap'!$AV$6:$AZ$6</c:f>
              <c:numCache>
                <c:formatCode>0.00</c:formatCode>
                <c:ptCount val="5"/>
                <c:pt idx="0">
                  <c:v>1.0661271023727843</c:v>
                </c:pt>
                <c:pt idx="1">
                  <c:v>1.1815269635567833</c:v>
                </c:pt>
                <c:pt idx="2">
                  <c:v>1.1368549071020921</c:v>
                </c:pt>
                <c:pt idx="3">
                  <c:v>1.2168906463369049</c:v>
                </c:pt>
                <c:pt idx="4">
                  <c:v>1.2012431529680208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6-4F61-8646-AF22F9AA6DC4}"/>
            </c:ext>
          </c:extLst>
        </c:ser>
        <c:ser>
          <c:idx val="3"/>
          <c:order val="2"/>
          <c:tx>
            <c:strRef>
              <c:f>'Wskaźniki analizy majątkowo-kap'!$AU$7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'Wskaźniki analizy majątkowo-kap'!$AV$4:$AZ$4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'Wskaźniki analizy majątkowo-kap'!$AV$7:$AZ$7</c:f>
              <c:numCache>
                <c:formatCode>0.00</c:formatCode>
                <c:ptCount val="5"/>
                <c:pt idx="0">
                  <c:v>0.98052251794294021</c:v>
                </c:pt>
                <c:pt idx="1">
                  <c:v>0.9339662104103208</c:v>
                </c:pt>
                <c:pt idx="2">
                  <c:v>0.84063814036621753</c:v>
                </c:pt>
                <c:pt idx="3">
                  <c:v>0.79441005155863409</c:v>
                </c:pt>
                <c:pt idx="4">
                  <c:v>0.49155649914881255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6-4F61-8646-AF22F9AA6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5700463"/>
        <c:axId val="395700879"/>
      </c:barChart>
      <c:catAx>
        <c:axId val="3957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00879"/>
        <c:crosses val="autoZero"/>
        <c:auto val="1"/>
        <c:lblAlgn val="ctr"/>
        <c:lblOffset val="100"/>
        <c:noMultiLvlLbl val="0"/>
      </c:catAx>
      <c:valAx>
        <c:axId val="3957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PRODUKTYWNOŚCI JEDNEJ AKCJI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spółki'!$A$3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spółki'!$B$3:$F$3</c:f>
              <c:numCache>
                <c:formatCode>0.00</c:formatCode>
                <c:ptCount val="5"/>
                <c:pt idx="0">
                  <c:v>83.543707216108359</c:v>
                </c:pt>
                <c:pt idx="1">
                  <c:v>73.858122156860901</c:v>
                </c:pt>
                <c:pt idx="2">
                  <c:v>59.074233178807994</c:v>
                </c:pt>
                <c:pt idx="3">
                  <c:v>90.528536891705315</c:v>
                </c:pt>
                <c:pt idx="4">
                  <c:v>172.03155981288253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49B6-8E5A-A5E9BAC55A31}"/>
            </c:ext>
          </c:extLst>
        </c:ser>
        <c:ser>
          <c:idx val="1"/>
          <c:order val="1"/>
          <c:tx>
            <c:strRef>
              <c:f>'Pozycja rynkowa spółki'!$A$4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0337434858975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E3-4B81-9AE5-33DC74D722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spółki'!$B$4:$F$4</c:f>
              <c:numCache>
                <c:formatCode>0.00</c:formatCode>
                <c:ptCount val="5"/>
                <c:pt idx="0">
                  <c:v>51.646150847352487</c:v>
                </c:pt>
                <c:pt idx="1">
                  <c:v>63.441142202278563</c:v>
                </c:pt>
                <c:pt idx="2">
                  <c:v>53.570117120833174</c:v>
                </c:pt>
                <c:pt idx="3">
                  <c:v>69.715663650911296</c:v>
                </c:pt>
                <c:pt idx="4">
                  <c:v>72.080453724525995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B-49B6-8E5A-A5E9BAC55A31}"/>
            </c:ext>
          </c:extLst>
        </c:ser>
        <c:ser>
          <c:idx val="3"/>
          <c:order val="2"/>
          <c:tx>
            <c:strRef>
              <c:f>'Pozycja rynkowa spółki'!$A$5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spółki'!$B$5:$F$5</c:f>
              <c:numCache>
                <c:formatCode>0.00</c:formatCode>
                <c:ptCount val="5"/>
                <c:pt idx="0">
                  <c:v>171.6436220127872</c:v>
                </c:pt>
                <c:pt idx="1">
                  <c:v>208.26010505676382</c:v>
                </c:pt>
                <c:pt idx="2">
                  <c:v>225.76140132395147</c:v>
                </c:pt>
                <c:pt idx="3">
                  <c:v>246.75806343932774</c:v>
                </c:pt>
                <c:pt idx="4">
                  <c:v>162.28979572592371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B-49B6-8E5A-A5E9BAC55A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9663775"/>
        <c:axId val="1739653791"/>
      </c:barChart>
      <c:catAx>
        <c:axId val="17396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53791"/>
        <c:crosses val="autoZero"/>
        <c:auto val="1"/>
        <c:lblAlgn val="ctr"/>
        <c:lblOffset val="100"/>
        <c:noMultiLvlLbl val="0"/>
      </c:catAx>
      <c:valAx>
        <c:axId val="17396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6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ZYSK PRZYPADAJĄCY NA JEDNĄ AKCJĘ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spółki'!$H$3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spółki'!$I$3:$M$3</c:f>
              <c:numCache>
                <c:formatCode>0.00</c:formatCode>
                <c:ptCount val="5"/>
                <c:pt idx="0">
                  <c:v>14.990001498659469</c:v>
                </c:pt>
                <c:pt idx="1">
                  <c:v>5.5326732804143131</c:v>
                </c:pt>
                <c:pt idx="2">
                  <c:v>-13.094106990931287</c:v>
                </c:pt>
                <c:pt idx="3">
                  <c:v>8.1133383111494375</c:v>
                </c:pt>
                <c:pt idx="4">
                  <c:v>64.676746238931969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657-A441-4A63F2950B2C}"/>
            </c:ext>
          </c:extLst>
        </c:ser>
        <c:ser>
          <c:idx val="1"/>
          <c:order val="1"/>
          <c:tx>
            <c:strRef>
              <c:f>'Pozycja rynkowa spółki'!$H$4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spółki'!$I$4:$M$4</c:f>
              <c:numCache>
                <c:formatCode>0.00</c:formatCode>
                <c:ptCount val="5"/>
                <c:pt idx="0">
                  <c:v>1.5815443180211204</c:v>
                </c:pt>
                <c:pt idx="1">
                  <c:v>9.0771365210199804</c:v>
                </c:pt>
                <c:pt idx="2">
                  <c:v>2.1450837738680333</c:v>
                </c:pt>
                <c:pt idx="3">
                  <c:v>8.4750242476610076</c:v>
                </c:pt>
                <c:pt idx="4">
                  <c:v>5.1637007443201375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D-4657-A441-4A63F2950B2C}"/>
            </c:ext>
          </c:extLst>
        </c:ser>
        <c:ser>
          <c:idx val="3"/>
          <c:order val="2"/>
          <c:tx>
            <c:strRef>
              <c:f>'Pozycja rynkowa spółki'!$H$5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spółki'!$I$5:$M$5</c:f>
              <c:numCache>
                <c:formatCode>0.00</c:formatCode>
                <c:ptCount val="5"/>
                <c:pt idx="0">
                  <c:v>10.954082631934201</c:v>
                </c:pt>
                <c:pt idx="1">
                  <c:v>-49.752469843424898</c:v>
                </c:pt>
                <c:pt idx="2">
                  <c:v>-26.524240161739002</c:v>
                </c:pt>
                <c:pt idx="3">
                  <c:v>15.7166721261283</c:v>
                </c:pt>
                <c:pt idx="4">
                  <c:v>52.336075717285198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D-4657-A441-4A63F2950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1399279"/>
        <c:axId val="1771414255"/>
      </c:barChart>
      <c:catAx>
        <c:axId val="177139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414255"/>
        <c:crosses val="autoZero"/>
        <c:auto val="1"/>
        <c:lblAlgn val="ctr"/>
        <c:lblOffset val="100"/>
        <c:noMultiLvlLbl val="0"/>
      </c:catAx>
      <c:valAx>
        <c:axId val="17714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3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KAPITALIZACJA RYNKOWA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spółki'!$A$25</c:f>
              <c:strCache>
                <c:ptCount val="1"/>
                <c:pt idx="0">
                  <c:v>Spółka XX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01879079561702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AC-4D0D-A7B5-C06C80C0FFD5}"/>
                </c:ext>
              </c:extLst>
            </c:dLbl>
            <c:dLbl>
              <c:idx val="2"/>
              <c:layout>
                <c:manualLayout>
                  <c:x val="0"/>
                  <c:y val="-5.1148246489671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AC-4D0D-A7B5-C06C80C0FFD5}"/>
                </c:ext>
              </c:extLst>
            </c:dLbl>
            <c:dLbl>
              <c:idx val="3"/>
              <c:layout>
                <c:manualLayout>
                  <c:x val="0"/>
                  <c:y val="-6.2108585023172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AC-4D0D-A7B5-C06C80C0FFD5}"/>
                </c:ext>
              </c:extLst>
            </c:dLbl>
            <c:dLbl>
              <c:idx val="4"/>
              <c:layout>
                <c:manualLayout>
                  <c:x val="0"/>
                  <c:y val="-7.30689235566731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AC-4D0D-A7B5-C06C80C0F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spółki'!$B$24:$F$24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spółki'!$B$25:$F$25</c:f>
              <c:numCache>
                <c:formatCode>0</c:formatCode>
                <c:ptCount val="5"/>
                <c:pt idx="0">
                  <c:v>7897103946.960001</c:v>
                </c:pt>
                <c:pt idx="1">
                  <c:v>2510259922.48</c:v>
                </c:pt>
                <c:pt idx="2">
                  <c:v>3046830916.1999998</c:v>
                </c:pt>
                <c:pt idx="3">
                  <c:v>4094142352.5199995</c:v>
                </c:pt>
                <c:pt idx="4">
                  <c:v>6828658423.3599997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381-BA0C-A9CC37F25158}"/>
            </c:ext>
          </c:extLst>
        </c:ser>
        <c:ser>
          <c:idx val="1"/>
          <c:order val="1"/>
          <c:tx>
            <c:strRef>
              <c:f>'Pozycja rynkowa spółki'!$A$26</c:f>
              <c:strCache>
                <c:ptCount val="1"/>
                <c:pt idx="0">
                  <c:v>Konkurent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spółki'!$B$24:$F$24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spółki'!$B$26:$F$26</c:f>
              <c:numCache>
                <c:formatCode>0</c:formatCode>
                <c:ptCount val="5"/>
                <c:pt idx="0">
                  <c:v>1744897167</c:v>
                </c:pt>
                <c:pt idx="1">
                  <c:v>1185373611.5</c:v>
                </c:pt>
                <c:pt idx="2">
                  <c:v>653060928</c:v>
                </c:pt>
                <c:pt idx="3">
                  <c:v>1088434880</c:v>
                </c:pt>
                <c:pt idx="4">
                  <c:v>1697958412.8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381-BA0C-A9CC37F25158}"/>
            </c:ext>
          </c:extLst>
        </c:ser>
        <c:ser>
          <c:idx val="3"/>
          <c:order val="2"/>
          <c:tx>
            <c:strRef>
              <c:f>'Pozycja rynkowa spółki'!$A$27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spółki'!$B$24:$F$24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spółki'!$B$27:$F$27</c:f>
              <c:numCache>
                <c:formatCode>0</c:formatCode>
                <c:ptCount val="5"/>
                <c:pt idx="0">
                  <c:v>8976485026.0799999</c:v>
                </c:pt>
                <c:pt idx="1">
                  <c:v>4257319104.3900003</c:v>
                </c:pt>
                <c:pt idx="2">
                  <c:v>3418423573.9499998</c:v>
                </c:pt>
                <c:pt idx="3">
                  <c:v>5062901093.9100008</c:v>
                </c:pt>
                <c:pt idx="4">
                  <c:v>8183017051.4399996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381-BA0C-A9CC37F25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9702047"/>
        <c:axId val="1739707455"/>
      </c:barChart>
      <c:catAx>
        <c:axId val="17397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707455"/>
        <c:crosses val="autoZero"/>
        <c:auto val="1"/>
        <c:lblAlgn val="ctr"/>
        <c:lblOffset val="100"/>
        <c:noMultiLvlLbl val="0"/>
      </c:catAx>
      <c:valAx>
        <c:axId val="17397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7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CENA DO ZYSKU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spółki'!$H$25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spółki'!$I$24:$M$24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spółki'!$I$25:$M$25</c:f>
              <c:numCache>
                <c:formatCode>0.00</c:formatCode>
                <c:ptCount val="5"/>
                <c:pt idx="0">
                  <c:v>4.4869908789545452</c:v>
                </c:pt>
                <c:pt idx="1">
                  <c:v>3.8643163831280782</c:v>
                </c:pt>
                <c:pt idx="2">
                  <c:v>-1.9818075427344868</c:v>
                </c:pt>
                <c:pt idx="3">
                  <c:v>4.2978609621247106</c:v>
                </c:pt>
                <c:pt idx="4">
                  <c:v>0.89924127885380178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C-43E9-B15D-CDDA4AF57C25}"/>
            </c:ext>
          </c:extLst>
        </c:ser>
        <c:ser>
          <c:idx val="1"/>
          <c:order val="1"/>
          <c:tx>
            <c:strRef>
              <c:f>'Pozycja rynkowa spółki'!$H$26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4.1149053370061506E-17"/>
                  <c:y val="-5.935328289083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82-499E-86AC-519D55B33D5C}"/>
                </c:ext>
              </c:extLst>
            </c:dLbl>
            <c:dLbl>
              <c:idx val="3"/>
              <c:layout>
                <c:manualLayout>
                  <c:x val="-8.2298106740123012E-17"/>
                  <c:y val="-2.967664144541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82-499E-86AC-519D55B33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spółki'!$I$24:$M$24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spółki'!$I$26:$M$26</c:f>
              <c:numCache>
                <c:formatCode>0.00</c:formatCode>
                <c:ptCount val="5"/>
                <c:pt idx="0">
                  <c:v>32.436650314161426</c:v>
                </c:pt>
                <c:pt idx="1">
                  <c:v>3.8393164980275052</c:v>
                </c:pt>
                <c:pt idx="2">
                  <c:v>8.9506993777582853</c:v>
                </c:pt>
                <c:pt idx="3">
                  <c:v>3.7758004065689335</c:v>
                </c:pt>
                <c:pt idx="4">
                  <c:v>9.6674850987269139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C-43E9-B15D-CDDA4AF57C25}"/>
            </c:ext>
          </c:extLst>
        </c:ser>
        <c:ser>
          <c:idx val="3"/>
          <c:order val="2"/>
          <c:tx>
            <c:strRef>
              <c:f>'Pozycja rynkowa spółki'!$H$27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8.2298106740123012E-17"/>
                  <c:y val="-3.7095801806770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82-499E-86AC-519D55B33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spółki'!$I$24:$M$24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spółki'!$I$27:$M$27</c:f>
              <c:numCache>
                <c:formatCode>0.00</c:formatCode>
                <c:ptCount val="5"/>
                <c:pt idx="0">
                  <c:v>5.4116812661245666</c:v>
                </c:pt>
                <c:pt idx="1">
                  <c:v>-0.56509063144390292</c:v>
                </c:pt>
                <c:pt idx="2">
                  <c:v>-0.85110812438770977</c:v>
                </c:pt>
                <c:pt idx="3">
                  <c:v>2.1273596893396238</c:v>
                </c:pt>
                <c:pt idx="4">
                  <c:v>1.0325594130378821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C-43E9-B15D-CDDA4AF57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1425071"/>
        <c:axId val="1771400943"/>
      </c:barChart>
      <c:catAx>
        <c:axId val="17714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400943"/>
        <c:crosses val="autoZero"/>
        <c:auto val="1"/>
        <c:lblAlgn val="ctr"/>
        <c:lblOffset val="100"/>
        <c:noMultiLvlLbl val="0"/>
      </c:catAx>
      <c:valAx>
        <c:axId val="17714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4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DYWIDENDA PRZYPADAJĄCA NA JEDNĄ AKCJĘ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spółki'!$O$3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9051347448294249E-3"/>
                  <c:y val="6.87252406895443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9-AC4D-88DF-C59A102E8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spółki'!$P$2:$T$2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spółki'!$P$3:$T$3</c:f>
              <c:numCache>
                <c:formatCode>0.00</c:formatCode>
                <c:ptCount val="5"/>
                <c:pt idx="0">
                  <c:v>0</c:v>
                </c:pt>
                <c:pt idx="1">
                  <c:v>-1.7102228982561485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A-44AB-8762-46A1EF7073B7}"/>
            </c:ext>
          </c:extLst>
        </c:ser>
        <c:ser>
          <c:idx val="1"/>
          <c:order val="1"/>
          <c:tx>
            <c:strRef>
              <c:f>'Pozycja rynkowa spółki'!$O$4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6.87252406895443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09-AC4D-88DF-C59A102E891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2E-47C4-A59E-A435C925C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spółki'!$P$2:$T$2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spółki'!$P$4:$T$4</c:f>
              <c:numCache>
                <c:formatCode>0.00</c:formatCode>
                <c:ptCount val="5"/>
                <c:pt idx="0">
                  <c:v>0</c:v>
                </c:pt>
                <c:pt idx="1">
                  <c:v>-0.74999434049743063</c:v>
                </c:pt>
                <c:pt idx="2">
                  <c:v>0</c:v>
                </c:pt>
                <c:pt idx="3">
                  <c:v>-2.528401147894121E-6</c:v>
                </c:pt>
                <c:pt idx="4">
                  <c:v>-2.5000007350003337E-3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A-44AB-8762-46A1EF7073B7}"/>
            </c:ext>
          </c:extLst>
        </c:ser>
        <c:ser>
          <c:idx val="3"/>
          <c:order val="2"/>
          <c:tx>
            <c:strRef>
              <c:f>'Pozycja rynkowa spółki'!$O$5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spółki'!$P$2:$T$2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spółki'!$P$5:$T$5</c:f>
              <c:numCache>
                <c:formatCode>0.00</c:formatCode>
                <c:ptCount val="5"/>
                <c:pt idx="0">
                  <c:v>186.474375537501</c:v>
                </c:pt>
                <c:pt idx="1">
                  <c:v>-10.123031976992255</c:v>
                </c:pt>
                <c:pt idx="2">
                  <c:v>-4.82816643196991</c:v>
                </c:pt>
                <c:pt idx="3">
                  <c:v>-3.6301887058603315</c:v>
                </c:pt>
                <c:pt idx="4">
                  <c:v>-43.735478720164821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A-44AB-8762-46A1EF7073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9652959"/>
        <c:axId val="1739648799"/>
      </c:barChart>
      <c:catAx>
        <c:axId val="17396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48799"/>
        <c:crosses val="autoZero"/>
        <c:auto val="1"/>
        <c:lblAlgn val="ctr"/>
        <c:lblOffset val="100"/>
        <c:noMultiLvlLbl val="0"/>
      </c:catAx>
      <c:valAx>
        <c:axId val="17396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5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STOPA WYPŁATY DYWIDENDY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spółki'!$V$3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03037023014306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42-465B-85B3-B453F87D81BF}"/>
                </c:ext>
              </c:extLst>
            </c:dLbl>
            <c:dLbl>
              <c:idx val="1"/>
              <c:layout>
                <c:manualLayout>
                  <c:x val="-3.9555965199727022E-17"/>
                  <c:y val="-0.137382697352408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42-465B-85B3-B453F87D81BF}"/>
                </c:ext>
              </c:extLst>
            </c:dLbl>
            <c:dLbl>
              <c:idx val="2"/>
              <c:layout>
                <c:manualLayout>
                  <c:x val="0"/>
                  <c:y val="-9.87438137220434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42-465B-85B3-B453F87D81BF}"/>
                </c:ext>
              </c:extLst>
            </c:dLbl>
            <c:dLbl>
              <c:idx val="4"/>
              <c:layout>
                <c:manualLayout>
                  <c:x val="0"/>
                  <c:y val="-5.15185115071530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42-465B-85B3-B453F87D8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spółki'!$W$2:$AA$2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spółki'!$W$3:$AA$3</c:f>
              <c:numCache>
                <c:formatCode>0.00</c:formatCode>
                <c:ptCount val="5"/>
                <c:pt idx="0">
                  <c:v>0</c:v>
                </c:pt>
                <c:pt idx="1">
                  <c:v>-0.30911330049261082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B-450E-8E76-ECFE721C1659}"/>
            </c:ext>
          </c:extLst>
        </c:ser>
        <c:ser>
          <c:idx val="1"/>
          <c:order val="1"/>
          <c:tx>
            <c:strRef>
              <c:f>'Pozycja rynkowa spółki'!$V$4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2932092922627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42-465B-85B3-B453F87D81BF}"/>
                </c:ext>
              </c:extLst>
            </c:dLbl>
            <c:dLbl>
              <c:idx val="1"/>
              <c:layout>
                <c:manualLayout>
                  <c:x val="-3.9555965199727022E-17"/>
                  <c:y val="-6.8691348676204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42-465B-85B3-B453F87D81BF}"/>
                </c:ext>
              </c:extLst>
            </c:dLbl>
            <c:dLbl>
              <c:idx val="3"/>
              <c:layout>
                <c:manualLayout>
                  <c:x val="0"/>
                  <c:y val="-5.15185115071530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42-465B-85B3-B453F87D81B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42-465B-85B3-B453F87D8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spółki'!$W$2:$AA$2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spółki'!$W$4:$AA$4</c:f>
              <c:numCache>
                <c:formatCode>0.00</c:formatCode>
                <c:ptCount val="5"/>
                <c:pt idx="0">
                  <c:v>0</c:v>
                </c:pt>
                <c:pt idx="1">
                  <c:v>-8.2624552220919467E-2</c:v>
                </c:pt>
                <c:pt idx="2">
                  <c:v>0</c:v>
                </c:pt>
                <c:pt idx="3">
                  <c:v>-2.9833556506837437E-7</c:v>
                </c:pt>
                <c:pt idx="4">
                  <c:v>-4.8414903550524953E-4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B-450E-8E76-ECFE721C1659}"/>
            </c:ext>
          </c:extLst>
        </c:ser>
        <c:ser>
          <c:idx val="3"/>
          <c:order val="2"/>
          <c:tx>
            <c:strRef>
              <c:f>'Pozycja rynkowa spółki'!$V$5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3.00524650458393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42-465B-85B3-B453F87D81BF}"/>
                </c:ext>
              </c:extLst>
            </c:dLbl>
            <c:dLbl>
              <c:idx val="2"/>
              <c:layout>
                <c:manualLayout>
                  <c:x val="0"/>
                  <c:y val="8.58641858452559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42-465B-85B3-B453F87D81BF}"/>
                </c:ext>
              </c:extLst>
            </c:dLbl>
            <c:dLbl>
              <c:idx val="3"/>
              <c:layout>
                <c:manualLayout>
                  <c:x val="0"/>
                  <c:y val="-5.58117207994160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42-465B-85B3-B453F87D8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spółki'!$W$2:$AA$2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spółki'!$W$5:$AA$5</c:f>
              <c:numCache>
                <c:formatCode>0.00</c:formatCode>
                <c:ptCount val="5"/>
                <c:pt idx="0">
                  <c:v>0.17023277407364601</c:v>
                </c:pt>
                <c:pt idx="1">
                  <c:v>0.20346542884600299</c:v>
                </c:pt>
                <c:pt idx="2">
                  <c:v>0.1820284241924966</c:v>
                </c:pt>
                <c:pt idx="3">
                  <c:v>-0.23097703357389696</c:v>
                </c:pt>
                <c:pt idx="4">
                  <c:v>-0.83566765796121711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B-450E-8E76-ECFE721C1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1405519"/>
        <c:axId val="1771420911"/>
      </c:barChart>
      <c:catAx>
        <c:axId val="17714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420911"/>
        <c:crosses val="autoZero"/>
        <c:auto val="1"/>
        <c:lblAlgn val="ctr"/>
        <c:lblOffset val="100"/>
        <c:noMultiLvlLbl val="0"/>
      </c:catAx>
      <c:valAx>
        <c:axId val="17714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4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 RYNKOWA  DO WARTOŚCI KSIĘGOWEJ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spółki'!$O$25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spółki'!$P$24:$T$24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spółki'!$P$25:$T$25</c:f>
              <c:numCache>
                <c:formatCode>0.000</c:formatCode>
                <c:ptCount val="5"/>
                <c:pt idx="0">
                  <c:v>1.0141584113629167</c:v>
                </c:pt>
                <c:pt idx="1">
                  <c:v>0.31869065541759206</c:v>
                </c:pt>
                <c:pt idx="2">
                  <c:v>0.48025317392752709</c:v>
                </c:pt>
                <c:pt idx="3">
                  <c:v>0.61175438596491227</c:v>
                </c:pt>
                <c:pt idx="4">
                  <c:v>0.48990456295223089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D-4DA0-9302-972AF2598FE6}"/>
            </c:ext>
          </c:extLst>
        </c:ser>
        <c:ser>
          <c:idx val="1"/>
          <c:order val="1"/>
          <c:tx>
            <c:strRef>
              <c:f>'Pozycja rynkowa spółki'!$O$26</c:f>
              <c:strCache>
                <c:ptCount val="1"/>
                <c:pt idx="0">
                  <c:v>Bogdanka S.A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spółki'!$P$24:$T$24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spółki'!$P$26:$T$26</c:f>
              <c:numCache>
                <c:formatCode>0.000</c:formatCode>
                <c:ptCount val="5"/>
                <c:pt idx="0">
                  <c:v>0.59351644028970074</c:v>
                </c:pt>
                <c:pt idx="1">
                  <c:v>0.36834261676513802</c:v>
                </c:pt>
                <c:pt idx="2">
                  <c:v>0.19853579848616454</c:v>
                </c:pt>
                <c:pt idx="3">
                  <c:v>0.30172738930376408</c:v>
                </c:pt>
                <c:pt idx="4">
                  <c:v>0.45926675560053365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D-4DA0-9302-972AF2598FE6}"/>
            </c:ext>
          </c:extLst>
        </c:ser>
        <c:ser>
          <c:idx val="3"/>
          <c:order val="2"/>
          <c:tx>
            <c:strRef>
              <c:f>'Pozycja rynkowa spółki'!$O$27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spółki'!$P$24:$T$24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spółki'!$P$27:$T$27</c:f>
              <c:numCache>
                <c:formatCode>0.000</c:formatCode>
                <c:ptCount val="5"/>
                <c:pt idx="0">
                  <c:v>0.29245268258482016</c:v>
                </c:pt>
                <c:pt idx="1">
                  <c:v>0.19686436670562349</c:v>
                </c:pt>
                <c:pt idx="2">
                  <c:v>0.20251196120676249</c:v>
                </c:pt>
                <c:pt idx="3">
                  <c:v>0.2705936503427756</c:v>
                </c:pt>
                <c:pt idx="4">
                  <c:v>0.40893810252416174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D-4DA0-9302-972AF2598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39697471"/>
        <c:axId val="1739672095"/>
      </c:barChart>
      <c:catAx>
        <c:axId val="17396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72095"/>
        <c:crosses val="autoZero"/>
        <c:auto val="1"/>
        <c:lblAlgn val="ctr"/>
        <c:lblOffset val="100"/>
        <c:noMultiLvlLbl val="0"/>
      </c:catAx>
      <c:valAx>
        <c:axId val="17396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6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STOPY DYWIDENDY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'Pozycja rynkowa spółki'!$V$25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spółki'!$W$24:$AA$24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spółki'!$W$25:$AA$25</c:f>
              <c:numCache>
                <c:formatCode>0.00</c:formatCode>
                <c:ptCount val="5"/>
                <c:pt idx="0">
                  <c:v>0</c:v>
                </c:pt>
                <c:pt idx="1">
                  <c:v>-7.9991716475965785E-2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5D2-AFBA-8BCC6A07FCF7}"/>
            </c:ext>
          </c:extLst>
        </c:ser>
        <c:ser>
          <c:idx val="1"/>
          <c:order val="1"/>
          <c:tx>
            <c:strRef>
              <c:f>'Pozycja rynkowa spółki'!$V$26</c:f>
              <c:strCache>
                <c:ptCount val="1"/>
                <c:pt idx="0">
                  <c:v>Bogdanka S.A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2.80609652088221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B3-430B-A5DE-E35E71954CA2}"/>
                </c:ext>
              </c:extLst>
            </c:dLbl>
            <c:dLbl>
              <c:idx val="2"/>
              <c:layout>
                <c:manualLayout>
                  <c:x val="0"/>
                  <c:y val="-8.0675274975363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B3-430B-A5DE-E35E71954CA2}"/>
                </c:ext>
              </c:extLst>
            </c:dLbl>
            <c:dLbl>
              <c:idx val="3"/>
              <c:layout>
                <c:manualLayout>
                  <c:x val="-7.8760325328621963E-17"/>
                  <c:y val="-3.85838271621305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B3-430B-A5DE-E35E71954C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B3-430B-A5DE-E35E71954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spółki'!$W$24:$AA$24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spółki'!$W$26:$AA$26</c:f>
              <c:numCache>
                <c:formatCode>0.00</c:formatCode>
                <c:ptCount val="5"/>
                <c:pt idx="0">
                  <c:v>0</c:v>
                </c:pt>
                <c:pt idx="1">
                  <c:v>-2.1520641047272041E-2</c:v>
                </c:pt>
                <c:pt idx="2">
                  <c:v>0</c:v>
                </c:pt>
                <c:pt idx="3">
                  <c:v>-7.9012535871691282E-8</c:v>
                </c:pt>
                <c:pt idx="4">
                  <c:v>-5.0080142928692578E-5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45D2-AFBA-8BCC6A07FCF7}"/>
            </c:ext>
          </c:extLst>
        </c:ser>
        <c:ser>
          <c:idx val="3"/>
          <c:order val="2"/>
          <c:tx>
            <c:strRef>
              <c:f>'Pozycja rynkowa spółki'!$V$27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2.80609652088221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B3-430B-A5DE-E35E71954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'Pozycja rynkowa spółki'!$W$24:$AA$24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'Pozycja rynkowa spółki'!$W$27:$AA$27</c:f>
              <c:numCache>
                <c:formatCode>0.00</c:formatCode>
                <c:ptCount val="5"/>
                <c:pt idx="0">
                  <c:v>0.31456541082574457</c:v>
                </c:pt>
                <c:pt idx="1">
                  <c:v>-0.36005804648736456</c:v>
                </c:pt>
                <c:pt idx="2">
                  <c:v>-0.21387226719689525</c:v>
                </c:pt>
                <c:pt idx="3">
                  <c:v>-0.10857450892359298</c:v>
                </c:pt>
                <c:pt idx="4">
                  <c:v>-0.80931677868550744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3-45D2-AFBA-8BCC6A07F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8847135"/>
        <c:axId val="1658865439"/>
      </c:barChart>
      <c:catAx>
        <c:axId val="16588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865439"/>
        <c:crosses val="autoZero"/>
        <c:auto val="1"/>
        <c:lblAlgn val="ctr"/>
        <c:lblOffset val="100"/>
        <c:noMultiLvlLbl val="0"/>
      </c:catAx>
      <c:valAx>
        <c:axId val="16588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847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WSKAŹNIK ROTACJI NALEŻNOŚCI W DNIACH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płynności'!$A$6</c:f>
              <c:strCache>
                <c:ptCount val="1"/>
                <c:pt idx="0">
                  <c:v>Spółka 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płynności'!$B$6:$F$6</c:f>
              <c:numCache>
                <c:formatCode>0.00</c:formatCode>
                <c:ptCount val="5"/>
                <c:pt idx="0">
                  <c:v>42.643490671831991</c:v>
                </c:pt>
                <c:pt idx="1">
                  <c:v>36.454542309555109</c:v>
                </c:pt>
                <c:pt idx="2">
                  <c:v>47.40692041522491</c:v>
                </c:pt>
                <c:pt idx="3">
                  <c:v>62.5943871070928</c:v>
                </c:pt>
                <c:pt idx="4">
                  <c:v>35.192588558556331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D-416B-BF67-65631AF8A630}"/>
            </c:ext>
          </c:extLst>
        </c:ser>
        <c:ser>
          <c:idx val="1"/>
          <c:order val="1"/>
          <c:tx>
            <c:strRef>
              <c:f>'Dynamiczna analiza płynności'!$A$7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płynności'!$B$7:$F$7</c:f>
              <c:numCache>
                <c:formatCode>0.00</c:formatCode>
                <c:ptCount val="5"/>
                <c:pt idx="0">
                  <c:v>44.732198004065644</c:v>
                </c:pt>
                <c:pt idx="1">
                  <c:v>43.250719114901287</c:v>
                </c:pt>
                <c:pt idx="2">
                  <c:v>55.95800038636483</c:v>
                </c:pt>
                <c:pt idx="3">
                  <c:v>50.133010441618026</c:v>
                </c:pt>
                <c:pt idx="4">
                  <c:v>30.319661950920072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D-416B-BF67-65631AF8A630}"/>
            </c:ext>
          </c:extLst>
        </c:ser>
        <c:ser>
          <c:idx val="2"/>
          <c:order val="2"/>
          <c:tx>
            <c:strRef>
              <c:f>'Dynamiczna analiza płynności'!#REF!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D-416B-BF67-65631AF8A630}"/>
            </c:ext>
          </c:extLst>
        </c:ser>
        <c:ser>
          <c:idx val="3"/>
          <c:order val="3"/>
          <c:tx>
            <c:strRef>
              <c:f>'Dynamiczna analiza płynności'!$A$8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płynności'!$B$5:$F$5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płynności'!$B$8:$F$8</c:f>
              <c:numCache>
                <c:formatCode>0.00</c:formatCode>
                <c:ptCount val="5"/>
                <c:pt idx="0">
                  <c:v>31.51</c:v>
                </c:pt>
                <c:pt idx="1">
                  <c:v>22.25</c:v>
                </c:pt>
                <c:pt idx="2">
                  <c:v>19.72</c:v>
                </c:pt>
                <c:pt idx="3">
                  <c:v>92.51</c:v>
                </c:pt>
                <c:pt idx="4">
                  <c:v>30.84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D-416B-BF67-65631AF8A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8036031"/>
        <c:axId val="288043103"/>
      </c:barChart>
      <c:catAx>
        <c:axId val="288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43103"/>
        <c:crosses val="autoZero"/>
        <c:auto val="1"/>
        <c:lblAlgn val="ctr"/>
        <c:lblOffset val="100"/>
        <c:noMultiLvlLbl val="0"/>
      </c:catAx>
      <c:valAx>
        <c:axId val="2880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'Analiza dyskryminacyjna'!#REF!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32-4B94-B83E-E7B51927207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32-4B94-B83E-E7B519272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'Analiza dyskryminacyjna'!#REF!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932-4B94-B83E-E7B51927207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'Analiza dyskryminacyjna'!#REF!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932-4B94-B83E-E7B51927207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9.7222222222222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32-4B94-B83E-E7B5192720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'Analiza dyskryminacyjna'!#REF!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'Analiza dyskryminacyjna'!#REF!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932-4B94-B83E-E7B519272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1770496"/>
        <c:axId val="137861520"/>
      </c:barChart>
      <c:catAx>
        <c:axId val="2121770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861520"/>
        <c:crosses val="autoZero"/>
        <c:auto val="1"/>
        <c:lblAlgn val="ctr"/>
        <c:lblOffset val="100"/>
        <c:noMultiLvlLbl val="0"/>
      </c:catAx>
      <c:valAx>
        <c:axId val="1378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7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MĄCZYŃSKIEJ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dyskryminacyjna'!$A$28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dyskryminacyjna'!$B$28:$F$28</c:f>
              <c:numCache>
                <c:formatCode>0.000</c:formatCode>
                <c:ptCount val="5"/>
                <c:pt idx="0">
                  <c:v>3.7037406109211863</c:v>
                </c:pt>
                <c:pt idx="1">
                  <c:v>1.6270921823843432</c:v>
                </c:pt>
                <c:pt idx="2">
                  <c:v>-2.5912804798832467</c:v>
                </c:pt>
                <c:pt idx="3">
                  <c:v>1.8646996471828354</c:v>
                </c:pt>
                <c:pt idx="4">
                  <c:v>7.3364769659374831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A-470E-A8DC-F62C2E6BAA9F}"/>
            </c:ext>
          </c:extLst>
        </c:ser>
        <c:ser>
          <c:idx val="1"/>
          <c:order val="1"/>
          <c:tx>
            <c:strRef>
              <c:f>'Analiza dyskryminacyjna'!$A$29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296296296296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8A-470E-A8DC-F62C2E6BAA9F}"/>
                </c:ext>
              </c:extLst>
            </c:dLbl>
            <c:dLbl>
              <c:idx val="1"/>
              <c:layout>
                <c:manualLayout>
                  <c:x val="2.7777777777777779E-3"/>
                  <c:y val="-8.79629629629629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8A-470E-A8DC-F62C2E6BAA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dyskryminacyjna'!$B$29:$F$29</c:f>
              <c:numCache>
                <c:formatCode>0.000</c:formatCode>
                <c:ptCount val="5"/>
                <c:pt idx="0">
                  <c:v>0.81221661203683171</c:v>
                </c:pt>
                <c:pt idx="1">
                  <c:v>2.7038425211249497</c:v>
                </c:pt>
                <c:pt idx="2">
                  <c:v>0.48246816950053456</c:v>
                </c:pt>
                <c:pt idx="3">
                  <c:v>1.8598235353975612</c:v>
                </c:pt>
                <c:pt idx="4">
                  <c:v>1.0046725913234678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A-470E-A8DC-F62C2E6BAA9F}"/>
            </c:ext>
          </c:extLst>
        </c:ser>
        <c:ser>
          <c:idx val="3"/>
          <c:order val="2"/>
          <c:tx>
            <c:strRef>
              <c:f>'Analiza dyskryminacyjna'!$A$30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dyskryminacyjna'!$B$27:$F$27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dyskryminacyjna'!$B$30:$F$30</c:f>
              <c:numCache>
                <c:formatCode>0.000</c:formatCode>
                <c:ptCount val="5"/>
                <c:pt idx="0">
                  <c:v>1.3609815044706652</c:v>
                </c:pt>
                <c:pt idx="1">
                  <c:v>-2.8765823817646119</c:v>
                </c:pt>
                <c:pt idx="2">
                  <c:v>-0.98183373008231067</c:v>
                </c:pt>
                <c:pt idx="3">
                  <c:v>1.0764597307062098</c:v>
                </c:pt>
                <c:pt idx="4">
                  <c:v>6.5449666119224608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A-470E-A8DC-F62C2E6BA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3007120"/>
        <c:axId val="412985904"/>
      </c:barChart>
      <c:catAx>
        <c:axId val="4130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85904"/>
        <c:crosses val="autoZero"/>
        <c:auto val="1"/>
        <c:lblAlgn val="ctr"/>
        <c:lblOffset val="100"/>
        <c:noMultiLvlLbl val="0"/>
      </c:catAx>
      <c:valAx>
        <c:axId val="4129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0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"POZNAŃSKI"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dyskryminacyjna'!$A$49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5.5555555555555558E-3"/>
                  <c:y val="-8.3333333333333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D6-4875-8B1B-65B50337B70A}"/>
                </c:ext>
              </c:extLst>
            </c:dLbl>
            <c:dLbl>
              <c:idx val="3"/>
              <c:layout>
                <c:manualLayout>
                  <c:x val="0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A4-4094-BBB2-AA55B19CD162}"/>
                </c:ext>
              </c:extLst>
            </c:dLbl>
            <c:dLbl>
              <c:idx val="4"/>
              <c:layout>
                <c:manualLayout>
                  <c:x val="-1.0185067526415994E-16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A4-4094-BBB2-AA55B19CD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dyskryminacyjna'!$B$48:$F$48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dyskryminacyjna'!$B$49:$F$49</c:f>
              <c:numCache>
                <c:formatCode>0.00</c:formatCode>
                <c:ptCount val="5"/>
                <c:pt idx="0">
                  <c:v>4.4411100177540579</c:v>
                </c:pt>
                <c:pt idx="1">
                  <c:v>3.3274514376969901</c:v>
                </c:pt>
                <c:pt idx="2">
                  <c:v>1.2597524228071686</c:v>
                </c:pt>
                <c:pt idx="3">
                  <c:v>4.075337334993149</c:v>
                </c:pt>
                <c:pt idx="4">
                  <c:v>6.6437091316795076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4-4094-BBB2-AA55B19CD162}"/>
            </c:ext>
          </c:extLst>
        </c:ser>
        <c:ser>
          <c:idx val="1"/>
          <c:order val="1"/>
          <c:tx>
            <c:strRef>
              <c:f>'Analiza dyskryminacyjna'!$A$50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dyskryminacyjna'!$B$48:$F$48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dyskryminacyjna'!$B$50:$F$50</c:f>
              <c:numCache>
                <c:formatCode>0.00</c:formatCode>
                <c:ptCount val="5"/>
                <c:pt idx="0">
                  <c:v>3.5145978845163701</c:v>
                </c:pt>
                <c:pt idx="1">
                  <c:v>6.1041704154518666</c:v>
                </c:pt>
                <c:pt idx="2">
                  <c:v>4.8354352077474072</c:v>
                </c:pt>
                <c:pt idx="3">
                  <c:v>6.0591705597710757</c:v>
                </c:pt>
                <c:pt idx="4">
                  <c:v>5.3938727251157328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4-4094-BBB2-AA55B19CD162}"/>
            </c:ext>
          </c:extLst>
        </c:ser>
        <c:ser>
          <c:idx val="3"/>
          <c:order val="2"/>
          <c:tx>
            <c:strRef>
              <c:f>'Analiza dyskryminacyjna'!$A$51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3333333333333592E-3"/>
                  <c:y val="-7.8703703703703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A4-4094-BBB2-AA55B19CD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dyskryminacyjna'!$B$48:$F$48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dyskryminacyjna'!$B$51:$F$51</c:f>
              <c:numCache>
                <c:formatCode>0.000</c:formatCode>
                <c:ptCount val="5"/>
                <c:pt idx="0">
                  <c:v>3.6778406077941086</c:v>
                </c:pt>
                <c:pt idx="1">
                  <c:v>0.56924816520036448</c:v>
                </c:pt>
                <c:pt idx="2">
                  <c:v>1.1315232017423464</c:v>
                </c:pt>
                <c:pt idx="3">
                  <c:v>1.49277699851408</c:v>
                </c:pt>
                <c:pt idx="4">
                  <c:v>6.2918026038128527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4-4094-BBB2-AA55B19CD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3005872"/>
        <c:axId val="412993392"/>
      </c:barChart>
      <c:catAx>
        <c:axId val="4130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93392"/>
        <c:crosses val="autoZero"/>
        <c:auto val="1"/>
        <c:lblAlgn val="ctr"/>
        <c:lblOffset val="100"/>
        <c:noMultiLvlLbl val="0"/>
      </c:catAx>
      <c:valAx>
        <c:axId val="412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0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WIERZBY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dyskryminacyjna'!$A$70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dyskryminacyjna'!$B$69:$F$69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dyskryminacyjna'!$B$70:$F$70</c:f>
              <c:numCache>
                <c:formatCode>0.000</c:formatCode>
                <c:ptCount val="5"/>
                <c:pt idx="0">
                  <c:v>1.217374486520336</c:v>
                </c:pt>
                <c:pt idx="1">
                  <c:v>0.58321125632502768</c:v>
                </c:pt>
                <c:pt idx="2">
                  <c:v>-0.81739095391369543</c:v>
                </c:pt>
                <c:pt idx="3">
                  <c:v>0.66853492952321958</c:v>
                </c:pt>
                <c:pt idx="4">
                  <c:v>2.3439398809470804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A-4714-A020-BF2C50E87E7C}"/>
            </c:ext>
          </c:extLst>
        </c:ser>
        <c:ser>
          <c:idx val="1"/>
          <c:order val="1"/>
          <c:tx>
            <c:strRef>
              <c:f>'Analiza dyskryminacyjna'!$A$71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dyskryminacyjna'!$B$69:$F$69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dyskryminacyjna'!$B$71:$F$71</c:f>
              <c:numCache>
                <c:formatCode>0.000</c:formatCode>
                <c:ptCount val="5"/>
                <c:pt idx="0">
                  <c:v>0.274924016355797</c:v>
                </c:pt>
                <c:pt idx="1">
                  <c:v>0.94063175936584831</c:v>
                </c:pt>
                <c:pt idx="2">
                  <c:v>1.098009848104887</c:v>
                </c:pt>
                <c:pt idx="3">
                  <c:v>1.6309415149438209</c:v>
                </c:pt>
                <c:pt idx="4">
                  <c:v>1.2559909940738394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A-4714-A020-BF2C50E87E7C}"/>
            </c:ext>
          </c:extLst>
        </c:ser>
        <c:ser>
          <c:idx val="3"/>
          <c:order val="2"/>
          <c:tx>
            <c:strRef>
              <c:f>'Analiza dyskryminacyjna'!$A$72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dyskryminacyjna'!$B$69:$F$69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dyskryminacyjna'!$B$72:$F$72</c:f>
              <c:numCache>
                <c:formatCode>0.000</c:formatCode>
                <c:ptCount val="5"/>
                <c:pt idx="0">
                  <c:v>0.17592445137954499</c:v>
                </c:pt>
                <c:pt idx="1">
                  <c:v>-2.2407068171159557</c:v>
                </c:pt>
                <c:pt idx="2">
                  <c:v>-0.68517638376039613</c:v>
                </c:pt>
                <c:pt idx="3">
                  <c:v>0.11362062550235062</c:v>
                </c:pt>
                <c:pt idx="4">
                  <c:v>1.9426230842197383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A-4714-A020-BF2C50E87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6771232"/>
        <c:axId val="636767904"/>
      </c:barChart>
      <c:catAx>
        <c:axId val="6367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767904"/>
        <c:crosses val="autoZero"/>
        <c:auto val="1"/>
        <c:lblAlgn val="ctr"/>
        <c:lblOffset val="100"/>
        <c:noMultiLvlLbl val="0"/>
      </c:catAx>
      <c:valAx>
        <c:axId val="6367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PRUSAKA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dyskryminacyjna'!$A$90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dyskryminacyjna'!$B$89:$F$89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dyskryminacyjna'!$B$90:$F$90</c:f>
              <c:numCache>
                <c:formatCode>0.000</c:formatCode>
                <c:ptCount val="5"/>
                <c:pt idx="0">
                  <c:v>0.49643627580619221</c:v>
                </c:pt>
                <c:pt idx="1">
                  <c:v>-0.40258219222585923</c:v>
                </c:pt>
                <c:pt idx="2">
                  <c:v>-1.8776521684968326</c:v>
                </c:pt>
                <c:pt idx="3">
                  <c:v>0.18896054022687103</c:v>
                </c:pt>
                <c:pt idx="4">
                  <c:v>2.3574164478047175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9BE-A6CE-A0AA668EEDCB}"/>
            </c:ext>
          </c:extLst>
        </c:ser>
        <c:ser>
          <c:idx val="1"/>
          <c:order val="1"/>
          <c:tx>
            <c:strRef>
              <c:f>'Analiza dyskryminacyjna'!$A$91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dyskryminacyjna'!$B$89:$F$89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dyskryminacyjna'!$B$91:$F$91</c:f>
              <c:numCache>
                <c:formatCode>0.000</c:formatCode>
                <c:ptCount val="5"/>
                <c:pt idx="0">
                  <c:v>-0.4880798984085386</c:v>
                </c:pt>
                <c:pt idx="1">
                  <c:v>0.85986735171738671</c:v>
                </c:pt>
                <c:pt idx="2">
                  <c:v>-0.74146692300735495</c:v>
                </c:pt>
                <c:pt idx="3">
                  <c:v>-0.20501373636052866</c:v>
                </c:pt>
                <c:pt idx="4">
                  <c:v>-0.27485457030380611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9BE-A6CE-A0AA668EEDCB}"/>
            </c:ext>
          </c:extLst>
        </c:ser>
        <c:ser>
          <c:idx val="3"/>
          <c:order val="2"/>
          <c:tx>
            <c:strRef>
              <c:f>'Analiza dyskryminacyjna'!$A$92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dyskryminacyjna'!$B$89:$F$89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dyskryminacyjna'!$B$92:$F$92</c:f>
              <c:numCache>
                <c:formatCode>0.000</c:formatCode>
                <c:ptCount val="5"/>
                <c:pt idx="0">
                  <c:v>4.0926739550769975E-2</c:v>
                </c:pt>
                <c:pt idx="1">
                  <c:v>-2.8015996012300484</c:v>
                </c:pt>
                <c:pt idx="2">
                  <c:v>-1.6881264298529246</c:v>
                </c:pt>
                <c:pt idx="3">
                  <c:v>-0.23496912480996235</c:v>
                </c:pt>
                <c:pt idx="4">
                  <c:v>2.5745058684646036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F-49BE-A6CE-A0AA668EE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9084224"/>
        <c:axId val="349084640"/>
      </c:barChart>
      <c:catAx>
        <c:axId val="3490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084640"/>
        <c:crosses val="autoZero"/>
        <c:auto val="1"/>
        <c:lblAlgn val="ctr"/>
        <c:lblOffset val="100"/>
        <c:noMultiLvlLbl val="0"/>
      </c:catAx>
      <c:valAx>
        <c:axId val="349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90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STĘPNIA I STRĄKA </a:t>
            </a:r>
          </a:p>
          <a:p>
            <a:pPr>
              <a:defRPr/>
            </a:pPr>
            <a:r>
              <a:rPr lang="pl-PL"/>
              <a:t>WARTOŚĆ</a:t>
            </a:r>
            <a:r>
              <a:rPr lang="pl-PL" baseline="0"/>
              <a:t> F. LOGISTYCZNEJ</a:t>
            </a:r>
          </a:p>
        </c:rich>
      </c:tx>
      <c:layout>
        <c:manualLayout>
          <c:xMode val="edge"/>
          <c:yMode val="edge"/>
          <c:x val="0.3167876594467452"/>
          <c:y val="3.588664630837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logitowa'!$A$11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logitowa'!$B$10:$F$10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logitowa'!$B$11:$F$11</c:f>
              <c:numCache>
                <c:formatCode>0.00</c:formatCode>
                <c:ptCount val="5"/>
                <c:pt idx="0">
                  <c:v>0.99892612832639605</c:v>
                </c:pt>
                <c:pt idx="1">
                  <c:v>0.9129397809736044</c:v>
                </c:pt>
                <c:pt idx="2">
                  <c:v>4.8470272307179133E-5</c:v>
                </c:pt>
                <c:pt idx="3">
                  <c:v>0.96884384287705849</c:v>
                </c:pt>
                <c:pt idx="4">
                  <c:v>0.99999999999859357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5-471C-94B0-8BD58154A709}"/>
            </c:ext>
          </c:extLst>
        </c:ser>
        <c:ser>
          <c:idx val="1"/>
          <c:order val="1"/>
          <c:tx>
            <c:strRef>
              <c:f>'Analiza logitowa'!$A$12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logitowa'!$B$10:$F$10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logitowa'!$B$12:$F$12</c:f>
              <c:numCache>
                <c:formatCode>0.00</c:formatCode>
                <c:ptCount val="5"/>
                <c:pt idx="0">
                  <c:v>0.96375186689568071</c:v>
                </c:pt>
                <c:pt idx="1">
                  <c:v>0.99999936038227821</c:v>
                </c:pt>
                <c:pt idx="2">
                  <c:v>0.98393921553577712</c:v>
                </c:pt>
                <c:pt idx="3">
                  <c:v>0.9999589747725548</c:v>
                </c:pt>
                <c:pt idx="4">
                  <c:v>0.99938604066306458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5-471C-94B0-8BD58154A709}"/>
            </c:ext>
          </c:extLst>
        </c:ser>
        <c:ser>
          <c:idx val="3"/>
          <c:order val="2"/>
          <c:tx>
            <c:strRef>
              <c:f>'Analiza logitowa'!$A$13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logitowa'!$B$10:$F$10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logitowa'!$B$13:$F$13</c:f>
              <c:numCache>
                <c:formatCode>0.00</c:formatCode>
                <c:ptCount val="5"/>
                <c:pt idx="0">
                  <c:v>0.999942842832931</c:v>
                </c:pt>
                <c:pt idx="1">
                  <c:v>6.3564192290411548E-2</c:v>
                </c:pt>
                <c:pt idx="2">
                  <c:v>1.3792851498669427E-2</c:v>
                </c:pt>
                <c:pt idx="3">
                  <c:v>0.82996207282463164</c:v>
                </c:pt>
                <c:pt idx="4">
                  <c:v>0.99999999999999933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5-471C-94B0-8BD58154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6789440"/>
        <c:axId val="486788192"/>
      </c:barChart>
      <c:catAx>
        <c:axId val="4867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788192"/>
        <c:crosses val="autoZero"/>
        <c:auto val="1"/>
        <c:lblAlgn val="ctr"/>
        <c:lblOffset val="100"/>
        <c:noMultiLvlLbl val="0"/>
      </c:catAx>
      <c:valAx>
        <c:axId val="486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7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F. LOGISTYCZNEJ</a:t>
            </a:r>
            <a:r>
              <a:rPr lang="pl-PL" baseline="0"/>
              <a:t> MLD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logitowa'!$A$37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logitowa'!$B$36:$F$36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logitowa'!$B$37:$F$37</c:f>
              <c:numCache>
                <c:formatCode>0.00</c:formatCode>
                <c:ptCount val="5"/>
                <c:pt idx="0">
                  <c:v>0.62389646901916196</c:v>
                </c:pt>
                <c:pt idx="1">
                  <c:v>0.57430472548564326</c:v>
                </c:pt>
                <c:pt idx="2">
                  <c:v>0.51861227206719929</c:v>
                </c:pt>
                <c:pt idx="3">
                  <c:v>0.57416658790682495</c:v>
                </c:pt>
                <c:pt idx="4">
                  <c:v>0.6923333732975554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5-4FF1-8AF4-7759DA26EEC1}"/>
            </c:ext>
          </c:extLst>
        </c:ser>
        <c:ser>
          <c:idx val="1"/>
          <c:order val="1"/>
          <c:tx>
            <c:strRef>
              <c:f>'Analiza logitowa'!$A$38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logitowa'!$B$36:$F$36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logitowa'!$B$38:$F$38</c:f>
              <c:numCache>
                <c:formatCode>0.00</c:formatCode>
                <c:ptCount val="5"/>
                <c:pt idx="0">
                  <c:v>0.61405342817574882</c:v>
                </c:pt>
                <c:pt idx="1">
                  <c:v>0.65043774028683243</c:v>
                </c:pt>
                <c:pt idx="2">
                  <c:v>0.58595589762478284</c:v>
                </c:pt>
                <c:pt idx="3">
                  <c:v>0.61026973478713764</c:v>
                </c:pt>
                <c:pt idx="4">
                  <c:v>0.60064478847390501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5-4FF1-8AF4-7759DA26EEC1}"/>
            </c:ext>
          </c:extLst>
        </c:ser>
        <c:ser>
          <c:idx val="3"/>
          <c:order val="2"/>
          <c:tx>
            <c:strRef>
              <c:f>'Analiza logitowa'!$A$39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logitowa'!$B$36:$F$36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logitowa'!$B$39:$F$39</c:f>
              <c:numCache>
                <c:formatCode>0.00</c:formatCode>
                <c:ptCount val="5"/>
                <c:pt idx="0">
                  <c:v>0.5979728334966673</c:v>
                </c:pt>
                <c:pt idx="1">
                  <c:v>0.5206601160465324</c:v>
                </c:pt>
                <c:pt idx="2">
                  <c:v>0.54086292008741566</c:v>
                </c:pt>
                <c:pt idx="3">
                  <c:v>0.61712524319408235</c:v>
                </c:pt>
                <c:pt idx="4">
                  <c:v>0.71830530907831036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5-4FF1-8AF4-7759DA26EE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278176"/>
        <c:axId val="712276096"/>
      </c:barChart>
      <c:catAx>
        <c:axId val="7122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76096"/>
        <c:crosses val="autoZero"/>
        <c:auto val="1"/>
        <c:lblAlgn val="ctr"/>
        <c:lblOffset val="100"/>
        <c:noMultiLvlLbl val="0"/>
      </c:catAx>
      <c:valAx>
        <c:axId val="7122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22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WARTOŚĆ F. LOGISTYCZNEJ MLD 2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logitowa'!$A$63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logitowa'!$B$62:$F$62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logitowa'!$B$63:$F$63</c:f>
              <c:numCache>
                <c:formatCode>0.00</c:formatCode>
                <c:ptCount val="5"/>
                <c:pt idx="0">
                  <c:v>0.67585072313651329</c:v>
                </c:pt>
                <c:pt idx="1">
                  <c:v>0.60134964470603902</c:v>
                </c:pt>
                <c:pt idx="2">
                  <c:v>0.54505746151874956</c:v>
                </c:pt>
                <c:pt idx="3">
                  <c:v>0.66197761136486755</c:v>
                </c:pt>
                <c:pt idx="4">
                  <c:v>0.72158427827265414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3-4467-A687-8EB8E8999022}"/>
            </c:ext>
          </c:extLst>
        </c:ser>
        <c:ser>
          <c:idx val="1"/>
          <c:order val="1"/>
          <c:tx>
            <c:strRef>
              <c:f>'Analiza logitowa'!$A$64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logitowa'!$B$62:$F$62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logitowa'!$B$64:$F$64</c:f>
              <c:numCache>
                <c:formatCode>0.00</c:formatCode>
                <c:ptCount val="5"/>
                <c:pt idx="0">
                  <c:v>0.62222844782291242</c:v>
                </c:pt>
                <c:pt idx="1">
                  <c:v>0.65933331299814502</c:v>
                </c:pt>
                <c:pt idx="2">
                  <c:v>0.58636660863003542</c:v>
                </c:pt>
                <c:pt idx="3">
                  <c:v>0.61430553419020983</c:v>
                </c:pt>
                <c:pt idx="4">
                  <c:v>0.58380846940476916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3-4467-A687-8EB8E8999022}"/>
            </c:ext>
          </c:extLst>
        </c:ser>
        <c:ser>
          <c:idx val="3"/>
          <c:order val="2"/>
          <c:tx>
            <c:strRef>
              <c:f>'Analiza logitowa'!$A$65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logitowa'!$B$62:$F$62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logitowa'!$B$65:$F$65</c:f>
              <c:numCache>
                <c:formatCode>0.00</c:formatCode>
                <c:ptCount val="5"/>
                <c:pt idx="0">
                  <c:v>0.683086209000769</c:v>
                </c:pt>
                <c:pt idx="1">
                  <c:v>0.61111023029583267</c:v>
                </c:pt>
                <c:pt idx="2">
                  <c:v>0.65362399485210476</c:v>
                </c:pt>
                <c:pt idx="3">
                  <c:v>0.69192179598608428</c:v>
                </c:pt>
                <c:pt idx="4">
                  <c:v>0.72341351726094472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3-4467-A687-8EB8E8999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901264"/>
        <c:axId val="111895856"/>
      </c:barChart>
      <c:catAx>
        <c:axId val="1119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895856"/>
        <c:crosses val="autoZero"/>
        <c:auto val="1"/>
        <c:lblAlgn val="ctr"/>
        <c:lblOffset val="100"/>
        <c:noMultiLvlLbl val="0"/>
      </c:catAx>
      <c:valAx>
        <c:axId val="1118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9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WARTOŚĆ F. LOGISTYCZNEJ MLD 3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logitowa'!$A$89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logitowa'!$B$88:$F$88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logitowa'!$B$89:$F$89</c:f>
              <c:numCache>
                <c:formatCode>0.00</c:formatCode>
                <c:ptCount val="5"/>
                <c:pt idx="0">
                  <c:v>0.73030177792062345</c:v>
                </c:pt>
                <c:pt idx="1">
                  <c:v>0.66854487012668062</c:v>
                </c:pt>
                <c:pt idx="2">
                  <c:v>0.50008455192225187</c:v>
                </c:pt>
                <c:pt idx="3">
                  <c:v>0.71691129679534915</c:v>
                </c:pt>
                <c:pt idx="4">
                  <c:v>0.7310564174205556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4-495F-8A8D-D660F22AB642}"/>
            </c:ext>
          </c:extLst>
        </c:ser>
        <c:ser>
          <c:idx val="1"/>
          <c:order val="1"/>
          <c:tx>
            <c:strRef>
              <c:f>'Analiza logitowa'!$A$90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logitowa'!$B$88:$F$88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logitowa'!$B$90:$F$90</c:f>
              <c:numCache>
                <c:formatCode>0.00</c:formatCode>
                <c:ptCount val="5"/>
                <c:pt idx="0">
                  <c:v>0.71671329190208921</c:v>
                </c:pt>
                <c:pt idx="1">
                  <c:v>0.73043848901454045</c:v>
                </c:pt>
                <c:pt idx="2">
                  <c:v>0.72007937537221733</c:v>
                </c:pt>
                <c:pt idx="3">
                  <c:v>0.73017312104557908</c:v>
                </c:pt>
                <c:pt idx="4">
                  <c:v>0.69624714276062882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4-495F-8A8D-D660F22AB642}"/>
            </c:ext>
          </c:extLst>
        </c:ser>
        <c:ser>
          <c:idx val="3"/>
          <c:order val="2"/>
          <c:tx>
            <c:strRef>
              <c:f>'Analiza logitowa'!$A$91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logitowa'!$B$88:$F$88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logitowa'!$B$91:$F$91</c:f>
              <c:numCache>
                <c:formatCode>0.00</c:formatCode>
                <c:ptCount val="5"/>
                <c:pt idx="0">
                  <c:v>0.72937081216498212</c:v>
                </c:pt>
                <c:pt idx="1">
                  <c:v>0.50571134467249912</c:v>
                </c:pt>
                <c:pt idx="2">
                  <c:v>0.63455595973587209</c:v>
                </c:pt>
                <c:pt idx="3">
                  <c:v>0.72005459938247951</c:v>
                </c:pt>
                <c:pt idx="4">
                  <c:v>0.73105816587353956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4-495F-8A8D-D660F22AB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6729504"/>
        <c:axId val="976727424"/>
      </c:barChart>
      <c:catAx>
        <c:axId val="976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727424"/>
        <c:crosses val="autoZero"/>
        <c:auto val="1"/>
        <c:lblAlgn val="ctr"/>
        <c:lblOffset val="100"/>
        <c:noMultiLvlLbl val="0"/>
      </c:catAx>
      <c:valAx>
        <c:axId val="9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WARTOŚĆ F. LOGISTYCZNEJ MLD 4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9711489600501969"/>
          <c:y val="4.492599768436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logitowa'!$A$115</c:f>
              <c:strCache>
                <c:ptCount val="1"/>
                <c:pt idx="0">
                  <c:v>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logitowa'!$B$114:$F$114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logitowa'!$B$115:$F$115</c:f>
              <c:numCache>
                <c:formatCode>0.00</c:formatCode>
                <c:ptCount val="5"/>
                <c:pt idx="0">
                  <c:v>0.6211854299547479</c:v>
                </c:pt>
                <c:pt idx="1">
                  <c:v>0.52923512134669382</c:v>
                </c:pt>
                <c:pt idx="2">
                  <c:v>0.50009449395186578</c:v>
                </c:pt>
                <c:pt idx="3">
                  <c:v>0.5368393603775895</c:v>
                </c:pt>
                <c:pt idx="4">
                  <c:v>0.72511578750748928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C7B-BD9D-79C167523FF9}"/>
            </c:ext>
          </c:extLst>
        </c:ser>
        <c:ser>
          <c:idx val="1"/>
          <c:order val="1"/>
          <c:tx>
            <c:strRef>
              <c:f>'Analiza logitowa'!$A$116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logitowa'!$B$114:$F$114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logitowa'!$B$116:$F$116</c:f>
              <c:numCache>
                <c:formatCode>0.00</c:formatCode>
                <c:ptCount val="5"/>
                <c:pt idx="0">
                  <c:v>0.52758373927790636</c:v>
                </c:pt>
                <c:pt idx="1">
                  <c:v>0.65791532894534166</c:v>
                </c:pt>
                <c:pt idx="2">
                  <c:v>0.54989354187742023</c:v>
                </c:pt>
                <c:pt idx="3">
                  <c:v>0.60824789868287443</c:v>
                </c:pt>
                <c:pt idx="4">
                  <c:v>0.58438584622600465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C7B-BD9D-79C167523FF9}"/>
            </c:ext>
          </c:extLst>
        </c:ser>
        <c:ser>
          <c:idx val="3"/>
          <c:order val="2"/>
          <c:tx>
            <c:strRef>
              <c:f>'Analiza logitowa'!$A$117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D0-4C7B-BD9D-79C167523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'Analiza logitowa'!$B$114:$F$114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'Analiza logitowa'!$B$117:$F$117</c:f>
              <c:numCache>
                <c:formatCode>0.00</c:formatCode>
                <c:ptCount val="5"/>
                <c:pt idx="0">
                  <c:v>0.58705202618318508</c:v>
                </c:pt>
                <c:pt idx="1">
                  <c:v>0.50109555521139437</c:v>
                </c:pt>
                <c:pt idx="2">
                  <c:v>0.50734243583884042</c:v>
                </c:pt>
                <c:pt idx="3">
                  <c:v>0.5110449585389043</c:v>
                </c:pt>
                <c:pt idx="4">
                  <c:v>0.72646555016725611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C7B-BD9D-79C167523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2742320"/>
        <c:axId val="492739824"/>
      </c:barChart>
      <c:catAx>
        <c:axId val="4927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739824"/>
        <c:crosses val="autoZero"/>
        <c:auto val="1"/>
        <c:lblAlgn val="ctr"/>
        <c:lblOffset val="100"/>
        <c:noMultiLvlLbl val="0"/>
      </c:catAx>
      <c:valAx>
        <c:axId val="4927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7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ROTACJI ZAPASÓW W DNIACH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płynności'!$A$11</c:f>
              <c:strCache>
                <c:ptCount val="1"/>
                <c:pt idx="0">
                  <c:v>Spółka 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płynności'!$B$10:$F$10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płynności'!$B$11:$F$11</c:f>
              <c:numCache>
                <c:formatCode>0.00</c:formatCode>
                <c:ptCount val="5"/>
                <c:pt idx="0">
                  <c:v>24.410235498012032</c:v>
                </c:pt>
                <c:pt idx="1">
                  <c:v>47.595885513964809</c:v>
                </c:pt>
                <c:pt idx="2">
                  <c:v>46.451816608996545</c:v>
                </c:pt>
                <c:pt idx="3">
                  <c:v>22.406647787677226</c:v>
                </c:pt>
                <c:pt idx="4">
                  <c:v>17.891749387330741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B-4C27-932F-9F125224AA79}"/>
            </c:ext>
          </c:extLst>
        </c:ser>
        <c:ser>
          <c:idx val="1"/>
          <c:order val="1"/>
          <c:tx>
            <c:strRef>
              <c:f>'Dynamiczna analiza płynności'!$A$12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płynności'!$B$10:$F$10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płynności'!$B$12:$F$12</c:f>
              <c:numCache>
                <c:formatCode>0.00</c:formatCode>
                <c:ptCount val="5"/>
                <c:pt idx="0">
                  <c:v>17.325059729454175</c:v>
                </c:pt>
                <c:pt idx="1">
                  <c:v>36.454542309555109</c:v>
                </c:pt>
                <c:pt idx="2">
                  <c:v>47.40692041522491</c:v>
                </c:pt>
                <c:pt idx="3">
                  <c:v>62.5943871070928</c:v>
                </c:pt>
                <c:pt idx="4">
                  <c:v>29.158731744921411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C27-932F-9F125224AA79}"/>
            </c:ext>
          </c:extLst>
        </c:ser>
        <c:ser>
          <c:idx val="3"/>
          <c:order val="2"/>
          <c:tx>
            <c:strRef>
              <c:f>'Dynamiczna analiza płynności'!$A$13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płynności'!$B$10:$F$10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płynności'!$B$13:$F$13</c:f>
              <c:numCache>
                <c:formatCode>0.00</c:formatCode>
                <c:ptCount val="5"/>
                <c:pt idx="0">
                  <c:v>33.380000000000003</c:v>
                </c:pt>
                <c:pt idx="1">
                  <c:v>25.25</c:v>
                </c:pt>
                <c:pt idx="2">
                  <c:v>27.51</c:v>
                </c:pt>
                <c:pt idx="3">
                  <c:v>19</c:v>
                </c:pt>
                <c:pt idx="4">
                  <c:v>35.020000000000003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9B-4C27-932F-9F125224A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8012735"/>
        <c:axId val="288011487"/>
      </c:barChart>
      <c:catAx>
        <c:axId val="2880127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11487"/>
        <c:crosses val="autoZero"/>
        <c:auto val="1"/>
        <c:lblAlgn val="ctr"/>
        <c:lblOffset val="100"/>
        <c:noMultiLvlLbl val="0"/>
      </c:catAx>
      <c:valAx>
        <c:axId val="2880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0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WSKAŹNIK ROTACJI ZOBOWIĄZAŃ W DNIACH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płynności'!$A$16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płynności'!$B$15:$F$15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płynności'!$B$16:$F$16</c:f>
              <c:numCache>
                <c:formatCode>0.00</c:formatCode>
                <c:ptCount val="5"/>
                <c:pt idx="0">
                  <c:v>134.88887756142319</c:v>
                </c:pt>
                <c:pt idx="1">
                  <c:v>147.06825572545492</c:v>
                </c:pt>
                <c:pt idx="2">
                  <c:v>188.92586505190312</c:v>
                </c:pt>
                <c:pt idx="3">
                  <c:v>132.1803351177428</c:v>
                </c:pt>
                <c:pt idx="4">
                  <c:v>139.75297670619105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FD9-A407-ADDC62181D0D}"/>
            </c:ext>
          </c:extLst>
        </c:ser>
        <c:ser>
          <c:idx val="1"/>
          <c:order val="1"/>
          <c:tx>
            <c:strRef>
              <c:f>'Dynamiczna analiza płynności'!$A$17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płynności'!$B$15:$F$15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płynności'!$B$17:$F$17</c:f>
              <c:numCache>
                <c:formatCode>0.00</c:formatCode>
                <c:ptCount val="5"/>
                <c:pt idx="0">
                  <c:v>92.83644746227381</c:v>
                </c:pt>
                <c:pt idx="1">
                  <c:v>63.289122886043167</c:v>
                </c:pt>
                <c:pt idx="2">
                  <c:v>72.38922525069809</c:v>
                </c:pt>
                <c:pt idx="3">
                  <c:v>79.35218953476604</c:v>
                </c:pt>
                <c:pt idx="4">
                  <c:v>66.868418637565952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9-4FD9-A407-ADDC62181D0D}"/>
            </c:ext>
          </c:extLst>
        </c:ser>
        <c:ser>
          <c:idx val="3"/>
          <c:order val="2"/>
          <c:tx>
            <c:strRef>
              <c:f>'Dynamiczna analiza płynności'!$A$18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płynności'!$B$15:$F$15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płynności'!$B$18:$F$18</c:f>
              <c:numCache>
                <c:formatCode>0.00</c:formatCode>
                <c:ptCount val="5"/>
                <c:pt idx="0">
                  <c:v>70.39</c:v>
                </c:pt>
                <c:pt idx="1">
                  <c:v>41.75</c:v>
                </c:pt>
                <c:pt idx="2">
                  <c:v>43.97</c:v>
                </c:pt>
                <c:pt idx="3">
                  <c:v>90.08</c:v>
                </c:pt>
                <c:pt idx="4">
                  <c:v>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9-4FD9-A407-ADDC62181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959631"/>
        <c:axId val="299940495"/>
      </c:barChart>
      <c:catAx>
        <c:axId val="2999596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40495"/>
        <c:crosses val="autoZero"/>
        <c:auto val="1"/>
        <c:lblAlgn val="ctr"/>
        <c:lblOffset val="100"/>
        <c:noMultiLvlLbl val="0"/>
      </c:catAx>
      <c:valAx>
        <c:axId val="2999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CYKL ŚRODKÓW PIENIĘŻNYCH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płynności'!$A$21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płynności'!$B$20:$F$20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płynności'!$B$21:$F$21</c:f>
              <c:numCache>
                <c:formatCode>0.00</c:formatCode>
                <c:ptCount val="5"/>
                <c:pt idx="0">
                  <c:v>-67.83515139157916</c:v>
                </c:pt>
                <c:pt idx="1">
                  <c:v>-63.017827901934993</c:v>
                </c:pt>
                <c:pt idx="2">
                  <c:v>-95.067128027681662</c:v>
                </c:pt>
                <c:pt idx="3">
                  <c:v>-47.17930022297277</c:v>
                </c:pt>
                <c:pt idx="4">
                  <c:v>-86.668638760303978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5A2-9797-1F592CB460FD}"/>
            </c:ext>
          </c:extLst>
        </c:ser>
        <c:ser>
          <c:idx val="1"/>
          <c:order val="1"/>
          <c:tx>
            <c:strRef>
              <c:f>'Dynamiczna analiza płynności'!$A$22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2.7842225343571963E-3"/>
                  <c:y val="-5.36912751677853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6-4E99-8E1A-4689D5DD6F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płynności'!$B$20:$F$20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płynności'!$B$22:$F$22</c:f>
              <c:numCache>
                <c:formatCode>0.00</c:formatCode>
                <c:ptCount val="5"/>
                <c:pt idx="0">
                  <c:v>-30.779189728753991</c:v>
                </c:pt>
                <c:pt idx="1">
                  <c:v>16.416138538413229</c:v>
                </c:pt>
                <c:pt idx="2">
                  <c:v>30.975695550891643</c:v>
                </c:pt>
                <c:pt idx="3">
                  <c:v>33.375208013944786</c:v>
                </c:pt>
                <c:pt idx="4">
                  <c:v>-7.3900249417244694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5-45A2-9797-1F592CB460FD}"/>
            </c:ext>
          </c:extLst>
        </c:ser>
        <c:ser>
          <c:idx val="3"/>
          <c:order val="2"/>
          <c:tx>
            <c:strRef>
              <c:f>'Dynamiczna analiza płynności'!$A$23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płynności'!$B$20:$F$20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płynności'!$B$23:$F$23</c:f>
              <c:numCache>
                <c:formatCode>0.00</c:formatCode>
                <c:ptCount val="5"/>
                <c:pt idx="0">
                  <c:v>65</c:v>
                </c:pt>
                <c:pt idx="1">
                  <c:v>48</c:v>
                </c:pt>
                <c:pt idx="2">
                  <c:v>47</c:v>
                </c:pt>
                <c:pt idx="3">
                  <c:v>111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5-45A2-9797-1F592CB46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997487"/>
        <c:axId val="299991247"/>
      </c:barChart>
      <c:catAx>
        <c:axId val="2999974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91247"/>
        <c:crosses val="autoZero"/>
        <c:auto val="1"/>
        <c:lblAlgn val="ctr"/>
        <c:lblOffset val="100"/>
        <c:noMultiLvlLbl val="0"/>
      </c:catAx>
      <c:valAx>
        <c:axId val="2999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 ROTACJI AKTYWÓW 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płynności'!$A$26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płynności'!$B$25:$F$25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płynności'!$B$26:$F$26</c:f>
              <c:numCache>
                <c:formatCode>0.00</c:formatCode>
                <c:ptCount val="5"/>
                <c:pt idx="0">
                  <c:v>0.71275977328876616</c:v>
                </c:pt>
                <c:pt idx="1">
                  <c:v>0.58097062922070963</c:v>
                </c:pt>
                <c:pt idx="2">
                  <c:v>0.46144941420673413</c:v>
                </c:pt>
                <c:pt idx="3">
                  <c:v>0.66590860679873198</c:v>
                </c:pt>
                <c:pt idx="4">
                  <c:v>0.749116384985406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3-4B8C-9735-CEE59787F864}"/>
            </c:ext>
          </c:extLst>
        </c:ser>
        <c:ser>
          <c:idx val="1"/>
          <c:order val="1"/>
          <c:tx>
            <c:strRef>
              <c:f>'Dynamiczna analiza płynności'!$A$27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8.6189008813913111E-17"/>
                  <c:y val="-3.5949667069284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E4-4AD7-BB7C-FAC462E43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płynności'!$B$25:$F$25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płynności'!$B$27:$F$27</c:f>
              <c:numCache>
                <c:formatCode>0.00</c:formatCode>
                <c:ptCount val="5"/>
                <c:pt idx="0">
                  <c:v>0.44660926522957145</c:v>
                </c:pt>
                <c:pt idx="1">
                  <c:v>0.50743780546995809</c:v>
                </c:pt>
                <c:pt idx="2">
                  <c:v>0.4164577077995083</c:v>
                </c:pt>
                <c:pt idx="3">
                  <c:v>0.5043083390967843</c:v>
                </c:pt>
                <c:pt idx="4">
                  <c:v>0.50879084003620056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3-4B8C-9735-CEE59787F864}"/>
            </c:ext>
          </c:extLst>
        </c:ser>
        <c:ser>
          <c:idx val="3"/>
          <c:order val="2"/>
          <c:tx>
            <c:strRef>
              <c:f>'Dynamiczna analiza płynności'!$A$28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płynności'!$B$25:$F$25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płynności'!$B$28:$F$28</c:f>
              <c:numCache>
                <c:formatCode>0.00</c:formatCode>
                <c:ptCount val="5"/>
                <c:pt idx="0">
                  <c:v>0.66</c:v>
                </c:pt>
                <c:pt idx="1">
                  <c:v>0.65</c:v>
                </c:pt>
                <c:pt idx="2">
                  <c:v>0.6</c:v>
                </c:pt>
                <c:pt idx="3">
                  <c:v>0.68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3-4B8C-9735-CEE59787F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957967"/>
        <c:axId val="299957551"/>
      </c:barChart>
      <c:catAx>
        <c:axId val="2999579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57551"/>
        <c:crosses val="autoZero"/>
        <c:auto val="1"/>
        <c:lblAlgn val="ctr"/>
        <c:lblOffset val="100"/>
        <c:noMultiLvlLbl val="0"/>
      </c:catAx>
      <c:valAx>
        <c:axId val="2999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WSKAŹNIK WYDAJNOŚCI GOTÓWKOWEJ SPRZEDAŻY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'Dynamiczna analiza płynności'!$H$6</c:f>
              <c:strCache>
                <c:ptCount val="1"/>
                <c:pt idx="0">
                  <c:v>Spółka JSW S.A.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płynności'!$I$6:$M$6</c:f>
              <c:numCache>
                <c:formatCode>0.00</c:formatCode>
                <c:ptCount val="5"/>
                <c:pt idx="0">
                  <c:v>28.72871852380467</c:v>
                </c:pt>
                <c:pt idx="1">
                  <c:v>13.149519130976268</c:v>
                </c:pt>
                <c:pt idx="2">
                  <c:v>5.1138985005767008</c:v>
                </c:pt>
                <c:pt idx="3">
                  <c:v>15.628792654128759</c:v>
                </c:pt>
                <c:pt idx="4">
                  <c:v>52.923731960294084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D91-807A-F4673F059505}"/>
            </c:ext>
          </c:extLst>
        </c:ser>
        <c:ser>
          <c:idx val="1"/>
          <c:order val="1"/>
          <c:tx>
            <c:strRef>
              <c:f>'Dynamiczna analiza płynności'!$H$7</c:f>
              <c:strCache>
                <c:ptCount val="1"/>
                <c:pt idx="0">
                  <c:v>Bogdanka S.A.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płynności'!$I$7:$M$7</c:f>
              <c:numCache>
                <c:formatCode>0.00</c:formatCode>
                <c:ptCount val="5"/>
                <c:pt idx="0">
                  <c:v>26.121795145476874</c:v>
                </c:pt>
                <c:pt idx="1">
                  <c:v>33.411651630943787</c:v>
                </c:pt>
                <c:pt idx="2">
                  <c:v>26.176217488277342</c:v>
                </c:pt>
                <c:pt idx="3">
                  <c:v>32.168786478188991</c:v>
                </c:pt>
                <c:pt idx="4">
                  <c:v>25.466867070601602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5-4D91-807A-F4673F059505}"/>
            </c:ext>
          </c:extLst>
        </c:ser>
        <c:ser>
          <c:idx val="3"/>
          <c:order val="2"/>
          <c:tx>
            <c:strRef>
              <c:f>'Dynamiczna analiza płynności'!$H$8</c:f>
              <c:strCache>
                <c:ptCount val="1"/>
                <c:pt idx="0">
                  <c:v>Sektor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'Dynamiczna analiza płynności'!$I$5:$M$5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'Dynamiczna analiza płynności'!$I$8:$M$8</c:f>
              <c:numCache>
                <c:formatCode>0.00</c:formatCode>
                <c:ptCount val="5"/>
                <c:pt idx="0">
                  <c:v>17.734613455409679</c:v>
                </c:pt>
                <c:pt idx="1">
                  <c:v>-18.15149595737546</c:v>
                </c:pt>
                <c:pt idx="2">
                  <c:v>3.9611756427974738</c:v>
                </c:pt>
                <c:pt idx="3">
                  <c:v>17.093879345980799</c:v>
                </c:pt>
                <c:pt idx="4">
                  <c:v>5.0871037632491261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8-4360-AF48-8771C71B9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9952143"/>
        <c:axId val="299952559"/>
      </c:barChart>
      <c:catAx>
        <c:axId val="299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52559"/>
        <c:crosses val="autoZero"/>
        <c:auto val="1"/>
        <c:lblAlgn val="ctr"/>
        <c:lblOffset val="100"/>
        <c:noMultiLvlLbl val="0"/>
      </c:catAx>
      <c:valAx>
        <c:axId val="2999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image" Target="../media/image3.png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409700" cy="561975"/>
    <xdr:pic>
      <xdr:nvPicPr>
        <xdr:cNvPr id="2" name="Obraz 1">
          <a:extLst>
            <a:ext uri="{FF2B5EF4-FFF2-40B4-BE49-F238E27FC236}">
              <a16:creationId xmlns:a16="http://schemas.microsoft.com/office/drawing/2014/main" id="{572C5ABD-080D-4C66-A321-F5F608C63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409700" cy="561975"/>
        </a:xfrm>
        <a:prstGeom prst="rect">
          <a:avLst/>
        </a:prstGeom>
      </xdr:spPr>
    </xdr:pic>
    <xdr:clientData/>
  </xdr:oneCellAnchor>
  <xdr:oneCellAnchor>
    <xdr:from>
      <xdr:col>0</xdr:col>
      <xdr:colOff>288925</xdr:colOff>
      <xdr:row>123</xdr:row>
      <xdr:rowOff>60325</xdr:rowOff>
    </xdr:from>
    <xdr:ext cx="1409700" cy="561975"/>
    <xdr:pic>
      <xdr:nvPicPr>
        <xdr:cNvPr id="3" name="Obraz 2">
          <a:extLst>
            <a:ext uri="{FF2B5EF4-FFF2-40B4-BE49-F238E27FC236}">
              <a16:creationId xmlns:a16="http://schemas.microsoft.com/office/drawing/2014/main" id="{3C7ED3A9-2CE5-574A-B0D3-A192E1E6E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925" y="250825"/>
          <a:ext cx="1409700" cy="5619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59267</xdr:colOff>
      <xdr:row>6</xdr:row>
      <xdr:rowOff>101600</xdr:rowOff>
    </xdr:from>
    <xdr:to>
      <xdr:col>6</xdr:col>
      <xdr:colOff>482600</xdr:colOff>
      <xdr:row>6</xdr:row>
      <xdr:rowOff>101600</xdr:rowOff>
    </xdr:to>
    <xdr:cxnSp macro="">
      <xdr:nvCxnSpPr>
        <xdr:cNvPr id="4" name="Łącznik prosty ze strzałką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 flipH="1">
          <a:off x="4673600" y="7027333"/>
          <a:ext cx="423333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254000</xdr:colOff>
      <xdr:row>13</xdr:row>
      <xdr:rowOff>71120</xdr:rowOff>
    </xdr:from>
    <xdr:to>
      <xdr:col>7</xdr:col>
      <xdr:colOff>99907</xdr:colOff>
      <xdr:row>27</xdr:row>
      <xdr:rowOff>88053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31377</xdr:colOff>
      <xdr:row>39</xdr:row>
      <xdr:rowOff>80683</xdr:rowOff>
    </xdr:from>
    <xdr:to>
      <xdr:col>5</xdr:col>
      <xdr:colOff>596153</xdr:colOff>
      <xdr:row>53</xdr:row>
      <xdr:rowOff>62754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62754</xdr:colOff>
      <xdr:row>65</xdr:row>
      <xdr:rowOff>44823</xdr:rowOff>
    </xdr:from>
    <xdr:to>
      <xdr:col>6</xdr:col>
      <xdr:colOff>17930</xdr:colOff>
      <xdr:row>79</xdr:row>
      <xdr:rowOff>26893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125507</xdr:colOff>
      <xdr:row>91</xdr:row>
      <xdr:rowOff>89647</xdr:rowOff>
    </xdr:from>
    <xdr:to>
      <xdr:col>6</xdr:col>
      <xdr:colOff>80683</xdr:colOff>
      <xdr:row>105</xdr:row>
      <xdr:rowOff>71718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117</xdr:row>
      <xdr:rowOff>139849</xdr:rowOff>
    </xdr:from>
    <xdr:to>
      <xdr:col>5</xdr:col>
      <xdr:colOff>564776</xdr:colOff>
      <xdr:row>131</xdr:row>
      <xdr:rowOff>121920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1409700" cy="561975"/>
    <xdr:pic>
      <xdr:nvPicPr>
        <xdr:cNvPr id="2" name="Obraz 1">
          <a:extLst>
            <a:ext uri="{FF2B5EF4-FFF2-40B4-BE49-F238E27FC236}">
              <a16:creationId xmlns:a16="http://schemas.microsoft.com/office/drawing/2014/main" id="{7615342E-B7F3-4AF7-9E32-038EBC7AC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" y="11430"/>
          <a:ext cx="1409700" cy="561975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125</xdr:row>
      <xdr:rowOff>9525</xdr:rowOff>
    </xdr:from>
    <xdr:ext cx="1409700" cy="561975"/>
    <xdr:pic>
      <xdr:nvPicPr>
        <xdr:cNvPr id="3" name="Obraz 2">
          <a:extLst>
            <a:ext uri="{FF2B5EF4-FFF2-40B4-BE49-F238E27FC236}">
              <a16:creationId xmlns:a16="http://schemas.microsoft.com/office/drawing/2014/main" id="{6F54BB40-AA5A-834C-A8D3-EA20FB0E3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409700" cy="5619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625186</xdr:colOff>
      <xdr:row>9</xdr:row>
      <xdr:rowOff>162790</xdr:rowOff>
    </xdr:from>
    <xdr:to>
      <xdr:col>5</xdr:col>
      <xdr:colOff>361950</xdr:colOff>
      <xdr:row>28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935183</xdr:colOff>
      <xdr:row>8</xdr:row>
      <xdr:rowOff>169718</xdr:rowOff>
    </xdr:from>
    <xdr:to>
      <xdr:col>12</xdr:col>
      <xdr:colOff>17318</xdr:colOff>
      <xdr:row>28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432955</xdr:colOff>
      <xdr:row>8</xdr:row>
      <xdr:rowOff>127460</xdr:rowOff>
    </xdr:from>
    <xdr:to>
      <xdr:col>19</xdr:col>
      <xdr:colOff>103910</xdr:colOff>
      <xdr:row>27</xdr:row>
      <xdr:rowOff>69271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941917</xdr:colOff>
      <xdr:row>28</xdr:row>
      <xdr:rowOff>131232</xdr:rowOff>
    </xdr:from>
    <xdr:to>
      <xdr:col>4</xdr:col>
      <xdr:colOff>169334</xdr:colOff>
      <xdr:row>43</xdr:row>
      <xdr:rowOff>175682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968375</xdr:colOff>
      <xdr:row>44</xdr:row>
      <xdr:rowOff>110067</xdr:rowOff>
    </xdr:from>
    <xdr:to>
      <xdr:col>4</xdr:col>
      <xdr:colOff>195792</xdr:colOff>
      <xdr:row>59</xdr:row>
      <xdr:rowOff>154517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968375</xdr:colOff>
      <xdr:row>60</xdr:row>
      <xdr:rowOff>67734</xdr:rowOff>
    </xdr:from>
    <xdr:to>
      <xdr:col>4</xdr:col>
      <xdr:colOff>195792</xdr:colOff>
      <xdr:row>75</xdr:row>
      <xdr:rowOff>112184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947208</xdr:colOff>
      <xdr:row>76</xdr:row>
      <xdr:rowOff>67733</xdr:rowOff>
    </xdr:from>
    <xdr:to>
      <xdr:col>4</xdr:col>
      <xdr:colOff>174625</xdr:colOff>
      <xdr:row>91</xdr:row>
      <xdr:rowOff>112183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947208</xdr:colOff>
      <xdr:row>92</xdr:row>
      <xdr:rowOff>57149</xdr:rowOff>
    </xdr:from>
    <xdr:to>
      <xdr:col>5</xdr:col>
      <xdr:colOff>406400</xdr:colOff>
      <xdr:row>111</xdr:row>
      <xdr:rowOff>50799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1254126</xdr:colOff>
      <xdr:row>18</xdr:row>
      <xdr:rowOff>35982</xdr:rowOff>
    </xdr:from>
    <xdr:to>
      <xdr:col>11</xdr:col>
      <xdr:colOff>397933</xdr:colOff>
      <xdr:row>34</xdr:row>
      <xdr:rowOff>135466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1362074</xdr:colOff>
      <xdr:row>37</xdr:row>
      <xdr:rowOff>31751</xdr:rowOff>
    </xdr:from>
    <xdr:to>
      <xdr:col>11</xdr:col>
      <xdr:colOff>423333</xdr:colOff>
      <xdr:row>55</xdr:row>
      <xdr:rowOff>8467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1309159</xdr:colOff>
      <xdr:row>57</xdr:row>
      <xdr:rowOff>74084</xdr:rowOff>
    </xdr:from>
    <xdr:to>
      <xdr:col>11</xdr:col>
      <xdr:colOff>465667</xdr:colOff>
      <xdr:row>75</xdr:row>
      <xdr:rowOff>59266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1969515</xdr:colOff>
      <xdr:row>4</xdr:row>
      <xdr:rowOff>125424</xdr:rowOff>
    </xdr:from>
    <xdr:to>
      <xdr:col>8</xdr:col>
      <xdr:colOff>214842</xdr:colOff>
      <xdr:row>22</xdr:row>
      <xdr:rowOff>20109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1895474</xdr:colOff>
      <xdr:row>34</xdr:row>
      <xdr:rowOff>23813</xdr:rowOff>
    </xdr:from>
    <xdr:to>
      <xdr:col>8</xdr:col>
      <xdr:colOff>200024</xdr:colOff>
      <xdr:row>52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1952624</xdr:colOff>
      <xdr:row>63</xdr:row>
      <xdr:rowOff>42863</xdr:rowOff>
    </xdr:from>
    <xdr:to>
      <xdr:col>8</xdr:col>
      <xdr:colOff>257174</xdr:colOff>
      <xdr:row>79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1828800</xdr:colOff>
      <xdr:row>4</xdr:row>
      <xdr:rowOff>152400</xdr:rowOff>
    </xdr:from>
    <xdr:to>
      <xdr:col>19</xdr:col>
      <xdr:colOff>438150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1714500</xdr:colOff>
      <xdr:row>5</xdr:row>
      <xdr:rowOff>47624</xdr:rowOff>
    </xdr:from>
    <xdr:to>
      <xdr:col>31</xdr:col>
      <xdr:colOff>381000</xdr:colOff>
      <xdr:row>24</xdr:row>
      <xdr:rowOff>95249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1134056</xdr:colOff>
      <xdr:row>34</xdr:row>
      <xdr:rowOff>14578</xdr:rowOff>
    </xdr:from>
    <xdr:to>
      <xdr:col>31</xdr:col>
      <xdr:colOff>105356</xdr:colOff>
      <xdr:row>56</xdr:row>
      <xdr:rowOff>5054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2209800</xdr:colOff>
      <xdr:row>34</xdr:row>
      <xdr:rowOff>28574</xdr:rowOff>
    </xdr:from>
    <xdr:to>
      <xdr:col>18</xdr:col>
      <xdr:colOff>876300</xdr:colOff>
      <xdr:row>54</xdr:row>
      <xdr:rowOff>38099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781050</xdr:colOff>
      <xdr:row>63</xdr:row>
      <xdr:rowOff>85724</xdr:rowOff>
    </xdr:from>
    <xdr:to>
      <xdr:col>31</xdr:col>
      <xdr:colOff>342900</xdr:colOff>
      <xdr:row>87</xdr:row>
      <xdr:rowOff>152399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954232</xdr:colOff>
      <xdr:row>94</xdr:row>
      <xdr:rowOff>189633</xdr:rowOff>
    </xdr:from>
    <xdr:to>
      <xdr:col>31</xdr:col>
      <xdr:colOff>516082</xdr:colOff>
      <xdr:row>119</xdr:row>
      <xdr:rowOff>65808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686555</xdr:colOff>
      <xdr:row>8</xdr:row>
      <xdr:rowOff>4917</xdr:rowOff>
    </xdr:from>
    <xdr:to>
      <xdr:col>5</xdr:col>
      <xdr:colOff>105624</xdr:colOff>
      <xdr:row>22</xdr:row>
      <xdr:rowOff>167149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233881</xdr:colOff>
      <xdr:row>30</xdr:row>
      <xdr:rowOff>140110</xdr:rowOff>
    </xdr:from>
    <xdr:to>
      <xdr:col>5</xdr:col>
      <xdr:colOff>52812</xdr:colOff>
      <xdr:row>45</xdr:row>
      <xdr:rowOff>117987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1946495</xdr:colOff>
      <xdr:row>7</xdr:row>
      <xdr:rowOff>115530</xdr:rowOff>
    </xdr:from>
    <xdr:to>
      <xdr:col>10</xdr:col>
      <xdr:colOff>437584</xdr:colOff>
      <xdr:row>22</xdr:row>
      <xdr:rowOff>93407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1109049</xdr:colOff>
      <xdr:row>30</xdr:row>
      <xdr:rowOff>152401</xdr:rowOff>
    </xdr:from>
    <xdr:to>
      <xdr:col>11</xdr:col>
      <xdr:colOff>75446</xdr:colOff>
      <xdr:row>45</xdr:row>
      <xdr:rowOff>130278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737420</xdr:colOff>
      <xdr:row>7</xdr:row>
      <xdr:rowOff>54077</xdr:rowOff>
    </xdr:from>
    <xdr:to>
      <xdr:col>19</xdr:col>
      <xdr:colOff>233517</xdr:colOff>
      <xdr:row>25</xdr:row>
      <xdr:rowOff>110613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648833</xdr:colOff>
      <xdr:row>30</xdr:row>
      <xdr:rowOff>176981</xdr:rowOff>
    </xdr:from>
    <xdr:to>
      <xdr:col>18</xdr:col>
      <xdr:colOff>37724</xdr:colOff>
      <xdr:row>45</xdr:row>
      <xdr:rowOff>154858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884902</xdr:colOff>
      <xdr:row>7</xdr:row>
      <xdr:rowOff>41787</xdr:rowOff>
    </xdr:from>
    <xdr:to>
      <xdr:col>26</xdr:col>
      <xdr:colOff>24580</xdr:colOff>
      <xdr:row>25</xdr:row>
      <xdr:rowOff>61451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1696064</xdr:colOff>
      <xdr:row>30</xdr:row>
      <xdr:rowOff>115530</xdr:rowOff>
    </xdr:from>
    <xdr:to>
      <xdr:col>24</xdr:col>
      <xdr:colOff>294968</xdr:colOff>
      <xdr:row>45</xdr:row>
      <xdr:rowOff>93407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1160060</xdr:colOff>
      <xdr:row>7</xdr:row>
      <xdr:rowOff>89848</xdr:rowOff>
    </xdr:from>
    <xdr:to>
      <xdr:col>32</xdr:col>
      <xdr:colOff>477672</xdr:colOff>
      <xdr:row>22</xdr:row>
      <xdr:rowOff>103496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2104030</xdr:colOff>
      <xdr:row>9</xdr:row>
      <xdr:rowOff>32983</xdr:rowOff>
    </xdr:from>
    <xdr:to>
      <xdr:col>43</xdr:col>
      <xdr:colOff>511791</xdr:colOff>
      <xdr:row>24</xdr:row>
      <xdr:rowOff>170597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2229134</xdr:colOff>
      <xdr:row>7</xdr:row>
      <xdr:rowOff>42334</xdr:rowOff>
    </xdr:from>
    <xdr:to>
      <xdr:col>53</xdr:col>
      <xdr:colOff>50800</xdr:colOff>
      <xdr:row>24</xdr:row>
      <xdr:rowOff>113731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1248832</xdr:colOff>
      <xdr:row>5</xdr:row>
      <xdr:rowOff>131233</xdr:rowOff>
    </xdr:from>
    <xdr:to>
      <xdr:col>5</xdr:col>
      <xdr:colOff>341587</xdr:colOff>
      <xdr:row>21</xdr:row>
      <xdr:rowOff>158749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315310</xdr:colOff>
      <xdr:row>5</xdr:row>
      <xdr:rowOff>131232</xdr:rowOff>
    </xdr:from>
    <xdr:to>
      <xdr:col>12</xdr:col>
      <xdr:colOff>486103</xdr:colOff>
      <xdr:row>22</xdr:row>
      <xdr:rowOff>10582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867832</xdr:colOff>
      <xdr:row>27</xdr:row>
      <xdr:rowOff>173566</xdr:rowOff>
    </xdr:from>
    <xdr:to>
      <xdr:col>5</xdr:col>
      <xdr:colOff>591206</xdr:colOff>
      <xdr:row>47</xdr:row>
      <xdr:rowOff>21165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157654</xdr:colOff>
      <xdr:row>27</xdr:row>
      <xdr:rowOff>128678</xdr:rowOff>
    </xdr:from>
    <xdr:to>
      <xdr:col>12</xdr:col>
      <xdr:colOff>382094</xdr:colOff>
      <xdr:row>46</xdr:row>
      <xdr:rowOff>105103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472966</xdr:colOff>
      <xdr:row>5</xdr:row>
      <xdr:rowOff>99849</xdr:rowOff>
    </xdr:from>
    <xdr:to>
      <xdr:col>19</xdr:col>
      <xdr:colOff>210208</xdr:colOff>
      <xdr:row>22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499241</xdr:colOff>
      <xdr:row>5</xdr:row>
      <xdr:rowOff>126125</xdr:rowOff>
    </xdr:from>
    <xdr:to>
      <xdr:col>27</xdr:col>
      <xdr:colOff>26276</xdr:colOff>
      <xdr:row>22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229912</xdr:colOff>
      <xdr:row>27</xdr:row>
      <xdr:rowOff>99848</xdr:rowOff>
    </xdr:from>
    <xdr:to>
      <xdr:col>19</xdr:col>
      <xdr:colOff>275895</xdr:colOff>
      <xdr:row>47</xdr:row>
      <xdr:rowOff>157655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578068</xdr:colOff>
      <xdr:row>27</xdr:row>
      <xdr:rowOff>112986</xdr:rowOff>
    </xdr:from>
    <xdr:to>
      <xdr:col>27</xdr:col>
      <xdr:colOff>131380</xdr:colOff>
      <xdr:row>47</xdr:row>
      <xdr:rowOff>105103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</xdr:col>
      <xdr:colOff>177800</xdr:colOff>
      <xdr:row>3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9F81B5E-387D-F740-BA18-B6A140554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16383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177800</xdr:colOff>
      <xdr:row>105</xdr:row>
      <xdr:rowOff>177800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78550CF-9936-D44D-BBB8-485C9037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</xdr:row>
      <xdr:rowOff>0</xdr:rowOff>
    </xdr:from>
    <xdr:to>
      <xdr:col>5</xdr:col>
      <xdr:colOff>654050</xdr:colOff>
      <xdr:row>4</xdr:row>
      <xdr:rowOff>25400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30</xdr:row>
      <xdr:rowOff>165100</xdr:rowOff>
    </xdr:from>
    <xdr:to>
      <xdr:col>5</xdr:col>
      <xdr:colOff>609600</xdr:colOff>
      <xdr:row>44</xdr:row>
      <xdr:rowOff>63500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108857</xdr:colOff>
      <xdr:row>51</xdr:row>
      <xdr:rowOff>53438</xdr:rowOff>
    </xdr:from>
    <xdr:to>
      <xdr:col>5</xdr:col>
      <xdr:colOff>653143</xdr:colOff>
      <xdr:row>65</xdr:row>
      <xdr:rowOff>25729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132522</xdr:colOff>
      <xdr:row>72</xdr:row>
      <xdr:rowOff>64051</xdr:rowOff>
    </xdr:from>
    <xdr:to>
      <xdr:col>5</xdr:col>
      <xdr:colOff>651565</xdr:colOff>
      <xdr:row>86</xdr:row>
      <xdr:rowOff>24295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66261</xdr:colOff>
      <xdr:row>92</xdr:row>
      <xdr:rowOff>75097</xdr:rowOff>
    </xdr:from>
    <xdr:to>
      <xdr:col>5</xdr:col>
      <xdr:colOff>585304</xdr:colOff>
      <xdr:row>106</xdr:row>
      <xdr:rowOff>35340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0</xdr:colOff>
      <xdr:row>87</xdr:row>
      <xdr:rowOff>0</xdr:rowOff>
    </xdr:from>
    <xdr:to>
      <xdr:col>22</xdr:col>
      <xdr:colOff>304800</xdr:colOff>
      <xdr:row>88</xdr:row>
      <xdr:rowOff>25399</xdr:rowOff>
    </xdr:to>
    <xdr:pic>
      <xdr:nvPicPr>
        <xdr:cNvPr id="2" name="Obraz 1" descr="page37image3030181264">
          <a:extLst>
            <a:ext uri="{FF2B5EF4-FFF2-40B4-BE49-F238E27FC236}">
              <a16:creationId xmlns:a16="http://schemas.microsoft.com/office/drawing/2014/main" id="{49DD3AB8-9810-3573-3159-91B8FE7C5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8808700"/>
          <a:ext cx="63627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-1emis-1com-1m046pssm0004.han.bg.pwr.edu.pl/php/benchmark/sector/indicators?pc=PL&amp;subp=&amp;indu=2121&amp;gid=1" TargetMode="External"/><Relationship Id="rId13" Type="http://schemas.openxmlformats.org/officeDocument/2006/relationships/hyperlink" Target="https://www.wug.gov.pl/bhp/nadzorowane_zaklady" TargetMode="External"/><Relationship Id="rId18" Type="http://schemas.openxmlformats.org/officeDocument/2006/relationships/hyperlink" Target="https://www-1emis-1com-1m046pssm0004.han.bg.pwr.edu.pl/php/benchmark/sector/indicators?pc=PL&amp;subp=&amp;indu=2121&amp;gid=2" TargetMode="External"/><Relationship Id="rId3" Type="http://schemas.openxmlformats.org/officeDocument/2006/relationships/hyperlink" Target="https://eanaliza.pl/wskaznik-zastosowania-kapitalu-wlasnego" TargetMode="External"/><Relationship Id="rId21" Type="http://schemas.openxmlformats.org/officeDocument/2006/relationships/hyperlink" Target="https://phavi.umcs.pl/at/attachments/2017/0508/102655-wskazniki-wzory-i-interpretacja.pdf" TargetMode="External"/><Relationship Id="rId7" Type="http://schemas.openxmlformats.org/officeDocument/2006/relationships/hyperlink" Target="https://www-1emis-1com-1m046pssm0004.han.bg.pwr.edu.pl/php/benchmark/sector/indicators?pc=PL&amp;subp=&amp;indu=2121&amp;gid=2" TargetMode="External"/><Relationship Id="rId12" Type="http://schemas.openxmlformats.org/officeDocument/2006/relationships/hyperlink" Target="https://www-1emis-1com-1m046pssm0004.han.bg.pwr.edu.pl/php/benchmark/sector/indicators?pc=PL&amp;subp=&amp;indu=2121&amp;gid=2" TargetMode="External"/><Relationship Id="rId17" Type="http://schemas.openxmlformats.org/officeDocument/2006/relationships/hyperlink" Target="https://www-1emis-1com-1m046pssm0004.han.bg.pwr.edu.pl/php/benchmark/sector/indicators?pc=PL&amp;subp=&amp;indu=2121&amp;gid=1" TargetMode="External"/><Relationship Id="rId2" Type="http://schemas.openxmlformats.org/officeDocument/2006/relationships/hyperlink" Target="https://phavi.umcs.pl/at/attachments/2017/0508/102655-wskazniki-wzory-i-interpretacja.pdf" TargetMode="External"/><Relationship Id="rId16" Type="http://schemas.openxmlformats.org/officeDocument/2006/relationships/hyperlink" Target="https://www-1emis-1com-1m046pss30017.han.bg.pwr.edu.pl/php/benchmark/sector/indicators?pc=PL&amp;subp=&amp;indu=2121&amp;gid=3" TargetMode="External"/><Relationship Id="rId20" Type="http://schemas.openxmlformats.org/officeDocument/2006/relationships/hyperlink" Target="https://www-1emis-1com-1m046psl3002d.han.bg.pwr.edu.pl/php/benchmark/sector/indicators?pc=PL&amp;subp=&amp;indu=2121&amp;gid=3" TargetMode="External"/><Relationship Id="rId1" Type="http://schemas.openxmlformats.org/officeDocument/2006/relationships/hyperlink" Target="https://phavi.umcs.pl/at/attachments/2017/0508/102655-wskazniki-wzory-i-interpretacja.pdf" TargetMode="External"/><Relationship Id="rId6" Type="http://schemas.openxmlformats.org/officeDocument/2006/relationships/hyperlink" Target="https://www-1emis-1com-1m046pssm0004.han.bg.pwr.edu.pl/php/benchmark/sector/indicators?pc=PL&amp;subp=&amp;indu=2121&amp;gid=1" TargetMode="External"/><Relationship Id="rId11" Type="http://schemas.openxmlformats.org/officeDocument/2006/relationships/hyperlink" Target="https://www-1emis-1com-1m046pssm0004.han.bg.pwr.edu.pl/php/benchmark/sector/indicators?pc=PL&amp;subp=&amp;indu=2121&amp;gid=1" TargetMode="External"/><Relationship Id="rId5" Type="http://schemas.openxmlformats.org/officeDocument/2006/relationships/hyperlink" Target="https://www-1emis-1com-1m046pssm0004.han.bg.pwr.edu.pl/php/benchmark/sector/indicators?pc=PL&amp;subp=&amp;indu=2121&amp;gid=2" TargetMode="External"/><Relationship Id="rId15" Type="http://schemas.openxmlformats.org/officeDocument/2006/relationships/hyperlink" Target="https://www-1emis-1com-1m046pss30017.han.bg.pwr.edu.pl/php/companies/index/financials?pc=PL&amp;cmpy=1454137&amp;view-fins=all&amp;fptype=A&amp;curr=PLN&amp;display_units=3&amp;hide-empty=yes&amp;excel_export=&amp;form_sent=1&amp;cons=A&amp;pub_standard=&amp;periods%5B%5D=2021YY&amp;periods%5B%5D=2020YY&amp;periods%5B%5D=2019YY&amp;periods%5B%5D=2018YY&amp;periods%5B%5D=2017YY" TargetMode="External"/><Relationship Id="rId10" Type="http://schemas.openxmlformats.org/officeDocument/2006/relationships/hyperlink" Target="https://www-1emis-1com-1m046pssm0004.han.bg.pwr.edu.pl/php/benchmark/sector/indicators?pc=PL&amp;subp=&amp;indu=2121&amp;gid=1" TargetMode="External"/><Relationship Id="rId19" Type="http://schemas.openxmlformats.org/officeDocument/2006/relationships/hyperlink" Target="https://www-1emis-1com-1m046pssm0004.han.bg.pwr.edu.pl/php/benchmark/sector/indicators?pc=PL&amp;subp=&amp;indu=2121&amp;gid=2" TargetMode="External"/><Relationship Id="rId4" Type="http://schemas.openxmlformats.org/officeDocument/2006/relationships/hyperlink" Target="https://phavi.umcs.pl/at/attachments/2017/0508/102655-wskazniki-wzory-i-interpretacja.pdf" TargetMode="External"/><Relationship Id="rId9" Type="http://schemas.openxmlformats.org/officeDocument/2006/relationships/hyperlink" Target="https://www-1emis-1com-1m046pssm0004.han.bg.pwr.edu.pl/php/benchmark/sector/indicators?pc=PL&amp;subp=&amp;indu=2121&amp;gid=2" TargetMode="External"/><Relationship Id="rId14" Type="http://schemas.openxmlformats.org/officeDocument/2006/relationships/hyperlink" Target="https://www-1emis-1com-1m046pss30017.han.bg.pwr.edu.pl/php/companies/index/financials?pc=PL&amp;cmpy=1454510&amp;view-fins=all&amp;fptype=A&amp;curr=PLN&amp;display_units=3&amp;hide-empty=yes&amp;excel_export=&amp;form_sent=1&amp;cons=A&amp;pub_standard=&amp;periods%5B%5D=2021YY&amp;periods%5B%5D=2020YY&amp;periods%5B%5D=2019YY&amp;periods%5B%5D=2018YY&amp;periods%5B%5D=2017YY" TargetMode="External"/><Relationship Id="rId22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lw.com.pl/notowania-gieldowe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s://www.bankier.pl/gielda/notowania/akcje/JSW/wyniki-finansowe/jednostkowy/roczny/standardowy/2" TargetMode="External"/><Relationship Id="rId1" Type="http://schemas.openxmlformats.org/officeDocument/2006/relationships/hyperlink" Target="https://www.jsw.pl/raportroczny-2022/grupa-kaptialowa-jsw/akcjonariat-i-akcje" TargetMode="External"/><Relationship Id="rId6" Type="http://schemas.openxmlformats.org/officeDocument/2006/relationships/hyperlink" Target="https://www-1emis-1com-1m046ps100008.han.bg.pwr.edu.pl/php/companies/index-v2/screener?i%5B0%5D=2121&amp;local_class=naicsbyid&amp;getRequestParams=1%20," TargetMode="External"/><Relationship Id="rId5" Type="http://schemas.openxmlformats.org/officeDocument/2006/relationships/hyperlink" Target="https://www.bankier.pl/wiadomosc/LW-BOGDANKA-S-A-wyniki-finansowe-8713828.html" TargetMode="External"/><Relationship Id="rId4" Type="http://schemas.openxmlformats.org/officeDocument/2006/relationships/hyperlink" Target="https://www.bankier.pl/gielda/notowania/akcje/JSW/wyniki-finansowe/jednostkowy/roczny/standardowy/2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-1emis-1com-1m046ps45003a.han.bg.pwr.edu.pl/php/benchmark/sector/indicators?pc=PL&amp;subp=&amp;indu=2121&amp;gid=3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.nbp.pl/publikacje/materialy-i-studia/ms286.pdf" TargetMode="External"/><Relationship Id="rId2" Type="http://schemas.openxmlformats.org/officeDocument/2006/relationships/hyperlink" Target="https://static.nbp.pl/publikacje/materialy-i-studia/ms286.pdf" TargetMode="External"/><Relationship Id="rId1" Type="http://schemas.openxmlformats.org/officeDocument/2006/relationships/hyperlink" Target="https://static.nbp.pl/publikacje/materialy-i-studia/ms286.pdf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biznesradar.pl/wskazniki-plynnosci/JSW-JASTRZEBSKA-SPOLKA-WEGLOWA" TargetMode="External"/><Relationship Id="rId1" Type="http://schemas.openxmlformats.org/officeDocument/2006/relationships/hyperlink" Target="https://www-1emis-1com-1m046ps3v005b.han.bg.pwr.edu.pl/php/benchmark/sector/indicators?pc=PL&amp;prod%5B0%5D=PL&amp;change_selected_countries=1&amp;subp=&amp;indu=2121&amp;gid=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-1emis-1com-1m046ps3v0037.han.bg.pwr.edu.pl/php/benchmark/sector/indicators?pc=PL&amp;prod%5B%5D=PL&amp;change_selected_countries=1&amp;subp=&amp;indu=212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https://www-1emis-1com-1m046ps4k0006.han.bg.pwr.edu.pl/php/benchmark/sector/indicators?pc=PL&amp;subp=&amp;indu=2121&amp;gid=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-1emis-1com-1m046ps4k0006.han.bg.pwr.edu.pl/php/benchmark/sector/indicators?pc=PL&amp;subp=&amp;indu=2121&amp;gid=3" TargetMode="External"/><Relationship Id="rId1" Type="http://schemas.openxmlformats.org/officeDocument/2006/relationships/hyperlink" Target="https://www-1emis-1com-1m046ps4a0060.han.bg.pwr.edu.pl/php/benchmark/sector/indicators?pc=PL&amp;subp=&amp;indu=2121&amp;gid=1" TargetMode="External"/><Relationship Id="rId6" Type="http://schemas.openxmlformats.org/officeDocument/2006/relationships/hyperlink" Target="https://www-1emis-1com-1m046ps4k0006.han.bg.pwr.edu.pl/php/benchmark/sector/indicators?pc=PL&amp;subp=&amp;indu=2121&amp;gid=1" TargetMode="External"/><Relationship Id="rId5" Type="http://schemas.openxmlformats.org/officeDocument/2006/relationships/hyperlink" Target="https://www-1emis-1com-1m046ps4k0006.han.bg.pwr.edu.pl/php/benchmark/sector/indicators?pc=PL&amp;subp=&amp;indu=2121&amp;gid=3" TargetMode="External"/><Relationship Id="rId4" Type="http://schemas.openxmlformats.org/officeDocument/2006/relationships/hyperlink" Target="https://www-1emis-1com-1m046ps4k0006.han.bg.pwr.edu.pl/php/benchmark/sector/indicators?pc=PL&amp;subp=&amp;indu=2121&amp;gid=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-1emis-1com-1m046ps910002.han.bg.pwr.edu.pl/php/benchmark/sector/indicators?pc=PL&amp;subp=&amp;indu=2121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CD30-0A44-4C56-916D-7BF8DE1F2DFB}">
  <sheetPr>
    <tabColor rgb="FF828282"/>
  </sheetPr>
  <dimension ref="A1:N234"/>
  <sheetViews>
    <sheetView showGridLines="0" zoomScaleNormal="89" zoomScalePageLayoutView="64" workbookViewId="0">
      <selection activeCell="F99" sqref="F99"/>
    </sheetView>
  </sheetViews>
  <sheetFormatPr defaultColWidth="8.77734375" defaultRowHeight="14.4"/>
  <cols>
    <col min="1" max="1" width="50" customWidth="1"/>
    <col min="2" max="6" width="20" customWidth="1"/>
    <col min="8" max="8" width="9.77734375" bestFit="1" customWidth="1"/>
  </cols>
  <sheetData>
    <row r="1" spans="1:7">
      <c r="A1" s="273"/>
      <c r="B1" s="273"/>
      <c r="C1" s="273"/>
    </row>
    <row r="2" spans="1:7">
      <c r="A2" s="273"/>
      <c r="B2" s="273"/>
      <c r="C2" s="273"/>
      <c r="D2" s="274" t="s">
        <v>0</v>
      </c>
      <c r="E2" s="274"/>
      <c r="F2" s="274"/>
      <c r="G2" s="274"/>
    </row>
    <row r="3" spans="1:7">
      <c r="A3" s="273"/>
      <c r="B3" s="273"/>
      <c r="C3" s="273"/>
      <c r="D3" s="274" t="s">
        <v>287</v>
      </c>
      <c r="E3" s="274"/>
      <c r="F3" s="274"/>
      <c r="G3" s="274"/>
    </row>
    <row r="4" spans="1:7">
      <c r="A4" s="273"/>
      <c r="B4" s="273"/>
      <c r="C4" s="273"/>
      <c r="D4" s="274" t="s">
        <v>286</v>
      </c>
      <c r="E4" s="274"/>
      <c r="F4" s="274"/>
      <c r="G4" s="274"/>
    </row>
    <row r="5" spans="1:7">
      <c r="A5" s="273"/>
      <c r="B5" s="273"/>
      <c r="C5" s="273"/>
      <c r="D5" s="274" t="s">
        <v>1</v>
      </c>
      <c r="E5" s="274"/>
      <c r="F5" s="274"/>
      <c r="G5" s="274"/>
    </row>
    <row r="7" spans="1:7" ht="19.95" customHeight="1">
      <c r="A7" s="272" t="s">
        <v>285</v>
      </c>
      <c r="B7" s="273"/>
      <c r="C7" s="273"/>
      <c r="D7" s="273"/>
      <c r="E7" s="273"/>
      <c r="F7" s="273"/>
      <c r="G7" s="273"/>
    </row>
    <row r="8" spans="1:7">
      <c r="A8" t="s">
        <v>284</v>
      </c>
    </row>
    <row r="10" spans="1:7">
      <c r="A10" s="125" t="s">
        <v>204</v>
      </c>
      <c r="B10" s="124" t="s">
        <v>203</v>
      </c>
      <c r="C10" s="124" t="s">
        <v>203</v>
      </c>
      <c r="D10" s="124" t="s">
        <v>203</v>
      </c>
      <c r="E10" s="124" t="s">
        <v>203</v>
      </c>
      <c r="F10" s="124" t="s">
        <v>203</v>
      </c>
    </row>
    <row r="11" spans="1:7">
      <c r="A11" s="123" t="s">
        <v>196</v>
      </c>
      <c r="B11" s="122" t="s">
        <v>195</v>
      </c>
      <c r="C11" s="122" t="s">
        <v>194</v>
      </c>
      <c r="D11" s="122" t="s">
        <v>193</v>
      </c>
      <c r="E11" s="122" t="s">
        <v>192</v>
      </c>
      <c r="F11" s="122" t="s">
        <v>191</v>
      </c>
    </row>
    <row r="12" spans="1:7">
      <c r="A12" s="125" t="s">
        <v>283</v>
      </c>
      <c r="B12" s="124" t="s">
        <v>282</v>
      </c>
      <c r="C12" s="124" t="s">
        <v>282</v>
      </c>
      <c r="D12" s="124" t="s">
        <v>282</v>
      </c>
      <c r="E12" s="124" t="s">
        <v>282</v>
      </c>
      <c r="F12" s="124" t="s">
        <v>282</v>
      </c>
    </row>
    <row r="15" spans="1:7">
      <c r="A15" s="130" t="s">
        <v>2</v>
      </c>
      <c r="B15" s="130">
        <v>2022</v>
      </c>
      <c r="C15" s="130">
        <v>2021</v>
      </c>
      <c r="D15" s="130">
        <v>2020</v>
      </c>
      <c r="E15" s="130">
        <v>2019</v>
      </c>
      <c r="F15" s="130">
        <v>2018</v>
      </c>
    </row>
    <row r="16" spans="1:7">
      <c r="A16" s="125" t="s">
        <v>281</v>
      </c>
      <c r="B16" s="127">
        <v>20558200</v>
      </c>
      <c r="C16" s="127">
        <v>11219400</v>
      </c>
      <c r="D16" s="127">
        <v>7250600</v>
      </c>
      <c r="E16" s="127">
        <v>8961300</v>
      </c>
      <c r="F16" s="127">
        <v>11425000</v>
      </c>
    </row>
    <row r="17" spans="1:8">
      <c r="A17" s="123" t="s">
        <v>280</v>
      </c>
      <c r="B17" s="126">
        <v>20198500</v>
      </c>
      <c r="C17" s="126">
        <v>10629100</v>
      </c>
      <c r="D17" s="126">
        <v>6936000</v>
      </c>
      <c r="E17" s="126">
        <v>8671800</v>
      </c>
      <c r="F17" s="126">
        <v>9809000</v>
      </c>
    </row>
    <row r="18" spans="1:8">
      <c r="A18" s="125" t="s">
        <v>155</v>
      </c>
      <c r="B18" s="127">
        <v>-9552500</v>
      </c>
      <c r="C18" s="127">
        <v>-8033900</v>
      </c>
      <c r="D18" s="127">
        <v>-7337300</v>
      </c>
      <c r="E18" s="127">
        <v>-7068200</v>
      </c>
      <c r="F18" s="127">
        <v>-6938000</v>
      </c>
    </row>
    <row r="19" spans="1:8">
      <c r="A19" s="123" t="s">
        <v>279</v>
      </c>
      <c r="B19" s="126">
        <v>10646000</v>
      </c>
      <c r="C19" s="126">
        <v>2595200</v>
      </c>
      <c r="D19" s="126">
        <v>-401300</v>
      </c>
      <c r="E19" s="126">
        <v>1603600</v>
      </c>
      <c r="F19" s="126">
        <v>2871000</v>
      </c>
    </row>
    <row r="20" spans="1:8">
      <c r="A20" s="125" t="s">
        <v>278</v>
      </c>
      <c r="B20" s="127">
        <v>-357200</v>
      </c>
      <c r="C20" s="127">
        <v>-277600</v>
      </c>
      <c r="D20" s="127">
        <v>-288500</v>
      </c>
      <c r="E20" s="127">
        <v>-261500</v>
      </c>
      <c r="F20" s="127">
        <v>-298000</v>
      </c>
    </row>
    <row r="21" spans="1:8">
      <c r="A21" s="123" t="s">
        <v>277</v>
      </c>
      <c r="B21" s="126">
        <v>-826600</v>
      </c>
      <c r="C21" s="126">
        <v>-684800</v>
      </c>
      <c r="D21" s="126">
        <v>-697700</v>
      </c>
      <c r="E21" s="126">
        <v>-709300</v>
      </c>
      <c r="F21" s="126">
        <v>-623000</v>
      </c>
    </row>
    <row r="22" spans="1:8">
      <c r="A22" s="125" t="s">
        <v>276</v>
      </c>
      <c r="B22" s="127">
        <v>-125800</v>
      </c>
      <c r="C22" s="127">
        <v>-370400</v>
      </c>
      <c r="D22" s="127">
        <v>-393100</v>
      </c>
      <c r="E22" s="127">
        <v>194400</v>
      </c>
      <c r="F22" s="127">
        <v>306000</v>
      </c>
      <c r="H22" s="247">
        <f>F17+F18</f>
        <v>2871000</v>
      </c>
    </row>
    <row r="23" spans="1:8">
      <c r="A23" s="123" t="s">
        <v>275</v>
      </c>
      <c r="B23" s="126">
        <v>359700</v>
      </c>
      <c r="C23" s="126">
        <v>590300</v>
      </c>
      <c r="D23" s="126">
        <v>314600</v>
      </c>
      <c r="E23" s="126">
        <v>289500</v>
      </c>
      <c r="F23" s="126">
        <v>1616000</v>
      </c>
    </row>
    <row r="24" spans="1:8">
      <c r="A24" s="125" t="s">
        <v>274</v>
      </c>
      <c r="B24" s="127">
        <v>-485500</v>
      </c>
      <c r="C24" s="127">
        <v>-960700</v>
      </c>
      <c r="D24" s="127">
        <v>-707700</v>
      </c>
      <c r="E24" s="127">
        <v>-95100</v>
      </c>
      <c r="F24" s="127">
        <v>-1310000</v>
      </c>
    </row>
    <row r="25" spans="1:8">
      <c r="A25" s="123" t="s">
        <v>273</v>
      </c>
      <c r="B25" s="126">
        <v>9336400</v>
      </c>
      <c r="C25" s="126">
        <v>1262400</v>
      </c>
      <c r="D25" s="126">
        <v>-1780600</v>
      </c>
      <c r="E25" s="126">
        <v>905600</v>
      </c>
      <c r="F25" s="126">
        <v>2254000</v>
      </c>
    </row>
    <row r="26" spans="1:8">
      <c r="A26" s="125" t="s">
        <v>272</v>
      </c>
      <c r="B26" s="127">
        <v>52900</v>
      </c>
      <c r="C26" s="127">
        <v>-95800</v>
      </c>
      <c r="D26" s="127">
        <v>-87100</v>
      </c>
      <c r="E26" s="127">
        <v>-77900</v>
      </c>
      <c r="F26" s="127">
        <v>-61000</v>
      </c>
    </row>
    <row r="27" spans="1:8">
      <c r="A27" s="123" t="s">
        <v>271</v>
      </c>
      <c r="B27" s="126">
        <v>194300</v>
      </c>
      <c r="C27" s="126">
        <v>8200</v>
      </c>
      <c r="D27" s="126">
        <v>8100</v>
      </c>
      <c r="E27" s="126">
        <v>26500</v>
      </c>
      <c r="F27" s="126">
        <v>40000</v>
      </c>
    </row>
    <row r="28" spans="1:8">
      <c r="A28" s="125" t="s">
        <v>270</v>
      </c>
      <c r="B28" s="127">
        <v>-141400</v>
      </c>
      <c r="C28" s="127">
        <v>-104000</v>
      </c>
      <c r="D28" s="127">
        <v>-95200</v>
      </c>
      <c r="E28" s="127">
        <v>-104400</v>
      </c>
      <c r="F28" s="127">
        <v>-101000</v>
      </c>
    </row>
    <row r="29" spans="1:8">
      <c r="A29" s="123" t="s">
        <v>269</v>
      </c>
      <c r="B29" s="126">
        <v>9389400</v>
      </c>
      <c r="C29" s="126">
        <v>1166700</v>
      </c>
      <c r="D29" s="126">
        <v>-1867600</v>
      </c>
      <c r="E29" s="126">
        <v>828000</v>
      </c>
      <c r="F29" s="126">
        <v>2192000</v>
      </c>
    </row>
    <row r="30" spans="1:8">
      <c r="A30" s="125" t="s">
        <v>3</v>
      </c>
      <c r="B30" s="127">
        <v>-1795600</v>
      </c>
      <c r="C30" s="127">
        <v>-214100</v>
      </c>
      <c r="D30" s="127">
        <v>330200</v>
      </c>
      <c r="E30" s="127">
        <v>-178400</v>
      </c>
      <c r="F30" s="127">
        <v>-431000</v>
      </c>
    </row>
    <row r="31" spans="1:8">
      <c r="A31" s="123" t="s">
        <v>268</v>
      </c>
      <c r="B31" s="126">
        <v>7593800</v>
      </c>
      <c r="C31" s="126">
        <v>952600</v>
      </c>
      <c r="D31" s="126">
        <v>-1537400</v>
      </c>
      <c r="E31" s="126">
        <v>649600</v>
      </c>
      <c r="F31" s="126">
        <v>1760000</v>
      </c>
    </row>
    <row r="34" spans="1:8">
      <c r="A34" s="130" t="s">
        <v>5</v>
      </c>
      <c r="B34" s="130">
        <v>2022</v>
      </c>
      <c r="C34" s="130">
        <v>2021</v>
      </c>
      <c r="D34" s="130">
        <v>2020</v>
      </c>
      <c r="E34" s="130">
        <v>2019</v>
      </c>
      <c r="F34" s="130">
        <v>2018</v>
      </c>
    </row>
    <row r="35" spans="1:8">
      <c r="A35" s="123" t="s">
        <v>6</v>
      </c>
      <c r="B35" s="126">
        <v>26963100</v>
      </c>
      <c r="C35" s="126">
        <v>15961800</v>
      </c>
      <c r="D35" s="126">
        <v>15030900</v>
      </c>
      <c r="E35" s="126">
        <v>14926400</v>
      </c>
      <c r="F35" s="126">
        <v>13762000</v>
      </c>
    </row>
    <row r="36" spans="1:8">
      <c r="A36" s="125" t="s">
        <v>267</v>
      </c>
      <c r="B36" s="127">
        <v>19110800</v>
      </c>
      <c r="C36" s="127">
        <v>12070200</v>
      </c>
      <c r="D36" s="127">
        <v>11638500</v>
      </c>
      <c r="E36" s="127">
        <v>11565100</v>
      </c>
      <c r="F36" s="127">
        <v>10300000</v>
      </c>
    </row>
    <row r="37" spans="1:8">
      <c r="A37" s="123" t="s">
        <v>266</v>
      </c>
      <c r="B37" s="126">
        <v>10374300</v>
      </c>
      <c r="C37" s="126">
        <v>9383400</v>
      </c>
      <c r="D37" s="126">
        <v>8995600</v>
      </c>
      <c r="E37" s="126">
        <v>8672300</v>
      </c>
      <c r="F37" s="126">
        <v>7303000</v>
      </c>
    </row>
    <row r="38" spans="1:8">
      <c r="A38" s="125" t="s">
        <v>265</v>
      </c>
      <c r="B38" s="127">
        <v>116200</v>
      </c>
      <c r="C38" s="127">
        <v>163400</v>
      </c>
      <c r="D38" s="127">
        <v>152200</v>
      </c>
      <c r="E38" s="127">
        <v>174300</v>
      </c>
      <c r="F38" s="127">
        <v>130000</v>
      </c>
    </row>
    <row r="39" spans="1:8">
      <c r="A39" s="123" t="s">
        <v>264</v>
      </c>
      <c r="B39" s="128">
        <v>0</v>
      </c>
      <c r="C39" s="126">
        <v>57000</v>
      </c>
      <c r="D39" s="126">
        <v>57000</v>
      </c>
      <c r="E39" s="126">
        <v>57000</v>
      </c>
      <c r="F39" s="128">
        <v>0</v>
      </c>
    </row>
    <row r="40" spans="1:8">
      <c r="A40" s="125" t="s">
        <v>263</v>
      </c>
      <c r="B40" s="127">
        <v>116200</v>
      </c>
      <c r="C40" s="127">
        <v>106400</v>
      </c>
      <c r="D40" s="127">
        <v>95200</v>
      </c>
      <c r="E40" s="127">
        <v>117300</v>
      </c>
      <c r="F40" s="127">
        <v>130000</v>
      </c>
    </row>
    <row r="41" spans="1:8">
      <c r="A41" s="123" t="s">
        <v>262</v>
      </c>
      <c r="B41" s="126">
        <v>7591000</v>
      </c>
      <c r="C41" s="126">
        <v>1181900</v>
      </c>
      <c r="D41" s="126">
        <v>1015100</v>
      </c>
      <c r="E41" s="126">
        <v>401200</v>
      </c>
      <c r="F41" s="126">
        <v>2197000</v>
      </c>
    </row>
    <row r="42" spans="1:8">
      <c r="A42" s="125" t="s">
        <v>261</v>
      </c>
      <c r="B42" s="127">
        <v>22300</v>
      </c>
      <c r="C42" s="127">
        <v>22600</v>
      </c>
      <c r="D42" s="127">
        <v>23200</v>
      </c>
      <c r="E42" s="127">
        <v>23900</v>
      </c>
      <c r="F42" s="127">
        <v>21000</v>
      </c>
    </row>
    <row r="43" spans="1:8">
      <c r="A43" s="123" t="s">
        <v>260</v>
      </c>
      <c r="B43" s="126">
        <v>1200</v>
      </c>
      <c r="C43" s="126">
        <v>1200</v>
      </c>
      <c r="D43" s="126">
        <v>1200</v>
      </c>
      <c r="E43" s="126">
        <v>1200</v>
      </c>
      <c r="F43" s="126">
        <v>1000</v>
      </c>
    </row>
    <row r="44" spans="1:8">
      <c r="A44" s="125" t="s">
        <v>259</v>
      </c>
      <c r="B44" s="127">
        <v>7567500</v>
      </c>
      <c r="C44" s="127">
        <v>1158100</v>
      </c>
      <c r="D44" s="127">
        <v>990700</v>
      </c>
      <c r="E44" s="127">
        <v>376100</v>
      </c>
      <c r="F44" s="127">
        <v>2175000</v>
      </c>
    </row>
    <row r="45" spans="1:8">
      <c r="A45" s="123" t="s">
        <v>258</v>
      </c>
      <c r="B45" s="126">
        <v>495500</v>
      </c>
      <c r="C45" s="126">
        <v>849900</v>
      </c>
      <c r="D45" s="126">
        <v>877000</v>
      </c>
      <c r="E45" s="126">
        <v>525000</v>
      </c>
      <c r="F45" s="126">
        <v>669000</v>
      </c>
    </row>
    <row r="46" spans="1:8">
      <c r="A46" s="125" t="s">
        <v>257</v>
      </c>
      <c r="B46" s="127">
        <v>495500</v>
      </c>
      <c r="C46" s="127">
        <v>849900</v>
      </c>
      <c r="D46" s="127">
        <v>877000</v>
      </c>
      <c r="E46" s="127">
        <v>525000</v>
      </c>
      <c r="F46" s="127">
        <v>669000</v>
      </c>
    </row>
    <row r="47" spans="1:8">
      <c r="A47" s="123" t="s">
        <v>256</v>
      </c>
      <c r="B47" s="126">
        <v>533800</v>
      </c>
      <c r="C47" s="126">
        <v>491600</v>
      </c>
      <c r="D47" s="126">
        <v>598600</v>
      </c>
      <c r="E47" s="126">
        <v>1792300</v>
      </c>
      <c r="F47" s="128">
        <v>0</v>
      </c>
    </row>
    <row r="48" spans="1:8">
      <c r="A48" s="125" t="s">
        <v>255</v>
      </c>
      <c r="B48" s="127">
        <v>7852300</v>
      </c>
      <c r="C48" s="127">
        <v>3891600</v>
      </c>
      <c r="D48" s="127">
        <v>3392400</v>
      </c>
      <c r="E48" s="127">
        <v>3361300</v>
      </c>
      <c r="F48" s="127">
        <v>3461000</v>
      </c>
      <c r="H48" s="127"/>
    </row>
    <row r="49" spans="1:14">
      <c r="A49" s="123" t="s">
        <v>254</v>
      </c>
      <c r="B49" s="126">
        <v>990100</v>
      </c>
      <c r="C49" s="126">
        <v>652500</v>
      </c>
      <c r="D49" s="126">
        <v>880300</v>
      </c>
      <c r="E49" s="126">
        <v>1130800</v>
      </c>
      <c r="F49" s="126">
        <v>656000</v>
      </c>
    </row>
    <row r="50" spans="1:14">
      <c r="A50" s="125" t="s">
        <v>253</v>
      </c>
      <c r="B50" s="127">
        <v>1947500</v>
      </c>
      <c r="C50" s="127">
        <v>1822800</v>
      </c>
      <c r="D50" s="127">
        <v>898400</v>
      </c>
      <c r="E50" s="127">
        <v>866100</v>
      </c>
      <c r="F50" s="127">
        <v>1146000</v>
      </c>
    </row>
    <row r="51" spans="1:14">
      <c r="A51" s="123" t="s">
        <v>252</v>
      </c>
      <c r="B51" s="126">
        <v>1947500</v>
      </c>
      <c r="C51" s="126">
        <v>1822800</v>
      </c>
      <c r="D51" s="126">
        <v>898400</v>
      </c>
      <c r="E51" s="126">
        <v>866100</v>
      </c>
      <c r="F51" s="126">
        <v>1146000</v>
      </c>
    </row>
    <row r="52" spans="1:14">
      <c r="A52" s="125" t="s">
        <v>251</v>
      </c>
      <c r="B52" s="127">
        <v>46900</v>
      </c>
      <c r="C52" s="127">
        <v>20300</v>
      </c>
      <c r="D52" s="127">
        <v>13000</v>
      </c>
      <c r="E52" s="127">
        <v>151300</v>
      </c>
      <c r="F52" s="127">
        <v>7000</v>
      </c>
    </row>
    <row r="53" spans="1:14">
      <c r="A53" s="123" t="s">
        <v>232</v>
      </c>
      <c r="B53" s="126">
        <v>43800</v>
      </c>
      <c r="C53" s="126">
        <v>10700</v>
      </c>
      <c r="D53" s="126">
        <v>7800</v>
      </c>
      <c r="E53" s="126">
        <v>60500</v>
      </c>
      <c r="F53" s="126">
        <v>7000</v>
      </c>
    </row>
    <row r="54" spans="1:14">
      <c r="A54" s="125" t="s">
        <v>250</v>
      </c>
      <c r="B54" s="127">
        <v>3100</v>
      </c>
      <c r="C54" s="127">
        <v>9600</v>
      </c>
      <c r="D54" s="127">
        <v>5200</v>
      </c>
      <c r="E54" s="127">
        <v>90800</v>
      </c>
      <c r="F54" s="129">
        <v>0</v>
      </c>
    </row>
    <row r="55" spans="1:14">
      <c r="A55" s="123" t="s">
        <v>249</v>
      </c>
      <c r="B55" s="126">
        <v>4837900</v>
      </c>
      <c r="C55" s="126">
        <v>1299800</v>
      </c>
      <c r="D55" s="126">
        <v>1597300</v>
      </c>
      <c r="E55" s="126">
        <v>350300</v>
      </c>
      <c r="F55" s="126">
        <v>1650000</v>
      </c>
    </row>
    <row r="56" spans="1:14">
      <c r="A56" s="125" t="s">
        <v>248</v>
      </c>
      <c r="B56" s="127">
        <v>29900</v>
      </c>
      <c r="C56" s="127">
        <v>69200</v>
      </c>
      <c r="D56" s="127">
        <v>3400</v>
      </c>
      <c r="E56" s="127">
        <v>862800</v>
      </c>
      <c r="F56" s="129">
        <v>0</v>
      </c>
    </row>
    <row r="57" spans="1:14">
      <c r="A57" s="123" t="s">
        <v>247</v>
      </c>
      <c r="B57" s="128">
        <v>0</v>
      </c>
      <c r="C57" s="126">
        <v>27000</v>
      </c>
      <c r="D57" s="128">
        <v>0</v>
      </c>
      <c r="E57" s="128">
        <v>0</v>
      </c>
      <c r="F57" s="128">
        <v>0</v>
      </c>
    </row>
    <row r="58" spans="1:14">
      <c r="A58" s="125" t="s">
        <v>7</v>
      </c>
      <c r="B58" s="127">
        <v>26963100</v>
      </c>
      <c r="C58" s="127">
        <v>15961800</v>
      </c>
      <c r="D58" s="127">
        <v>15030900</v>
      </c>
      <c r="E58" s="127">
        <v>14926400</v>
      </c>
      <c r="F58" s="127">
        <v>13762000</v>
      </c>
    </row>
    <row r="59" spans="1:14">
      <c r="A59" s="123" t="s">
        <v>246</v>
      </c>
      <c r="B59" s="126">
        <v>15937500</v>
      </c>
      <c r="C59" s="126">
        <v>8297800</v>
      </c>
      <c r="D59" s="126">
        <v>7317100</v>
      </c>
      <c r="E59" s="126">
        <v>8851500</v>
      </c>
      <c r="F59" s="126">
        <v>8445000</v>
      </c>
    </row>
    <row r="60" spans="1:14">
      <c r="A60" s="125" t="s">
        <v>245</v>
      </c>
      <c r="B60" s="127">
        <v>15937500</v>
      </c>
      <c r="C60" s="127">
        <v>8297800</v>
      </c>
      <c r="D60" s="127">
        <v>7317100</v>
      </c>
      <c r="E60" s="127">
        <v>8851500</v>
      </c>
      <c r="F60" s="127">
        <v>8445000</v>
      </c>
      <c r="I60" s="125"/>
      <c r="J60" s="127"/>
      <c r="K60" s="127"/>
      <c r="L60" s="127"/>
      <c r="M60" s="127"/>
      <c r="N60" s="127"/>
    </row>
    <row r="61" spans="1:14">
      <c r="A61" s="123" t="s">
        <v>244</v>
      </c>
      <c r="B61" s="126">
        <v>1251900</v>
      </c>
      <c r="C61" s="126">
        <v>1251900</v>
      </c>
      <c r="D61" s="126">
        <v>1251900</v>
      </c>
      <c r="E61" s="126">
        <v>1251900</v>
      </c>
      <c r="F61" s="126">
        <v>1251000</v>
      </c>
      <c r="I61" s="123"/>
      <c r="J61" s="126"/>
      <c r="K61" s="126"/>
      <c r="L61" s="126"/>
      <c r="M61" s="126"/>
      <c r="N61" s="126"/>
    </row>
    <row r="62" spans="1:14">
      <c r="A62" s="125" t="s">
        <v>243</v>
      </c>
      <c r="B62" s="127">
        <v>-2300</v>
      </c>
      <c r="C62" s="127">
        <v>-17400</v>
      </c>
      <c r="D62" s="127">
        <v>1500</v>
      </c>
      <c r="E62" s="127">
        <v>-20600</v>
      </c>
      <c r="F62" s="127">
        <v>-52000</v>
      </c>
      <c r="I62" s="123"/>
      <c r="J62" s="126"/>
      <c r="K62" s="126"/>
      <c r="L62" s="126"/>
      <c r="M62" s="126"/>
      <c r="N62" s="126"/>
    </row>
    <row r="63" spans="1:14">
      <c r="A63" s="123" t="s">
        <v>242</v>
      </c>
      <c r="B63" s="126">
        <v>905000</v>
      </c>
      <c r="C63" s="126">
        <v>905000</v>
      </c>
      <c r="D63" s="126">
        <v>905000</v>
      </c>
      <c r="E63" s="126">
        <v>905000</v>
      </c>
      <c r="F63" s="126">
        <v>905000</v>
      </c>
      <c r="I63" s="125"/>
      <c r="J63" s="127"/>
      <c r="K63" s="127"/>
      <c r="L63" s="127"/>
      <c r="M63" s="127"/>
      <c r="N63" s="127"/>
    </row>
    <row r="64" spans="1:14">
      <c r="A64" s="125" t="s">
        <v>241</v>
      </c>
      <c r="B64" s="127">
        <v>13281900</v>
      </c>
      <c r="C64" s="127">
        <v>5712000</v>
      </c>
      <c r="D64" s="127">
        <v>4761900</v>
      </c>
      <c r="E64" s="127">
        <v>6326900</v>
      </c>
      <c r="F64" s="127">
        <v>5976000</v>
      </c>
    </row>
    <row r="65" spans="1:14">
      <c r="A65" s="123" t="s">
        <v>240</v>
      </c>
      <c r="B65" s="126">
        <v>501000</v>
      </c>
      <c r="C65" s="126">
        <v>446300</v>
      </c>
      <c r="D65" s="126">
        <v>396800</v>
      </c>
      <c r="E65" s="126">
        <v>388300</v>
      </c>
      <c r="F65" s="126">
        <v>364000</v>
      </c>
    </row>
    <row r="66" spans="1:14">
      <c r="A66" s="125" t="s">
        <v>239</v>
      </c>
      <c r="B66" s="127">
        <v>11025600</v>
      </c>
      <c r="C66" s="127">
        <v>7664000</v>
      </c>
      <c r="D66" s="127">
        <v>7713800</v>
      </c>
      <c r="E66" s="127">
        <v>6074900</v>
      </c>
      <c r="F66" s="127">
        <v>5316000</v>
      </c>
      <c r="I66" s="123"/>
      <c r="J66" s="126"/>
      <c r="K66" s="126"/>
      <c r="L66" s="126"/>
      <c r="M66" s="126"/>
      <c r="N66" s="126"/>
    </row>
    <row r="67" spans="1:14">
      <c r="A67" s="123" t="s">
        <v>238</v>
      </c>
      <c r="B67" s="126">
        <v>3291900</v>
      </c>
      <c r="C67" s="126">
        <v>3814800</v>
      </c>
      <c r="D67" s="126">
        <v>4133500</v>
      </c>
      <c r="E67" s="126">
        <v>2580800</v>
      </c>
      <c r="F67" s="126">
        <v>1691000</v>
      </c>
      <c r="I67" s="125"/>
      <c r="J67" s="127"/>
      <c r="K67" s="127"/>
      <c r="L67" s="127"/>
      <c r="M67" s="127"/>
      <c r="N67" s="127"/>
    </row>
    <row r="68" spans="1:14">
      <c r="A68" s="125" t="s">
        <v>237</v>
      </c>
      <c r="B68" s="127">
        <v>1096400</v>
      </c>
      <c r="C68" s="127">
        <v>1658000</v>
      </c>
      <c r="D68" s="127">
        <v>2092500</v>
      </c>
      <c r="E68" s="127">
        <v>740000</v>
      </c>
      <c r="F68" s="127">
        <v>36000</v>
      </c>
    </row>
    <row r="69" spans="1:14">
      <c r="A69" s="123" t="s">
        <v>236</v>
      </c>
      <c r="B69" s="126">
        <v>126200</v>
      </c>
      <c r="C69" s="126">
        <v>122900</v>
      </c>
      <c r="D69" s="126">
        <v>128900</v>
      </c>
      <c r="E69" s="126">
        <v>118900</v>
      </c>
      <c r="F69" s="126">
        <v>119000</v>
      </c>
    </row>
    <row r="70" spans="1:14">
      <c r="A70" s="125" t="s">
        <v>235</v>
      </c>
      <c r="B70" s="127">
        <v>15900</v>
      </c>
      <c r="C70" s="127">
        <v>18900</v>
      </c>
      <c r="D70" s="127">
        <v>15300</v>
      </c>
      <c r="E70" s="127">
        <v>22500</v>
      </c>
      <c r="F70" s="127">
        <v>15000</v>
      </c>
    </row>
    <row r="71" spans="1:14">
      <c r="A71" s="123" t="s">
        <v>228</v>
      </c>
      <c r="B71" s="126">
        <v>2053400</v>
      </c>
      <c r="C71" s="126">
        <v>2015000</v>
      </c>
      <c r="D71" s="126">
        <v>1896800</v>
      </c>
      <c r="E71" s="126">
        <v>1699400</v>
      </c>
      <c r="F71" s="126">
        <v>1519000</v>
      </c>
    </row>
    <row r="72" spans="1:14">
      <c r="A72" s="125" t="s">
        <v>234</v>
      </c>
      <c r="B72" s="127">
        <v>7733700</v>
      </c>
      <c r="C72" s="127">
        <v>3849200</v>
      </c>
      <c r="D72" s="127">
        <v>3580300</v>
      </c>
      <c r="E72" s="127">
        <v>3494100</v>
      </c>
      <c r="F72" s="127">
        <v>3625000</v>
      </c>
    </row>
    <row r="73" spans="1:14">
      <c r="A73" s="123" t="s">
        <v>233</v>
      </c>
      <c r="B73" s="126">
        <v>779400</v>
      </c>
      <c r="C73" s="126">
        <v>697000</v>
      </c>
      <c r="D73" s="126">
        <v>548200</v>
      </c>
      <c r="E73" s="126">
        <v>232200</v>
      </c>
      <c r="F73" s="126">
        <v>160000</v>
      </c>
    </row>
    <row r="74" spans="1:14">
      <c r="A74" s="125" t="s">
        <v>232</v>
      </c>
      <c r="B74" s="129">
        <v>600</v>
      </c>
      <c r="C74" s="127">
        <v>57300</v>
      </c>
      <c r="D74" s="127">
        <v>9100</v>
      </c>
      <c r="E74" s="127">
        <v>1300</v>
      </c>
      <c r="F74" s="127">
        <v>6000</v>
      </c>
    </row>
    <row r="75" spans="1:14">
      <c r="A75" s="123" t="s">
        <v>231</v>
      </c>
      <c r="B75" s="126">
        <v>3146700</v>
      </c>
      <c r="C75" s="126">
        <v>2525300</v>
      </c>
      <c r="D75" s="126">
        <v>2612100</v>
      </c>
      <c r="E75" s="126">
        <v>2954000</v>
      </c>
      <c r="F75" s="126">
        <v>2987000</v>
      </c>
    </row>
    <row r="76" spans="1:14">
      <c r="A76" s="125" t="s">
        <v>230</v>
      </c>
      <c r="B76" s="127">
        <v>2926000</v>
      </c>
      <c r="C76" s="127">
        <v>2323400</v>
      </c>
      <c r="D76" s="127">
        <v>2423300</v>
      </c>
      <c r="E76" s="127">
        <v>2781800</v>
      </c>
      <c r="F76" s="127">
        <v>2837000</v>
      </c>
    </row>
    <row r="77" spans="1:14">
      <c r="A77" s="123" t="s">
        <v>229</v>
      </c>
      <c r="B77" s="126">
        <v>220700</v>
      </c>
      <c r="C77" s="126">
        <v>201900</v>
      </c>
      <c r="D77" s="126">
        <v>188800</v>
      </c>
      <c r="E77" s="126">
        <v>172200</v>
      </c>
      <c r="F77" s="126">
        <v>150000</v>
      </c>
    </row>
    <row r="78" spans="1:14">
      <c r="A78" s="125" t="s">
        <v>228</v>
      </c>
      <c r="B78" s="127">
        <v>226800</v>
      </c>
      <c r="C78" s="127">
        <v>241200</v>
      </c>
      <c r="D78" s="127">
        <v>286000</v>
      </c>
      <c r="E78" s="127">
        <v>300300</v>
      </c>
      <c r="F78" s="127">
        <v>273000</v>
      </c>
    </row>
    <row r="79" spans="1:14">
      <c r="A79" s="123" t="s">
        <v>227</v>
      </c>
      <c r="B79" s="126">
        <v>2237600</v>
      </c>
      <c r="C79" s="126">
        <v>259800</v>
      </c>
      <c r="D79" s="126">
        <v>121300</v>
      </c>
      <c r="E79" s="128">
        <v>0</v>
      </c>
      <c r="F79" s="128">
        <v>0</v>
      </c>
    </row>
    <row r="80" spans="1:14">
      <c r="A80" s="125" t="s">
        <v>226</v>
      </c>
      <c r="B80" s="127">
        <v>1342600</v>
      </c>
      <c r="C80" s="127">
        <v>2800</v>
      </c>
      <c r="D80" s="127">
        <v>3600</v>
      </c>
      <c r="E80" s="127">
        <v>6300</v>
      </c>
      <c r="F80" s="127">
        <v>203000</v>
      </c>
    </row>
    <row r="81" spans="1:6">
      <c r="A81" s="123" t="s">
        <v>225</v>
      </c>
      <c r="B81" s="128">
        <v>0</v>
      </c>
      <c r="C81" s="126">
        <v>65800</v>
      </c>
      <c r="D81" s="128">
        <v>0</v>
      </c>
      <c r="E81" s="128">
        <v>0</v>
      </c>
      <c r="F81" s="128">
        <v>0</v>
      </c>
    </row>
    <row r="84" spans="1:6">
      <c r="A84" s="130" t="s">
        <v>8</v>
      </c>
      <c r="B84" s="130">
        <v>2022</v>
      </c>
      <c r="C84" s="130">
        <v>2021</v>
      </c>
      <c r="D84" s="130">
        <v>2020</v>
      </c>
      <c r="E84" s="130">
        <v>2019</v>
      </c>
      <c r="F84" s="130">
        <v>2018</v>
      </c>
    </row>
    <row r="85" spans="1:6">
      <c r="A85" s="123" t="s">
        <v>9</v>
      </c>
      <c r="B85" s="126">
        <v>10689800</v>
      </c>
      <c r="C85" s="126">
        <v>1661200</v>
      </c>
      <c r="D85" s="126">
        <v>354700</v>
      </c>
      <c r="E85" s="126">
        <v>1140300</v>
      </c>
      <c r="F85" s="126">
        <v>2818000</v>
      </c>
    </row>
    <row r="86" spans="1:6">
      <c r="A86" s="125" t="s">
        <v>224</v>
      </c>
      <c r="B86" s="129">
        <v>0</v>
      </c>
      <c r="C86" s="129">
        <v>0</v>
      </c>
      <c r="D86" s="129">
        <v>0</v>
      </c>
      <c r="E86" s="127">
        <v>1537800</v>
      </c>
      <c r="F86" s="129">
        <v>0</v>
      </c>
    </row>
    <row r="87" spans="1:6">
      <c r="A87" s="123" t="s">
        <v>223</v>
      </c>
      <c r="B87" s="126">
        <v>10738000</v>
      </c>
      <c r="C87" s="126">
        <v>1942700</v>
      </c>
      <c r="D87" s="126">
        <v>229200</v>
      </c>
      <c r="E87" s="126">
        <v>-6500</v>
      </c>
      <c r="F87" s="126">
        <v>2858000</v>
      </c>
    </row>
    <row r="88" spans="1:6">
      <c r="A88" s="125" t="s">
        <v>222</v>
      </c>
      <c r="B88" s="127">
        <v>-3100</v>
      </c>
      <c r="C88" s="127">
        <v>-3300</v>
      </c>
      <c r="D88" s="127">
        <v>-11500</v>
      </c>
      <c r="E88" s="127">
        <v>-6500</v>
      </c>
      <c r="F88" s="127">
        <v>-10000</v>
      </c>
    </row>
    <row r="89" spans="1:6">
      <c r="A89" s="123" t="s">
        <v>221</v>
      </c>
      <c r="B89" s="126">
        <v>10741100</v>
      </c>
      <c r="C89" s="126">
        <v>1946000</v>
      </c>
      <c r="D89" s="126">
        <v>240700</v>
      </c>
      <c r="E89" s="128">
        <v>0</v>
      </c>
      <c r="F89" s="126">
        <v>2868000</v>
      </c>
    </row>
    <row r="90" spans="1:6">
      <c r="A90" s="125" t="s">
        <v>220</v>
      </c>
      <c r="B90" s="127">
        <v>-48200</v>
      </c>
      <c r="C90" s="127">
        <v>-281500</v>
      </c>
      <c r="D90" s="127">
        <v>125500</v>
      </c>
      <c r="E90" s="127">
        <v>-391000</v>
      </c>
      <c r="F90" s="127">
        <v>-40000</v>
      </c>
    </row>
    <row r="91" spans="1:6">
      <c r="A91" s="123" t="s">
        <v>10</v>
      </c>
      <c r="B91" s="126">
        <v>-6333100</v>
      </c>
      <c r="C91" s="126">
        <v>-1620200</v>
      </c>
      <c r="D91" s="126">
        <v>-549300</v>
      </c>
      <c r="E91" s="126">
        <v>-2260500</v>
      </c>
      <c r="F91" s="126">
        <v>-1581000</v>
      </c>
    </row>
    <row r="92" spans="1:6">
      <c r="A92" s="125" t="s">
        <v>219</v>
      </c>
      <c r="B92" s="127">
        <v>9400</v>
      </c>
      <c r="C92" s="127">
        <v>3400</v>
      </c>
      <c r="D92" s="127">
        <v>19300</v>
      </c>
      <c r="E92" s="127">
        <v>39400</v>
      </c>
      <c r="F92" s="127">
        <v>10000</v>
      </c>
    </row>
    <row r="93" spans="1:6">
      <c r="A93" s="123" t="s">
        <v>218</v>
      </c>
      <c r="B93" s="126">
        <v>-2290900</v>
      </c>
      <c r="C93" s="126">
        <v>-1606200</v>
      </c>
      <c r="D93" s="126">
        <v>-2065800</v>
      </c>
      <c r="E93" s="126">
        <v>-2049400</v>
      </c>
      <c r="F93" s="126">
        <v>-1259000</v>
      </c>
    </row>
    <row r="94" spans="1:6">
      <c r="A94" s="125" t="s">
        <v>217</v>
      </c>
      <c r="B94" s="127">
        <v>-34000</v>
      </c>
      <c r="C94" s="127">
        <v>-20300</v>
      </c>
      <c r="D94" s="127">
        <v>-5100</v>
      </c>
      <c r="E94" s="127">
        <v>-106400</v>
      </c>
      <c r="F94" s="127">
        <v>-362000</v>
      </c>
    </row>
    <row r="95" spans="1:6">
      <c r="A95" s="123" t="s">
        <v>216</v>
      </c>
      <c r="B95" s="126">
        <v>6400</v>
      </c>
      <c r="C95" s="126">
        <v>1900</v>
      </c>
      <c r="D95" s="126">
        <v>96300</v>
      </c>
      <c r="E95" s="126">
        <v>10300</v>
      </c>
      <c r="F95" s="128">
        <v>0</v>
      </c>
    </row>
    <row r="96" spans="1:6">
      <c r="A96" s="125" t="s">
        <v>215</v>
      </c>
      <c r="B96" s="129">
        <v>0</v>
      </c>
      <c r="C96" s="129">
        <v>0</v>
      </c>
      <c r="D96" s="129">
        <v>0</v>
      </c>
      <c r="E96" s="127">
        <v>-170900</v>
      </c>
      <c r="F96" s="129">
        <v>0</v>
      </c>
    </row>
    <row r="97" spans="1:6">
      <c r="A97" s="123" t="s">
        <v>214</v>
      </c>
      <c r="B97" s="126">
        <v>-4024000</v>
      </c>
      <c r="C97" s="126">
        <v>1000</v>
      </c>
      <c r="D97" s="126">
        <v>1406000</v>
      </c>
      <c r="E97" s="126">
        <v>16500</v>
      </c>
      <c r="F97" s="126">
        <v>29000</v>
      </c>
    </row>
    <row r="98" spans="1:6">
      <c r="A98" s="125" t="s">
        <v>11</v>
      </c>
      <c r="B98" s="127">
        <v>-818700</v>
      </c>
      <c r="C98" s="127">
        <v>-338100</v>
      </c>
      <c r="D98" s="127">
        <v>1441200</v>
      </c>
      <c r="E98" s="127">
        <v>-180300</v>
      </c>
      <c r="F98" s="127">
        <v>-755000</v>
      </c>
    </row>
    <row r="99" spans="1:6">
      <c r="A99" s="123" t="s">
        <v>213</v>
      </c>
      <c r="B99" s="126">
        <v>20000</v>
      </c>
      <c r="C99" s="128">
        <v>0</v>
      </c>
      <c r="D99" s="128">
        <v>0</v>
      </c>
      <c r="E99" s="128">
        <v>0</v>
      </c>
      <c r="F99" s="126">
        <v>120000</v>
      </c>
    </row>
    <row r="100" spans="1:6">
      <c r="A100" s="125" t="s">
        <v>212</v>
      </c>
      <c r="B100" s="127">
        <v>156100</v>
      </c>
      <c r="C100" s="127">
        <v>114600</v>
      </c>
      <c r="D100" s="127">
        <v>1698200</v>
      </c>
      <c r="E100" s="127">
        <v>328700</v>
      </c>
      <c r="F100" s="129">
        <v>0</v>
      </c>
    </row>
    <row r="101" spans="1:6">
      <c r="A101" s="123" t="s">
        <v>211</v>
      </c>
      <c r="B101" s="126">
        <v>-732000</v>
      </c>
      <c r="C101" s="126">
        <v>-205400</v>
      </c>
      <c r="D101" s="126">
        <v>-45100</v>
      </c>
      <c r="E101" s="126">
        <v>-37200</v>
      </c>
      <c r="F101" s="126">
        <v>-52000</v>
      </c>
    </row>
    <row r="102" spans="1:6">
      <c r="A102" s="125" t="s">
        <v>210</v>
      </c>
      <c r="B102" s="127">
        <v>-200300</v>
      </c>
      <c r="C102" s="127">
        <v>-193500</v>
      </c>
      <c r="D102" s="127">
        <v>-185700</v>
      </c>
      <c r="E102" s="127">
        <v>-121000</v>
      </c>
      <c r="F102" s="127">
        <v>-31000</v>
      </c>
    </row>
    <row r="103" spans="1:6">
      <c r="A103" s="123" t="s">
        <v>209</v>
      </c>
      <c r="B103" s="128">
        <v>0</v>
      </c>
      <c r="C103" s="128">
        <v>0</v>
      </c>
      <c r="D103" s="128">
        <v>0</v>
      </c>
      <c r="E103" s="126">
        <v>-200800</v>
      </c>
      <c r="F103" s="128">
        <v>0</v>
      </c>
    </row>
    <row r="104" spans="1:6">
      <c r="A104" s="125" t="s">
        <v>208</v>
      </c>
      <c r="B104" s="127">
        <v>-62500</v>
      </c>
      <c r="C104" s="127">
        <v>-53800</v>
      </c>
      <c r="D104" s="127">
        <v>-26200</v>
      </c>
      <c r="E104" s="127">
        <v>-149600</v>
      </c>
      <c r="F104" s="127">
        <v>-778000</v>
      </c>
    </row>
    <row r="105" spans="1:6">
      <c r="A105" s="123" t="s">
        <v>207</v>
      </c>
      <c r="B105" s="126">
        <v>3538000</v>
      </c>
      <c r="C105" s="126">
        <v>-297100</v>
      </c>
      <c r="D105" s="126">
        <v>1246600</v>
      </c>
      <c r="E105" s="126">
        <v>-1300500</v>
      </c>
      <c r="F105" s="126">
        <v>482000</v>
      </c>
    </row>
    <row r="106" spans="1:6">
      <c r="A106" s="125" t="s">
        <v>12</v>
      </c>
      <c r="B106" s="127">
        <v>1299800</v>
      </c>
      <c r="C106" s="127">
        <v>1597300</v>
      </c>
      <c r="D106" s="127">
        <v>350300</v>
      </c>
      <c r="E106" s="127">
        <v>1650800</v>
      </c>
      <c r="F106" s="127">
        <v>1169000</v>
      </c>
    </row>
    <row r="107" spans="1:6">
      <c r="A107" s="123" t="s">
        <v>206</v>
      </c>
      <c r="B107" s="128">
        <v>100</v>
      </c>
      <c r="C107" s="128">
        <v>-400</v>
      </c>
      <c r="D107" s="128">
        <v>400</v>
      </c>
      <c r="E107" s="128">
        <v>0</v>
      </c>
      <c r="F107" s="128">
        <v>0</v>
      </c>
    </row>
    <row r="108" spans="1:6">
      <c r="A108" s="125" t="s">
        <v>13</v>
      </c>
      <c r="B108" s="127">
        <v>4837900</v>
      </c>
      <c r="C108" s="127">
        <v>1299800</v>
      </c>
      <c r="D108" s="127">
        <v>1597300</v>
      </c>
      <c r="E108" s="127">
        <v>350300</v>
      </c>
      <c r="F108" s="127">
        <v>1650000</v>
      </c>
    </row>
    <row r="109" spans="1:6">
      <c r="A109" s="123" t="s">
        <v>205</v>
      </c>
      <c r="B109" s="126">
        <v>8398900</v>
      </c>
      <c r="C109" s="126">
        <v>55000</v>
      </c>
      <c r="D109" s="126">
        <v>-1711100</v>
      </c>
      <c r="E109" s="126">
        <v>-909100</v>
      </c>
      <c r="F109" s="126">
        <v>1559000</v>
      </c>
    </row>
    <row r="112" spans="1:6">
      <c r="A112" s="125" t="s">
        <v>204</v>
      </c>
      <c r="B112" s="124" t="s">
        <v>203</v>
      </c>
      <c r="C112" s="124" t="s">
        <v>203</v>
      </c>
      <c r="D112" s="124" t="s">
        <v>203</v>
      </c>
      <c r="E112" s="124" t="s">
        <v>203</v>
      </c>
      <c r="F112" s="124" t="s">
        <v>203</v>
      </c>
    </row>
    <row r="113" spans="1:7">
      <c r="A113" s="123" t="s">
        <v>202</v>
      </c>
      <c r="B113" s="122" t="s">
        <v>201</v>
      </c>
      <c r="C113" s="122" t="s">
        <v>200</v>
      </c>
      <c r="D113" s="122" t="s">
        <v>199</v>
      </c>
      <c r="E113" s="122" t="s">
        <v>198</v>
      </c>
      <c r="F113" s="122" t="s">
        <v>197</v>
      </c>
    </row>
    <row r="114" spans="1:7">
      <c r="A114" s="125" t="s">
        <v>196</v>
      </c>
      <c r="B114" s="124" t="s">
        <v>195</v>
      </c>
      <c r="C114" s="124" t="s">
        <v>194</v>
      </c>
      <c r="D114" s="124" t="s">
        <v>193</v>
      </c>
      <c r="E114" s="124" t="s">
        <v>192</v>
      </c>
      <c r="F114" s="124" t="s">
        <v>191</v>
      </c>
    </row>
    <row r="115" spans="1:7">
      <c r="A115" s="123" t="s">
        <v>190</v>
      </c>
      <c r="B115" s="122" t="s">
        <v>189</v>
      </c>
      <c r="C115" s="122" t="s">
        <v>189</v>
      </c>
      <c r="D115" s="122" t="s">
        <v>189</v>
      </c>
      <c r="E115" s="122" t="s">
        <v>189</v>
      </c>
      <c r="F115" s="122" t="s">
        <v>189</v>
      </c>
    </row>
    <row r="116" spans="1:7">
      <c r="A116" s="125" t="s">
        <v>188</v>
      </c>
      <c r="B116" s="124" t="s">
        <v>188</v>
      </c>
      <c r="C116" s="124" t="s">
        <v>188</v>
      </c>
      <c r="D116" s="124" t="s">
        <v>188</v>
      </c>
      <c r="E116" s="124" t="s">
        <v>188</v>
      </c>
      <c r="F116" s="124" t="s">
        <v>188</v>
      </c>
    </row>
    <row r="117" spans="1:7">
      <c r="A117" s="123" t="s">
        <v>187</v>
      </c>
      <c r="B117" s="122" t="s">
        <v>186</v>
      </c>
      <c r="C117" s="122" t="s">
        <v>186</v>
      </c>
      <c r="D117" s="122" t="s">
        <v>186</v>
      </c>
      <c r="E117" s="122" t="s">
        <v>186</v>
      </c>
      <c r="F117" s="122" t="s">
        <v>186</v>
      </c>
    </row>
    <row r="120" spans="1:7">
      <c r="A120" t="s">
        <v>185</v>
      </c>
    </row>
    <row r="121" spans="1:7">
      <c r="A121" t="s">
        <v>184</v>
      </c>
    </row>
    <row r="123" spans="1:7">
      <c r="A123" s="276"/>
      <c r="B123" s="276"/>
      <c r="C123" s="276"/>
      <c r="D123" s="173"/>
      <c r="E123" s="173"/>
      <c r="F123" s="173"/>
      <c r="G123" s="173"/>
    </row>
    <row r="124" spans="1:7">
      <c r="A124" s="276"/>
      <c r="B124" s="276"/>
      <c r="C124" s="276"/>
      <c r="D124" s="277" t="s">
        <v>0</v>
      </c>
      <c r="E124" s="277"/>
      <c r="F124" s="277"/>
      <c r="G124" s="277"/>
    </row>
    <row r="125" spans="1:7">
      <c r="A125" s="276"/>
      <c r="B125" s="276"/>
      <c r="C125" s="276"/>
      <c r="D125" s="277" t="s">
        <v>287</v>
      </c>
      <c r="E125" s="277"/>
      <c r="F125" s="277"/>
      <c r="G125" s="277"/>
    </row>
    <row r="126" spans="1:7">
      <c r="A126" s="276"/>
      <c r="B126" s="276"/>
      <c r="C126" s="276"/>
      <c r="D126" s="277" t="s">
        <v>286</v>
      </c>
      <c r="E126" s="277"/>
      <c r="F126" s="277"/>
      <c r="G126" s="277"/>
    </row>
    <row r="127" spans="1:7">
      <c r="A127" s="276"/>
      <c r="B127" s="276"/>
      <c r="C127" s="276"/>
      <c r="D127" s="277" t="s">
        <v>1</v>
      </c>
      <c r="E127" s="277"/>
      <c r="F127" s="277"/>
      <c r="G127" s="277"/>
    </row>
    <row r="128" spans="1:7">
      <c r="A128" s="173"/>
      <c r="B128" s="173"/>
      <c r="C128" s="173"/>
      <c r="D128" s="173"/>
      <c r="E128" s="173"/>
      <c r="F128" s="173"/>
      <c r="G128" s="173"/>
    </row>
    <row r="129" spans="1:7">
      <c r="A129" s="275" t="s">
        <v>285</v>
      </c>
      <c r="B129" s="276"/>
      <c r="C129" s="276"/>
      <c r="D129" s="276"/>
      <c r="E129" s="276"/>
      <c r="F129" s="276"/>
      <c r="G129" s="276"/>
    </row>
    <row r="130" spans="1:7">
      <c r="A130" s="173" t="s">
        <v>284</v>
      </c>
      <c r="B130" s="173"/>
      <c r="C130" s="173"/>
      <c r="D130" s="173"/>
      <c r="E130" s="173"/>
      <c r="F130" s="173"/>
      <c r="G130" s="173"/>
    </row>
    <row r="131" spans="1:7">
      <c r="A131" s="173"/>
      <c r="B131" s="173"/>
      <c r="C131" s="173"/>
      <c r="D131" s="173"/>
      <c r="E131" s="173"/>
      <c r="F131" s="173"/>
      <c r="G131" s="173"/>
    </row>
    <row r="132" spans="1:7">
      <c r="A132" s="177" t="s">
        <v>204</v>
      </c>
      <c r="B132" s="176" t="s">
        <v>203</v>
      </c>
      <c r="C132" s="176" t="s">
        <v>203</v>
      </c>
      <c r="D132" s="176" t="s">
        <v>203</v>
      </c>
      <c r="E132" s="176" t="s">
        <v>203</v>
      </c>
      <c r="F132" s="176" t="s">
        <v>203</v>
      </c>
      <c r="G132" s="173"/>
    </row>
    <row r="133" spans="1:7">
      <c r="A133" s="175" t="s">
        <v>196</v>
      </c>
      <c r="B133" s="174" t="s">
        <v>195</v>
      </c>
      <c r="C133" s="174" t="s">
        <v>194</v>
      </c>
      <c r="D133" s="174" t="s">
        <v>193</v>
      </c>
      <c r="E133" s="174" t="s">
        <v>192</v>
      </c>
      <c r="F133" s="174" t="s">
        <v>191</v>
      </c>
      <c r="G133" s="173"/>
    </row>
    <row r="134" spans="1:7">
      <c r="A134" s="177" t="s">
        <v>283</v>
      </c>
      <c r="B134" s="176" t="s">
        <v>282</v>
      </c>
      <c r="C134" s="176" t="s">
        <v>282</v>
      </c>
      <c r="D134" s="176" t="s">
        <v>282</v>
      </c>
      <c r="E134" s="176" t="s">
        <v>282</v>
      </c>
      <c r="F134" s="176" t="s">
        <v>282</v>
      </c>
      <c r="G134" s="173"/>
    </row>
    <row r="135" spans="1:7">
      <c r="A135" s="173"/>
      <c r="B135" s="173"/>
      <c r="C135" s="173"/>
      <c r="D135" s="173"/>
      <c r="E135" s="173"/>
      <c r="F135" s="173"/>
      <c r="G135" s="173"/>
    </row>
    <row r="136" spans="1:7">
      <c r="A136" s="173"/>
      <c r="B136" s="173"/>
      <c r="C136" s="173"/>
      <c r="D136" s="173"/>
      <c r="E136" s="173"/>
      <c r="F136" s="173"/>
      <c r="G136" s="173"/>
    </row>
    <row r="137" spans="1:7">
      <c r="A137" s="183" t="s">
        <v>427</v>
      </c>
      <c r="B137" s="183">
        <v>2022</v>
      </c>
      <c r="C137" s="183">
        <v>2021</v>
      </c>
      <c r="D137" s="183">
        <v>2020</v>
      </c>
      <c r="E137" s="183">
        <v>2019</v>
      </c>
      <c r="F137" s="183">
        <v>2018</v>
      </c>
      <c r="G137" s="173"/>
    </row>
    <row r="138" spans="1:7">
      <c r="A138" s="173"/>
      <c r="B138" s="173"/>
      <c r="C138" s="173"/>
      <c r="D138" s="173"/>
      <c r="E138" s="173"/>
      <c r="F138" s="173"/>
      <c r="G138" s="173"/>
    </row>
    <row r="139" spans="1:7">
      <c r="A139" s="173"/>
      <c r="B139" s="173"/>
      <c r="C139" s="173"/>
      <c r="D139" s="173"/>
      <c r="E139" s="173"/>
      <c r="F139" s="173"/>
      <c r="G139" s="173"/>
    </row>
    <row r="140" spans="1:7">
      <c r="A140" s="177" t="s">
        <v>426</v>
      </c>
      <c r="B140" s="180">
        <v>0.28160000000000002</v>
      </c>
      <c r="C140" s="180">
        <v>5.9700000000000003E-2</v>
      </c>
      <c r="D140" s="180">
        <v>-0.1023</v>
      </c>
      <c r="E140" s="180">
        <v>4.3499999999999997E-2</v>
      </c>
      <c r="F140" s="180">
        <v>0.12790000000000001</v>
      </c>
      <c r="G140" s="173"/>
    </row>
    <row r="141" spans="1:7">
      <c r="A141" s="175" t="s">
        <v>425</v>
      </c>
      <c r="B141" s="179">
        <v>0.28160000000000002</v>
      </c>
      <c r="C141" s="179">
        <v>5.9700000000000003E-2</v>
      </c>
      <c r="D141" s="179">
        <v>-0.1023</v>
      </c>
      <c r="E141" s="179">
        <v>4.3499999999999997E-2</v>
      </c>
      <c r="F141" s="179">
        <v>0.12790000000000001</v>
      </c>
      <c r="G141" s="173"/>
    </row>
    <row r="142" spans="1:7">
      <c r="A142" s="177" t="s">
        <v>424</v>
      </c>
      <c r="B142" s="180">
        <v>0.47649999999999998</v>
      </c>
      <c r="C142" s="180">
        <v>0.1148</v>
      </c>
      <c r="D142" s="180">
        <v>-0.21010000000000001</v>
      </c>
      <c r="E142" s="180">
        <v>7.3400000000000007E-2</v>
      </c>
      <c r="F142" s="180">
        <v>0.2084</v>
      </c>
      <c r="G142" s="173"/>
    </row>
    <row r="143" spans="1:7">
      <c r="A143" s="175" t="s">
        <v>423</v>
      </c>
      <c r="B143" s="179">
        <v>0.47649999999999998</v>
      </c>
      <c r="C143" s="179">
        <v>0.1148</v>
      </c>
      <c r="D143" s="179">
        <v>-0.21010000000000001</v>
      </c>
      <c r="E143" s="179">
        <v>7.3400000000000007E-2</v>
      </c>
      <c r="F143" s="179">
        <v>0.2084</v>
      </c>
      <c r="G143" s="173"/>
    </row>
    <row r="144" spans="1:7">
      <c r="A144" s="177" t="s">
        <v>422</v>
      </c>
      <c r="B144" s="180">
        <v>0.48549999999999999</v>
      </c>
      <c r="C144" s="180">
        <v>0.1042</v>
      </c>
      <c r="D144" s="180">
        <v>-0.1555</v>
      </c>
      <c r="E144" s="180">
        <v>7.9200000000000007E-2</v>
      </c>
      <c r="F144" s="180">
        <v>0.22239999999999999</v>
      </c>
      <c r="G144" s="173"/>
    </row>
    <row r="145" spans="1:7">
      <c r="A145" s="175" t="s">
        <v>421</v>
      </c>
      <c r="B145" s="179">
        <v>0.376</v>
      </c>
      <c r="C145" s="179">
        <v>8.9599999999999999E-2</v>
      </c>
      <c r="D145" s="179">
        <v>-0.22170000000000001</v>
      </c>
      <c r="E145" s="179">
        <v>7.4899999999999994E-2</v>
      </c>
      <c r="F145" s="179">
        <v>0.1794</v>
      </c>
      <c r="G145" s="173"/>
    </row>
    <row r="146" spans="1:7">
      <c r="A146" s="177" t="s">
        <v>420</v>
      </c>
      <c r="B146" s="180">
        <v>0.52710000000000001</v>
      </c>
      <c r="C146" s="180">
        <v>0.2442</v>
      </c>
      <c r="D146" s="180">
        <v>-5.79E-2</v>
      </c>
      <c r="E146" s="180">
        <v>0.18490000000000001</v>
      </c>
      <c r="F146" s="180">
        <v>0.29270000000000002</v>
      </c>
      <c r="G146" s="173"/>
    </row>
    <row r="147" spans="1:7">
      <c r="A147" s="175" t="s">
        <v>419</v>
      </c>
      <c r="B147" s="179">
        <v>0.4622</v>
      </c>
      <c r="C147" s="179">
        <v>0.1188</v>
      </c>
      <c r="D147" s="179">
        <v>-0.25669999999999998</v>
      </c>
      <c r="E147" s="179">
        <v>0.10440000000000001</v>
      </c>
      <c r="F147" s="179">
        <v>0.2298</v>
      </c>
      <c r="G147" s="173"/>
    </row>
    <row r="148" spans="1:7">
      <c r="A148" s="177" t="s">
        <v>418</v>
      </c>
      <c r="B148" s="180">
        <v>0.3463</v>
      </c>
      <c r="C148" s="180">
        <v>7.9100000000000004E-2</v>
      </c>
      <c r="D148" s="180">
        <v>-0.11849999999999999</v>
      </c>
      <c r="E148" s="180">
        <v>6.0699999999999997E-2</v>
      </c>
      <c r="F148" s="180">
        <v>0.1638</v>
      </c>
      <c r="G148" s="173"/>
    </row>
    <row r="149" spans="1:7">
      <c r="A149" s="173"/>
      <c r="B149" s="173"/>
      <c r="C149" s="173"/>
      <c r="D149" s="173"/>
      <c r="E149" s="173"/>
      <c r="F149" s="173"/>
      <c r="G149" s="173"/>
    </row>
    <row r="150" spans="1:7">
      <c r="A150" s="173"/>
      <c r="B150" s="173"/>
      <c r="C150" s="173"/>
      <c r="D150" s="173"/>
      <c r="E150" s="173"/>
      <c r="F150" s="173"/>
      <c r="G150" s="173"/>
    </row>
    <row r="151" spans="1:7">
      <c r="A151" s="175" t="s">
        <v>417</v>
      </c>
      <c r="B151" s="175" t="s">
        <v>416</v>
      </c>
      <c r="C151" s="175" t="s">
        <v>415</v>
      </c>
      <c r="D151" s="175" t="s">
        <v>414</v>
      </c>
      <c r="E151" s="175" t="s">
        <v>413</v>
      </c>
      <c r="F151" s="175" t="s">
        <v>412</v>
      </c>
      <c r="G151" s="173"/>
    </row>
    <row r="152" spans="1:7">
      <c r="A152" s="177" t="s">
        <v>411</v>
      </c>
      <c r="B152" s="177" t="s">
        <v>410</v>
      </c>
      <c r="C152" s="177" t="s">
        <v>409</v>
      </c>
      <c r="D152" s="177" t="s">
        <v>408</v>
      </c>
      <c r="E152" s="177" t="s">
        <v>407</v>
      </c>
      <c r="F152" s="177" t="s">
        <v>406</v>
      </c>
      <c r="G152" s="173"/>
    </row>
    <row r="153" spans="1:7">
      <c r="A153" s="175" t="s">
        <v>405</v>
      </c>
      <c r="B153" s="175" t="s">
        <v>404</v>
      </c>
      <c r="C153" s="175" t="s">
        <v>403</v>
      </c>
      <c r="D153" s="175" t="s">
        <v>402</v>
      </c>
      <c r="E153" s="175" t="s">
        <v>401</v>
      </c>
      <c r="F153" s="175" t="s">
        <v>400</v>
      </c>
      <c r="G153" s="173"/>
    </row>
    <row r="154" spans="1:7">
      <c r="A154" s="177" t="s">
        <v>399</v>
      </c>
      <c r="B154" s="177" t="s">
        <v>398</v>
      </c>
      <c r="C154" s="177" t="s">
        <v>397</v>
      </c>
      <c r="D154" s="177" t="s">
        <v>396</v>
      </c>
      <c r="E154" s="177" t="s">
        <v>394</v>
      </c>
      <c r="F154" s="177" t="s">
        <v>365</v>
      </c>
      <c r="G154" s="173"/>
    </row>
    <row r="155" spans="1:7">
      <c r="A155" s="175" t="s">
        <v>395</v>
      </c>
      <c r="B155" s="175" t="s">
        <v>394</v>
      </c>
      <c r="C155" s="175" t="s">
        <v>393</v>
      </c>
      <c r="D155" s="175" t="s">
        <v>354</v>
      </c>
      <c r="E155" s="175" t="s">
        <v>392</v>
      </c>
      <c r="F155" s="175" t="s">
        <v>391</v>
      </c>
      <c r="G155" s="173"/>
    </row>
    <row r="156" spans="1:7">
      <c r="A156" s="177" t="s">
        <v>390</v>
      </c>
      <c r="B156" s="177" t="s">
        <v>389</v>
      </c>
      <c r="C156" s="177" t="s">
        <v>388</v>
      </c>
      <c r="D156" s="177" t="s">
        <v>387</v>
      </c>
      <c r="E156" s="177" t="s">
        <v>386</v>
      </c>
      <c r="F156" s="177" t="s">
        <v>385</v>
      </c>
      <c r="G156" s="173"/>
    </row>
    <row r="157" spans="1:7">
      <c r="A157" s="175" t="s">
        <v>384</v>
      </c>
      <c r="B157" s="175" t="s">
        <v>383</v>
      </c>
      <c r="C157" s="175" t="s">
        <v>382</v>
      </c>
      <c r="D157" s="175" t="s">
        <v>381</v>
      </c>
      <c r="E157" s="175" t="s">
        <v>380</v>
      </c>
      <c r="F157" s="175" t="s">
        <v>379</v>
      </c>
      <c r="G157" s="173"/>
    </row>
    <row r="158" spans="1:7">
      <c r="A158" s="173"/>
      <c r="B158" s="173"/>
      <c r="C158" s="173"/>
      <c r="D158" s="173"/>
      <c r="E158" s="173"/>
      <c r="F158" s="173"/>
      <c r="G158" s="173"/>
    </row>
    <row r="159" spans="1:7">
      <c r="A159" s="173"/>
      <c r="B159" s="173"/>
      <c r="C159" s="173"/>
      <c r="D159" s="173"/>
      <c r="E159" s="173"/>
      <c r="F159" s="173"/>
      <c r="G159" s="173"/>
    </row>
    <row r="160" spans="1:7">
      <c r="A160" s="177" t="s">
        <v>378</v>
      </c>
      <c r="B160" s="182">
        <v>15821300</v>
      </c>
      <c r="C160" s="182">
        <v>8134400</v>
      </c>
      <c r="D160" s="182">
        <v>7164900</v>
      </c>
      <c r="E160" s="182">
        <v>8677200</v>
      </c>
      <c r="F160" s="182">
        <v>8316000</v>
      </c>
      <c r="G160" s="173"/>
    </row>
    <row r="161" spans="1:7">
      <c r="A161" s="175" t="s">
        <v>377</v>
      </c>
      <c r="B161" s="181">
        <v>-6187700</v>
      </c>
      <c r="C161" s="181">
        <v>-6364200</v>
      </c>
      <c r="D161" s="181">
        <v>-6116500</v>
      </c>
      <c r="E161" s="181">
        <v>-5724600</v>
      </c>
      <c r="F161" s="181">
        <v>-3666000</v>
      </c>
      <c r="G161" s="173"/>
    </row>
    <row r="162" spans="1:7">
      <c r="A162" s="177" t="s">
        <v>376</v>
      </c>
      <c r="B162" s="182">
        <v>1876400</v>
      </c>
      <c r="C162" s="182">
        <v>2412300</v>
      </c>
      <c r="D162" s="182">
        <v>2649800</v>
      </c>
      <c r="E162" s="182">
        <v>973500</v>
      </c>
      <c r="F162" s="182">
        <v>202000</v>
      </c>
      <c r="G162" s="173"/>
    </row>
    <row r="163" spans="1:7">
      <c r="A163" s="175" t="s">
        <v>375</v>
      </c>
      <c r="B163" s="181">
        <v>1096400</v>
      </c>
      <c r="C163" s="181">
        <v>1658000</v>
      </c>
      <c r="D163" s="181">
        <v>2092500</v>
      </c>
      <c r="E163" s="181">
        <v>740000</v>
      </c>
      <c r="F163" s="181">
        <v>36000</v>
      </c>
      <c r="G163" s="173"/>
    </row>
    <row r="164" spans="1:7">
      <c r="A164" s="177" t="s">
        <v>374</v>
      </c>
      <c r="B164" s="182">
        <v>780000</v>
      </c>
      <c r="C164" s="182">
        <v>754300</v>
      </c>
      <c r="D164" s="182">
        <v>557300</v>
      </c>
      <c r="E164" s="182">
        <v>233500</v>
      </c>
      <c r="F164" s="182">
        <v>166000</v>
      </c>
      <c r="G164" s="173"/>
    </row>
    <row r="165" spans="1:7">
      <c r="A165" s="175" t="s">
        <v>373</v>
      </c>
      <c r="B165" s="181">
        <v>-2961500</v>
      </c>
      <c r="C165" s="181">
        <v>1112500</v>
      </c>
      <c r="D165" s="181">
        <v>1052500</v>
      </c>
      <c r="E165" s="181">
        <v>623200</v>
      </c>
      <c r="F165" s="181">
        <v>-1448000</v>
      </c>
      <c r="G165" s="173"/>
    </row>
    <row r="166" spans="1:7">
      <c r="A166" s="177" t="s">
        <v>372</v>
      </c>
      <c r="B166" s="182">
        <v>118600</v>
      </c>
      <c r="C166" s="182">
        <v>42400</v>
      </c>
      <c r="D166" s="182">
        <v>-187900</v>
      </c>
      <c r="E166" s="182">
        <v>-132800</v>
      </c>
      <c r="F166" s="182">
        <v>-164000</v>
      </c>
      <c r="G166" s="173"/>
    </row>
    <row r="167" spans="1:7">
      <c r="A167" s="175" t="s">
        <v>371</v>
      </c>
      <c r="B167" s="181">
        <v>19229400</v>
      </c>
      <c r="C167" s="181">
        <v>12112600</v>
      </c>
      <c r="D167" s="181">
        <v>11450600</v>
      </c>
      <c r="E167" s="181">
        <v>11432300</v>
      </c>
      <c r="F167" s="181">
        <v>10137000</v>
      </c>
      <c r="G167" s="173"/>
    </row>
    <row r="168" spans="1:7">
      <c r="A168" s="173"/>
      <c r="B168" s="173"/>
      <c r="C168" s="173"/>
      <c r="D168" s="173"/>
      <c r="E168" s="173"/>
      <c r="F168" s="173"/>
      <c r="G168" s="173"/>
    </row>
    <row r="169" spans="1:7">
      <c r="A169" s="173"/>
      <c r="B169" s="173"/>
      <c r="C169" s="173"/>
      <c r="D169" s="173"/>
      <c r="E169" s="173"/>
      <c r="F169" s="173"/>
      <c r="G169" s="173"/>
    </row>
    <row r="170" spans="1:7">
      <c r="A170" s="177" t="s">
        <v>370</v>
      </c>
      <c r="B170" s="178">
        <v>5.49</v>
      </c>
      <c r="C170" s="178">
        <v>2.81</v>
      </c>
      <c r="D170" s="178">
        <v>1.1100000000000001</v>
      </c>
      <c r="E170" s="178">
        <v>3.23</v>
      </c>
      <c r="F170" s="178">
        <v>4.08</v>
      </c>
      <c r="G170" s="173"/>
    </row>
    <row r="171" spans="1:7">
      <c r="A171" s="175" t="s">
        <v>369</v>
      </c>
      <c r="B171" s="175" t="s">
        <v>368</v>
      </c>
      <c r="C171" s="175" t="s">
        <v>367</v>
      </c>
      <c r="D171" s="175" t="s">
        <v>365</v>
      </c>
      <c r="E171" s="175" t="s">
        <v>366</v>
      </c>
      <c r="F171" s="175" t="s">
        <v>365</v>
      </c>
      <c r="G171" s="173"/>
    </row>
    <row r="172" spans="1:7">
      <c r="A172" s="177" t="s">
        <v>364</v>
      </c>
      <c r="B172" s="177" t="s">
        <v>363</v>
      </c>
      <c r="C172" s="177" t="s">
        <v>362</v>
      </c>
      <c r="D172" s="177" t="s">
        <v>361</v>
      </c>
      <c r="E172" s="177" t="s">
        <v>360</v>
      </c>
      <c r="F172" s="177" t="s">
        <v>359</v>
      </c>
      <c r="G172" s="173"/>
    </row>
    <row r="173" spans="1:7">
      <c r="A173" s="175" t="s">
        <v>358</v>
      </c>
      <c r="B173" s="175" t="s">
        <v>357</v>
      </c>
      <c r="C173" s="175" t="s">
        <v>356</v>
      </c>
      <c r="D173" s="175" t="s">
        <v>355</v>
      </c>
      <c r="E173" s="175" t="s">
        <v>350</v>
      </c>
      <c r="F173" s="175" t="s">
        <v>354</v>
      </c>
      <c r="G173" s="173"/>
    </row>
    <row r="174" spans="1:7">
      <c r="A174" s="177" t="s">
        <v>358</v>
      </c>
      <c r="B174" s="177" t="s">
        <v>357</v>
      </c>
      <c r="C174" s="177" t="s">
        <v>356</v>
      </c>
      <c r="D174" s="177" t="s">
        <v>355</v>
      </c>
      <c r="E174" s="177" t="s">
        <v>350</v>
      </c>
      <c r="F174" s="177" t="s">
        <v>354</v>
      </c>
      <c r="G174" s="173"/>
    </row>
    <row r="175" spans="1:7">
      <c r="A175" s="175" t="s">
        <v>353</v>
      </c>
      <c r="B175" s="175" t="s">
        <v>352</v>
      </c>
      <c r="C175" s="175" t="s">
        <v>351</v>
      </c>
      <c r="D175" s="175" t="s">
        <v>350</v>
      </c>
      <c r="E175" s="175" t="s">
        <v>349</v>
      </c>
      <c r="F175" s="175" t="s">
        <v>348</v>
      </c>
      <c r="G175" s="173"/>
    </row>
    <row r="176" spans="1:7">
      <c r="A176" s="173"/>
      <c r="B176" s="173"/>
      <c r="C176" s="173"/>
      <c r="D176" s="173"/>
      <c r="E176" s="173"/>
      <c r="F176" s="173"/>
      <c r="G176" s="173"/>
    </row>
    <row r="177" spans="1:7">
      <c r="A177" s="173"/>
      <c r="B177" s="173"/>
      <c r="C177" s="173"/>
      <c r="D177" s="173"/>
      <c r="E177" s="173"/>
      <c r="F177" s="173"/>
      <c r="G177" s="173"/>
    </row>
    <row r="178" spans="1:7">
      <c r="A178" s="177" t="s">
        <v>347</v>
      </c>
      <c r="B178" s="180">
        <v>6.9599999999999995E-2</v>
      </c>
      <c r="C178" s="180">
        <v>0.15110000000000001</v>
      </c>
      <c r="D178" s="180">
        <v>0.17630000000000001</v>
      </c>
      <c r="E178" s="180">
        <v>6.5199999999999994E-2</v>
      </c>
      <c r="F178" s="180">
        <v>1.47E-2</v>
      </c>
      <c r="G178" s="173"/>
    </row>
    <row r="179" spans="1:7">
      <c r="A179" s="175" t="s">
        <v>346</v>
      </c>
      <c r="B179" s="179">
        <v>0.1177</v>
      </c>
      <c r="C179" s="179">
        <v>0.29070000000000001</v>
      </c>
      <c r="D179" s="179">
        <v>0.36209999999999998</v>
      </c>
      <c r="E179" s="179">
        <v>0.11</v>
      </c>
      <c r="F179" s="179">
        <v>2.3900000000000001E-2</v>
      </c>
      <c r="G179" s="173"/>
    </row>
    <row r="180" spans="1:7">
      <c r="A180" s="177" t="s">
        <v>345</v>
      </c>
      <c r="B180" s="180">
        <v>5.7000000000000002E-2</v>
      </c>
      <c r="C180" s="180">
        <v>0.13689999999999999</v>
      </c>
      <c r="D180" s="180">
        <v>0.1827</v>
      </c>
      <c r="E180" s="180">
        <v>6.4699999999999994E-2</v>
      </c>
      <c r="F180" s="180">
        <v>3.5999999999999999E-3</v>
      </c>
      <c r="G180" s="173"/>
    </row>
    <row r="181" spans="1:7">
      <c r="A181" s="175" t="s">
        <v>344</v>
      </c>
      <c r="B181" s="179">
        <v>1.8855</v>
      </c>
      <c r="C181" s="179">
        <v>-0.1232</v>
      </c>
      <c r="D181" s="179">
        <v>0.47049999999999997</v>
      </c>
      <c r="E181" s="179">
        <v>-1.3359000000000001</v>
      </c>
      <c r="F181" s="179">
        <v>2.3860999999999999</v>
      </c>
      <c r="G181" s="173"/>
    </row>
    <row r="182" spans="1:7">
      <c r="A182" s="177" t="s">
        <v>343</v>
      </c>
      <c r="B182" s="180">
        <v>1.6918</v>
      </c>
      <c r="C182" s="180">
        <v>1.9236</v>
      </c>
      <c r="D182" s="180">
        <v>2.0541999999999998</v>
      </c>
      <c r="E182" s="180">
        <v>1.6862999999999999</v>
      </c>
      <c r="F182" s="180">
        <v>1.6295999999999999</v>
      </c>
      <c r="G182" s="173"/>
    </row>
    <row r="183" spans="1:7">
      <c r="A183" s="173"/>
      <c r="B183" s="173"/>
      <c r="C183" s="173"/>
      <c r="D183" s="173"/>
      <c r="E183" s="173"/>
      <c r="F183" s="173"/>
      <c r="G183" s="173"/>
    </row>
    <row r="184" spans="1:7">
      <c r="A184" s="173"/>
      <c r="B184" s="173"/>
      <c r="C184" s="173"/>
      <c r="D184" s="173"/>
      <c r="E184" s="173"/>
      <c r="F184" s="173"/>
      <c r="G184" s="173"/>
    </row>
    <row r="185" spans="1:7">
      <c r="A185" s="175" t="s">
        <v>342</v>
      </c>
      <c r="B185" s="179">
        <v>0.90029999999999999</v>
      </c>
      <c r="C185" s="179">
        <v>0.53249999999999997</v>
      </c>
      <c r="D185" s="179">
        <v>-0.20019999999999999</v>
      </c>
      <c r="E185" s="179">
        <v>-0.1159</v>
      </c>
      <c r="F185" s="174" t="s">
        <v>299</v>
      </c>
      <c r="G185" s="173"/>
    </row>
    <row r="186" spans="1:7">
      <c r="A186" s="177" t="s">
        <v>341</v>
      </c>
      <c r="B186" s="180">
        <v>0.83240000000000003</v>
      </c>
      <c r="C186" s="180">
        <v>0.5474</v>
      </c>
      <c r="D186" s="180">
        <v>-0.19089999999999999</v>
      </c>
      <c r="E186" s="180">
        <v>-0.21560000000000001</v>
      </c>
      <c r="F186" s="176" t="s">
        <v>299</v>
      </c>
      <c r="G186" s="173"/>
    </row>
    <row r="187" spans="1:7">
      <c r="A187" s="175" t="s">
        <v>340</v>
      </c>
      <c r="B187" s="179">
        <v>3.1021999999999998</v>
      </c>
      <c r="C187" s="179">
        <v>-7.4669999999999996</v>
      </c>
      <c r="D187" s="179">
        <v>-1.2502</v>
      </c>
      <c r="E187" s="179">
        <v>-0.44140000000000001</v>
      </c>
      <c r="F187" s="174" t="s">
        <v>299</v>
      </c>
      <c r="G187" s="173"/>
    </row>
    <row r="188" spans="1:7">
      <c r="A188" s="177" t="s">
        <v>339</v>
      </c>
      <c r="B188" s="180">
        <v>6.3958000000000004</v>
      </c>
      <c r="C188" s="180">
        <v>-1.7090000000000001</v>
      </c>
      <c r="D188" s="180">
        <v>-2.9662000000000002</v>
      </c>
      <c r="E188" s="180">
        <v>-0.59819999999999995</v>
      </c>
      <c r="F188" s="176" t="s">
        <v>299</v>
      </c>
      <c r="G188" s="173"/>
    </row>
    <row r="189" spans="1:7">
      <c r="A189" s="175" t="s">
        <v>338</v>
      </c>
      <c r="B189" s="179">
        <v>6.9717000000000002</v>
      </c>
      <c r="C189" s="179">
        <v>-1.6195999999999999</v>
      </c>
      <c r="D189" s="179">
        <v>-3.3666999999999998</v>
      </c>
      <c r="E189" s="179">
        <v>-0.63090000000000002</v>
      </c>
      <c r="F189" s="174" t="s">
        <v>299</v>
      </c>
      <c r="G189" s="173"/>
    </row>
    <row r="190" spans="1:7">
      <c r="A190" s="177" t="s">
        <v>337</v>
      </c>
      <c r="B190" s="180">
        <v>6.8400000000000002E-2</v>
      </c>
      <c r="C190" s="180">
        <v>1.0288999999999999</v>
      </c>
      <c r="D190" s="180">
        <v>3.73E-2</v>
      </c>
      <c r="E190" s="180">
        <v>-0.2442</v>
      </c>
      <c r="F190" s="176" t="s">
        <v>299</v>
      </c>
      <c r="G190" s="173"/>
    </row>
    <row r="191" spans="1:7">
      <c r="A191" s="175" t="s">
        <v>336</v>
      </c>
      <c r="B191" s="179">
        <v>0.51739999999999997</v>
      </c>
      <c r="C191" s="179">
        <v>-0.25879999999999997</v>
      </c>
      <c r="D191" s="179">
        <v>-0.2215</v>
      </c>
      <c r="E191" s="179">
        <v>0.7238</v>
      </c>
      <c r="F191" s="174" t="s">
        <v>299</v>
      </c>
      <c r="G191" s="173"/>
    </row>
    <row r="192" spans="1:7">
      <c r="A192" s="177" t="s">
        <v>335</v>
      </c>
      <c r="B192" s="180">
        <v>0.1056</v>
      </c>
      <c r="C192" s="180">
        <v>4.3099999999999999E-2</v>
      </c>
      <c r="D192" s="180">
        <v>3.73E-2</v>
      </c>
      <c r="E192" s="180">
        <v>0.1875</v>
      </c>
      <c r="F192" s="176" t="s">
        <v>299</v>
      </c>
      <c r="G192" s="173"/>
    </row>
    <row r="193" spans="1:7">
      <c r="A193" s="175" t="s">
        <v>334</v>
      </c>
      <c r="B193" s="179">
        <v>0.68920000000000003</v>
      </c>
      <c r="C193" s="179">
        <v>6.1899999999999997E-2</v>
      </c>
      <c r="D193" s="179">
        <v>7.0000000000000001E-3</v>
      </c>
      <c r="E193" s="179">
        <v>8.4599999999999995E-2</v>
      </c>
      <c r="F193" s="174" t="s">
        <v>299</v>
      </c>
      <c r="G193" s="173"/>
    </row>
    <row r="194" spans="1:7">
      <c r="A194" s="177" t="s">
        <v>333</v>
      </c>
      <c r="B194" s="180">
        <v>0.94499999999999995</v>
      </c>
      <c r="C194" s="180">
        <v>0.1353</v>
      </c>
      <c r="D194" s="180">
        <v>-0.17430000000000001</v>
      </c>
      <c r="E194" s="180">
        <v>4.3400000000000001E-2</v>
      </c>
      <c r="F194" s="176" t="s">
        <v>299</v>
      </c>
      <c r="G194" s="173"/>
    </row>
    <row r="195" spans="1:7">
      <c r="A195" s="175" t="s">
        <v>332</v>
      </c>
      <c r="B195" s="179">
        <v>0.92069999999999996</v>
      </c>
      <c r="C195" s="179">
        <v>0.13400000000000001</v>
      </c>
      <c r="D195" s="179">
        <v>-0.17330000000000001</v>
      </c>
      <c r="E195" s="179">
        <v>4.8099999999999997E-2</v>
      </c>
      <c r="F195" s="174" t="s">
        <v>299</v>
      </c>
      <c r="G195" s="173"/>
    </row>
    <row r="196" spans="1:7">
      <c r="A196" s="177" t="s">
        <v>331</v>
      </c>
      <c r="B196" s="180">
        <v>5.4349999999999996</v>
      </c>
      <c r="C196" s="180">
        <v>3.6833999999999998</v>
      </c>
      <c r="D196" s="180">
        <v>-0.68889999999999996</v>
      </c>
      <c r="E196" s="180">
        <v>-0.59540000000000004</v>
      </c>
      <c r="F196" s="176" t="s">
        <v>299</v>
      </c>
      <c r="G196" s="173"/>
    </row>
    <row r="197" spans="1:7">
      <c r="A197" s="173"/>
      <c r="B197" s="173"/>
      <c r="C197" s="173"/>
      <c r="D197" s="173"/>
      <c r="E197" s="173"/>
      <c r="F197" s="173"/>
      <c r="G197" s="173"/>
    </row>
    <row r="198" spans="1:7">
      <c r="A198" s="173"/>
      <c r="B198" s="173"/>
      <c r="C198" s="173"/>
      <c r="D198" s="173"/>
      <c r="E198" s="173"/>
      <c r="F198" s="173"/>
      <c r="G198" s="173"/>
    </row>
    <row r="199" spans="1:7">
      <c r="A199" s="175" t="s">
        <v>330</v>
      </c>
      <c r="B199" s="175" t="s">
        <v>329</v>
      </c>
      <c r="C199" s="175" t="s">
        <v>328</v>
      </c>
      <c r="D199" s="175" t="s">
        <v>327</v>
      </c>
      <c r="E199" s="175" t="s">
        <v>326</v>
      </c>
      <c r="F199" s="175" t="s">
        <v>325</v>
      </c>
      <c r="G199" s="173"/>
    </row>
    <row r="200" spans="1:7">
      <c r="A200" s="173"/>
      <c r="B200" s="173"/>
      <c r="C200" s="173"/>
      <c r="D200" s="173"/>
      <c r="E200" s="173"/>
      <c r="F200" s="173"/>
      <c r="G200" s="173"/>
    </row>
    <row r="201" spans="1:7">
      <c r="A201" s="173"/>
      <c r="B201" s="173"/>
      <c r="C201" s="173"/>
      <c r="D201" s="173"/>
      <c r="E201" s="173"/>
      <c r="F201" s="173"/>
      <c r="G201" s="173"/>
    </row>
    <row r="202" spans="1:7">
      <c r="A202" s="177" t="s">
        <v>324</v>
      </c>
      <c r="B202" s="180">
        <v>0.5292</v>
      </c>
      <c r="C202" s="180">
        <v>0.15629999999999999</v>
      </c>
      <c r="D202" s="180">
        <v>5.11E-2</v>
      </c>
      <c r="E202" s="180">
        <v>0.13150000000000001</v>
      </c>
      <c r="F202" s="180">
        <v>0.2873</v>
      </c>
      <c r="G202" s="173"/>
    </row>
    <row r="203" spans="1:7">
      <c r="A203" s="175" t="s">
        <v>323</v>
      </c>
      <c r="B203" s="179">
        <v>0.39650000000000002</v>
      </c>
      <c r="C203" s="179">
        <v>0.1041</v>
      </c>
      <c r="D203" s="179">
        <v>2.3599999999999999E-2</v>
      </c>
      <c r="E203" s="179">
        <v>7.6399999999999996E-2</v>
      </c>
      <c r="F203" s="179">
        <v>0.20480000000000001</v>
      </c>
      <c r="G203" s="173"/>
    </row>
    <row r="204" spans="1:7">
      <c r="A204" s="177" t="s">
        <v>322</v>
      </c>
      <c r="B204" s="180">
        <v>0.67069999999999996</v>
      </c>
      <c r="C204" s="180">
        <v>0.20019999999999999</v>
      </c>
      <c r="D204" s="180">
        <v>4.8500000000000001E-2</v>
      </c>
      <c r="E204" s="180">
        <v>0.1288</v>
      </c>
      <c r="F204" s="180">
        <v>0.3337</v>
      </c>
      <c r="G204" s="173"/>
    </row>
    <row r="205" spans="1:7">
      <c r="A205" s="175" t="s">
        <v>321</v>
      </c>
      <c r="B205" s="179">
        <v>1.145</v>
      </c>
      <c r="C205" s="179">
        <v>1.3159000000000001</v>
      </c>
      <c r="D205" s="179">
        <v>-0.19919999999999999</v>
      </c>
      <c r="E205" s="179">
        <v>1.2592000000000001</v>
      </c>
      <c r="F205" s="179">
        <v>1.2502</v>
      </c>
      <c r="G205" s="173"/>
    </row>
    <row r="206" spans="1:7">
      <c r="A206" s="173"/>
      <c r="B206" s="173"/>
      <c r="C206" s="173"/>
      <c r="D206" s="173"/>
      <c r="E206" s="173"/>
      <c r="F206" s="173"/>
      <c r="G206" s="173"/>
    </row>
    <row r="207" spans="1:7">
      <c r="A207" s="173"/>
      <c r="B207" s="173"/>
      <c r="C207" s="173"/>
      <c r="D207" s="173"/>
      <c r="E207" s="173"/>
      <c r="F207" s="173"/>
      <c r="G207" s="173"/>
    </row>
    <row r="208" spans="1:7">
      <c r="A208" s="177" t="s">
        <v>320</v>
      </c>
      <c r="B208" s="180">
        <v>0.1794</v>
      </c>
      <c r="C208" s="180">
        <v>8.14E-2</v>
      </c>
      <c r="D208" s="180">
        <v>0.10630000000000001</v>
      </c>
      <c r="E208" s="180">
        <v>2.35E-2</v>
      </c>
      <c r="F208" s="180">
        <v>0.11990000000000001</v>
      </c>
      <c r="G208" s="173"/>
    </row>
    <row r="209" spans="1:7">
      <c r="A209" s="175" t="s">
        <v>319</v>
      </c>
      <c r="B209" s="179">
        <v>7.22E-2</v>
      </c>
      <c r="C209" s="179">
        <v>0.1142</v>
      </c>
      <c r="D209" s="179">
        <v>5.9799999999999999E-2</v>
      </c>
      <c r="E209" s="179">
        <v>5.8000000000000003E-2</v>
      </c>
      <c r="F209" s="179">
        <v>8.3299999999999999E-2</v>
      </c>
      <c r="G209" s="173"/>
    </row>
    <row r="210" spans="1:7">
      <c r="A210" s="177" t="s">
        <v>318</v>
      </c>
      <c r="B210" s="180">
        <v>3.6700000000000003E-2</v>
      </c>
      <c r="C210" s="180">
        <v>4.0899999999999999E-2</v>
      </c>
      <c r="D210" s="180">
        <v>5.8599999999999999E-2</v>
      </c>
      <c r="E210" s="180">
        <v>7.5800000000000006E-2</v>
      </c>
      <c r="F210" s="180">
        <v>4.7699999999999999E-2</v>
      </c>
      <c r="G210" s="173"/>
    </row>
    <row r="211" spans="1:7">
      <c r="A211" s="175" t="s">
        <v>317</v>
      </c>
      <c r="B211" s="179">
        <v>0.38479999999999998</v>
      </c>
      <c r="C211" s="179">
        <v>0.58789999999999998</v>
      </c>
      <c r="D211" s="179">
        <v>0.59850000000000003</v>
      </c>
      <c r="E211" s="179">
        <v>0.58099999999999996</v>
      </c>
      <c r="F211" s="179">
        <v>0.53069999999999995</v>
      </c>
      <c r="G211" s="173"/>
    </row>
    <row r="212" spans="1:7">
      <c r="A212" s="177" t="s">
        <v>316</v>
      </c>
      <c r="B212" s="180">
        <v>0.70140000000000002</v>
      </c>
      <c r="C212" s="180">
        <v>0.50219999999999998</v>
      </c>
      <c r="D212" s="180">
        <v>0.46410000000000001</v>
      </c>
      <c r="E212" s="180">
        <v>0.57520000000000004</v>
      </c>
      <c r="F212" s="180">
        <v>0.68189999999999995</v>
      </c>
      <c r="G212" s="173"/>
    </row>
    <row r="213" spans="1:7">
      <c r="A213" s="175" t="s">
        <v>315</v>
      </c>
      <c r="B213" s="179">
        <v>4.0899999999999999E-2</v>
      </c>
      <c r="C213" s="179">
        <v>6.4399999999999999E-2</v>
      </c>
      <c r="D213" s="179">
        <v>0.10059999999999999</v>
      </c>
      <c r="E213" s="179">
        <v>8.1799999999999998E-2</v>
      </c>
      <c r="F213" s="179">
        <v>6.3500000000000001E-2</v>
      </c>
      <c r="G213" s="173"/>
    </row>
    <row r="214" spans="1:7">
      <c r="A214" s="177" t="s">
        <v>314</v>
      </c>
      <c r="B214" s="180">
        <v>8.8900000000000007E-2</v>
      </c>
      <c r="C214" s="180">
        <v>2.01E-2</v>
      </c>
      <c r="D214" s="180">
        <v>-4.7600000000000003E-2</v>
      </c>
      <c r="E214" s="180">
        <v>2.06E-2</v>
      </c>
      <c r="F214" s="180">
        <v>4.3900000000000002E-2</v>
      </c>
      <c r="G214" s="173"/>
    </row>
    <row r="215" spans="1:7">
      <c r="A215" s="175" t="s">
        <v>313</v>
      </c>
      <c r="B215" s="179">
        <v>3.0213999999999999</v>
      </c>
      <c r="C215" s="179">
        <v>-5.5914000000000001</v>
      </c>
      <c r="D215" s="179">
        <v>0.28449999999999998</v>
      </c>
      <c r="E215" s="179">
        <v>-0.87680000000000002</v>
      </c>
      <c r="F215" s="179">
        <v>5.8464999999999998</v>
      </c>
      <c r="G215" s="173"/>
    </row>
    <row r="216" spans="1:7">
      <c r="A216" s="177" t="s">
        <v>312</v>
      </c>
      <c r="B216" s="180">
        <v>-1.79</v>
      </c>
      <c r="C216" s="180">
        <v>5.4534000000000002</v>
      </c>
      <c r="D216" s="180">
        <v>-0.44059999999999999</v>
      </c>
      <c r="E216" s="180">
        <v>1.7382</v>
      </c>
      <c r="F216" s="180">
        <v>-3.2801</v>
      </c>
      <c r="G216" s="173"/>
    </row>
    <row r="217" spans="1:7">
      <c r="A217" s="175" t="s">
        <v>311</v>
      </c>
      <c r="B217" s="179">
        <v>-0.23139999999999999</v>
      </c>
      <c r="C217" s="179">
        <v>1.1379999999999999</v>
      </c>
      <c r="D217" s="179">
        <v>1.1560999999999999</v>
      </c>
      <c r="E217" s="179">
        <v>0.1386</v>
      </c>
      <c r="F217" s="179">
        <v>-1.5664</v>
      </c>
      <c r="G217" s="173"/>
    </row>
    <row r="218" spans="1:7">
      <c r="A218" s="173"/>
      <c r="B218" s="173"/>
      <c r="C218" s="173"/>
      <c r="D218" s="173"/>
      <c r="E218" s="173"/>
      <c r="F218" s="173"/>
      <c r="G218" s="173"/>
    </row>
    <row r="219" spans="1:7">
      <c r="A219" s="173"/>
      <c r="B219" s="173"/>
      <c r="C219" s="173"/>
      <c r="D219" s="173"/>
      <c r="E219" s="173"/>
      <c r="F219" s="173"/>
      <c r="G219" s="173"/>
    </row>
    <row r="220" spans="1:7">
      <c r="A220" s="177" t="s">
        <v>310</v>
      </c>
      <c r="B220" s="178">
        <v>64.680000000000007</v>
      </c>
      <c r="C220" s="178">
        <v>8.11</v>
      </c>
      <c r="D220" s="178">
        <v>-13.09</v>
      </c>
      <c r="E220" s="178">
        <v>5.57</v>
      </c>
      <c r="F220" s="178">
        <v>15.09</v>
      </c>
      <c r="G220" s="173"/>
    </row>
    <row r="221" spans="1:7">
      <c r="A221" s="173"/>
      <c r="B221" s="173"/>
      <c r="C221" s="173"/>
      <c r="D221" s="173"/>
      <c r="E221" s="173"/>
      <c r="F221" s="173"/>
      <c r="G221" s="173"/>
    </row>
    <row r="222" spans="1:7">
      <c r="A222" s="173"/>
      <c r="B222" s="173"/>
      <c r="C222" s="173"/>
      <c r="D222" s="173"/>
      <c r="E222" s="173"/>
      <c r="F222" s="173"/>
      <c r="G222" s="173"/>
    </row>
    <row r="223" spans="1:7">
      <c r="A223" s="173"/>
      <c r="B223" s="173"/>
      <c r="C223" s="173"/>
      <c r="D223" s="173"/>
      <c r="E223" s="173"/>
      <c r="F223" s="173"/>
      <c r="G223" s="173"/>
    </row>
    <row r="224" spans="1:7">
      <c r="A224" s="173"/>
      <c r="B224" s="173"/>
      <c r="C224" s="173"/>
      <c r="D224" s="173"/>
      <c r="E224" s="173"/>
      <c r="F224" s="173"/>
      <c r="G224" s="173"/>
    </row>
    <row r="225" spans="1:7">
      <c r="A225" s="175" t="s">
        <v>309</v>
      </c>
      <c r="B225" s="174" t="s">
        <v>299</v>
      </c>
      <c r="C225" s="174" t="s">
        <v>299</v>
      </c>
      <c r="D225" s="174" t="s">
        <v>299</v>
      </c>
      <c r="E225" s="174" t="s">
        <v>299</v>
      </c>
      <c r="F225" s="174" t="s">
        <v>299</v>
      </c>
      <c r="G225" s="173"/>
    </row>
    <row r="226" spans="1:7">
      <c r="A226" s="177" t="s">
        <v>204</v>
      </c>
      <c r="B226" s="176" t="s">
        <v>203</v>
      </c>
      <c r="C226" s="176" t="s">
        <v>203</v>
      </c>
      <c r="D226" s="176" t="s">
        <v>203</v>
      </c>
      <c r="E226" s="176" t="s">
        <v>203</v>
      </c>
      <c r="F226" s="176" t="s">
        <v>203</v>
      </c>
      <c r="G226" s="173"/>
    </row>
    <row r="227" spans="1:7">
      <c r="A227" s="175" t="s">
        <v>202</v>
      </c>
      <c r="B227" s="174" t="s">
        <v>201</v>
      </c>
      <c r="C227" s="174" t="s">
        <v>200</v>
      </c>
      <c r="D227" s="174" t="s">
        <v>199</v>
      </c>
      <c r="E227" s="174" t="s">
        <v>198</v>
      </c>
      <c r="F227" s="174" t="s">
        <v>197</v>
      </c>
      <c r="G227" s="173"/>
    </row>
    <row r="228" spans="1:7">
      <c r="A228" s="177" t="s">
        <v>196</v>
      </c>
      <c r="B228" s="176" t="s">
        <v>195</v>
      </c>
      <c r="C228" s="176" t="s">
        <v>194</v>
      </c>
      <c r="D228" s="176" t="s">
        <v>193</v>
      </c>
      <c r="E228" s="176" t="s">
        <v>192</v>
      </c>
      <c r="F228" s="176" t="s">
        <v>191</v>
      </c>
      <c r="G228" s="173"/>
    </row>
    <row r="229" spans="1:7">
      <c r="A229" s="175" t="s">
        <v>190</v>
      </c>
      <c r="B229" s="174" t="s">
        <v>189</v>
      </c>
      <c r="C229" s="174" t="s">
        <v>189</v>
      </c>
      <c r="D229" s="174" t="s">
        <v>189</v>
      </c>
      <c r="E229" s="174" t="s">
        <v>189</v>
      </c>
      <c r="F229" s="174" t="s">
        <v>189</v>
      </c>
      <c r="G229" s="173"/>
    </row>
    <row r="230" spans="1:7">
      <c r="A230" s="177" t="s">
        <v>188</v>
      </c>
      <c r="B230" s="176" t="s">
        <v>188</v>
      </c>
      <c r="C230" s="176" t="s">
        <v>188</v>
      </c>
      <c r="D230" s="176" t="s">
        <v>188</v>
      </c>
      <c r="E230" s="176" t="s">
        <v>188</v>
      </c>
      <c r="F230" s="176" t="s">
        <v>188</v>
      </c>
      <c r="G230" s="173"/>
    </row>
    <row r="231" spans="1:7">
      <c r="A231" s="175" t="s">
        <v>187</v>
      </c>
      <c r="B231" s="174" t="s">
        <v>186</v>
      </c>
      <c r="C231" s="174" t="s">
        <v>186</v>
      </c>
      <c r="D231" s="174" t="s">
        <v>186</v>
      </c>
      <c r="E231" s="174" t="s">
        <v>186</v>
      </c>
      <c r="F231" s="174" t="s">
        <v>186</v>
      </c>
      <c r="G231" s="173"/>
    </row>
    <row r="232" spans="1:7">
      <c r="A232" s="173"/>
      <c r="B232" s="173"/>
      <c r="C232" s="173"/>
      <c r="D232" s="173"/>
      <c r="E232" s="173"/>
      <c r="F232" s="173"/>
      <c r="G232" s="173"/>
    </row>
    <row r="233" spans="1:7">
      <c r="A233" s="171"/>
      <c r="B233" s="172"/>
      <c r="C233" s="171"/>
      <c r="D233" s="171"/>
      <c r="E233" s="171"/>
    </row>
    <row r="234" spans="1:7">
      <c r="A234" s="171"/>
      <c r="B234" s="172"/>
      <c r="C234" s="171"/>
      <c r="D234" s="171"/>
      <c r="E234" s="171"/>
    </row>
  </sheetData>
  <sheetProtection formatCells="0" formatColumns="0" formatRows="0" insertColumns="0" insertRows="0" insertHyperlinks="0" deleteColumns="0" deleteRows="0" sort="0" autoFilter="0" pivotTables="0"/>
  <mergeCells count="12">
    <mergeCell ref="A129:G129"/>
    <mergeCell ref="A123:C127"/>
    <mergeCell ref="D124:G124"/>
    <mergeCell ref="D125:G125"/>
    <mergeCell ref="D126:G126"/>
    <mergeCell ref="D127:G127"/>
    <mergeCell ref="A7:G7"/>
    <mergeCell ref="A1:C5"/>
    <mergeCell ref="D2:G2"/>
    <mergeCell ref="D3:G3"/>
    <mergeCell ref="D4:G4"/>
    <mergeCell ref="D5:G5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53"/>
  <sheetViews>
    <sheetView topLeftCell="H3" zoomScale="88" zoomScaleNormal="69" workbookViewId="0">
      <selection activeCell="B28" sqref="B28"/>
    </sheetView>
  </sheetViews>
  <sheetFormatPr defaultColWidth="8.77734375" defaultRowHeight="14.4"/>
  <cols>
    <col min="1" max="1" width="58.77734375" customWidth="1"/>
    <col min="2" max="2" width="14.6640625" bestFit="1" customWidth="1"/>
    <col min="3" max="4" width="12.33203125" bestFit="1" customWidth="1"/>
    <col min="5" max="6" width="13.33203125" bestFit="1" customWidth="1"/>
    <col min="8" max="8" width="78.109375" bestFit="1" customWidth="1"/>
    <col min="9" max="9" width="13.77734375" bestFit="1" customWidth="1"/>
    <col min="10" max="11" width="13" bestFit="1" customWidth="1"/>
    <col min="12" max="12" width="13.77734375" bestFit="1" customWidth="1"/>
    <col min="15" max="15" width="65.44140625" bestFit="1" customWidth="1"/>
    <col min="16" max="20" width="13.33203125" bestFit="1" customWidth="1"/>
    <col min="22" max="22" width="69.109375" customWidth="1"/>
    <col min="23" max="27" width="16.44140625" bestFit="1" customWidth="1"/>
    <col min="29" max="29" width="49.77734375" bestFit="1" customWidth="1"/>
    <col min="36" max="36" width="49.77734375" bestFit="1" customWidth="1"/>
    <col min="37" max="41" width="13.6640625" bestFit="1" customWidth="1"/>
    <col min="42" max="42" width="14.44140625" customWidth="1"/>
    <col min="43" max="44" width="13.77734375" customWidth="1"/>
    <col min="45" max="45" width="15.77734375" customWidth="1"/>
    <col min="47" max="47" width="70.44140625" bestFit="1" customWidth="1"/>
    <col min="48" max="48" width="12.33203125" bestFit="1" customWidth="1"/>
    <col min="49" max="49" width="13.44140625" bestFit="1" customWidth="1"/>
    <col min="50" max="52" width="10.77734375" bestFit="1" customWidth="1"/>
    <col min="53" max="56" width="14.44140625" customWidth="1"/>
  </cols>
  <sheetData>
    <row r="1" spans="1:56">
      <c r="A1" s="184" t="s">
        <v>514</v>
      </c>
      <c r="H1" s="184" t="s">
        <v>526</v>
      </c>
      <c r="O1" s="166" t="s">
        <v>525</v>
      </c>
      <c r="AJ1" s="288" t="s">
        <v>29</v>
      </c>
      <c r="AK1" s="288"/>
      <c r="AL1" s="288"/>
      <c r="AM1" s="288"/>
      <c r="AN1" s="288"/>
      <c r="AO1" s="288"/>
      <c r="AP1" s="288"/>
      <c r="AQ1" s="288"/>
      <c r="AR1" s="288"/>
      <c r="AS1" s="288"/>
      <c r="AU1" s="288" t="s">
        <v>30</v>
      </c>
      <c r="AV1" s="288"/>
      <c r="AW1" s="288"/>
      <c r="AX1" s="288"/>
      <c r="AY1" s="288"/>
      <c r="AZ1" s="288"/>
      <c r="BA1" s="288"/>
      <c r="BB1" s="288"/>
      <c r="BC1" s="288"/>
      <c r="BD1" s="288"/>
    </row>
    <row r="2" spans="1:56" ht="15" thickBot="1">
      <c r="A2" s="184" t="s">
        <v>506</v>
      </c>
      <c r="H2" s="184" t="s">
        <v>514</v>
      </c>
      <c r="O2" s="184" t="s">
        <v>506</v>
      </c>
      <c r="AC2" t="s">
        <v>506</v>
      </c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</row>
    <row r="3" spans="1:56" ht="14.55" customHeight="1" thickBot="1">
      <c r="A3" s="28" t="s">
        <v>501</v>
      </c>
      <c r="H3" s="166" t="s">
        <v>518</v>
      </c>
      <c r="O3" s="166" t="s">
        <v>512</v>
      </c>
      <c r="V3" s="166" t="s">
        <v>503</v>
      </c>
      <c r="AC3" s="209" t="s">
        <v>500</v>
      </c>
      <c r="AP3" s="113"/>
      <c r="AQ3" s="113"/>
      <c r="AR3" s="113"/>
      <c r="AS3" s="113"/>
      <c r="BA3" s="113"/>
      <c r="BB3" s="113"/>
      <c r="BC3" s="113"/>
      <c r="BD3" s="113"/>
    </row>
    <row r="4" spans="1:56" ht="27.6" thickBot="1">
      <c r="A4" s="29" t="s">
        <v>21</v>
      </c>
      <c r="B4" s="105">
        <v>2018</v>
      </c>
      <c r="C4" s="109">
        <v>2019</v>
      </c>
      <c r="D4" s="110">
        <v>2020</v>
      </c>
      <c r="E4" s="111">
        <v>2021</v>
      </c>
      <c r="F4" s="112">
        <v>2022</v>
      </c>
      <c r="H4" s="29" t="s">
        <v>23</v>
      </c>
      <c r="I4" s="105">
        <v>2018</v>
      </c>
      <c r="J4" s="109">
        <v>2019</v>
      </c>
      <c r="K4" s="110">
        <v>2020</v>
      </c>
      <c r="L4" s="111">
        <v>2021</v>
      </c>
      <c r="M4" s="112">
        <v>2022</v>
      </c>
      <c r="O4" s="29" t="s">
        <v>25</v>
      </c>
      <c r="P4" s="105">
        <v>2018</v>
      </c>
      <c r="Q4" s="109">
        <v>2019</v>
      </c>
      <c r="R4" s="110">
        <v>2020</v>
      </c>
      <c r="S4" s="111">
        <v>2021</v>
      </c>
      <c r="T4" s="112">
        <v>2022</v>
      </c>
      <c r="V4" s="29" t="s">
        <v>33</v>
      </c>
      <c r="W4" s="105">
        <v>2018</v>
      </c>
      <c r="X4" s="109">
        <v>2019</v>
      </c>
      <c r="Y4" s="110">
        <v>2020</v>
      </c>
      <c r="Z4" s="111">
        <v>2021</v>
      </c>
      <c r="AA4" s="112">
        <v>2022</v>
      </c>
      <c r="AC4" s="29" t="s">
        <v>28</v>
      </c>
      <c r="AD4" s="105">
        <v>2018</v>
      </c>
      <c r="AE4" s="109">
        <v>2019</v>
      </c>
      <c r="AF4" s="110">
        <v>2020</v>
      </c>
      <c r="AG4" s="111">
        <v>2021</v>
      </c>
      <c r="AH4" s="112">
        <v>2022</v>
      </c>
      <c r="AJ4" s="29" t="s">
        <v>31</v>
      </c>
      <c r="AK4" s="105">
        <v>2018</v>
      </c>
      <c r="AL4" s="109">
        <v>2019</v>
      </c>
      <c r="AM4" s="110">
        <v>2020</v>
      </c>
      <c r="AN4" s="111">
        <v>2021</v>
      </c>
      <c r="AO4" s="112">
        <v>2022</v>
      </c>
      <c r="AP4" s="113" t="s">
        <v>120</v>
      </c>
      <c r="AQ4" s="113" t="s">
        <v>121</v>
      </c>
      <c r="AR4" s="113" t="s">
        <v>122</v>
      </c>
      <c r="AS4" s="113" t="s">
        <v>123</v>
      </c>
      <c r="AU4" s="29" t="s">
        <v>32</v>
      </c>
      <c r="AV4" s="105">
        <v>2018</v>
      </c>
      <c r="AW4" s="109">
        <v>2019</v>
      </c>
      <c r="AX4" s="110">
        <v>2020</v>
      </c>
      <c r="AY4" s="111">
        <v>2021</v>
      </c>
      <c r="AZ4" s="112">
        <v>2022</v>
      </c>
      <c r="BA4" s="113" t="s">
        <v>120</v>
      </c>
      <c r="BB4" s="113" t="s">
        <v>121</v>
      </c>
      <c r="BC4" s="113" t="s">
        <v>122</v>
      </c>
      <c r="BD4" s="113" t="s">
        <v>123</v>
      </c>
    </row>
    <row r="5" spans="1:56" ht="16.2" thickBot="1">
      <c r="A5" s="108" t="s">
        <v>523</v>
      </c>
      <c r="B5" s="167">
        <f>'Spółka JSW'!F36/'Spółka JSW'!F48</f>
        <v>2.9760184917653856</v>
      </c>
      <c r="C5" s="188">
        <f>'Spółka JSW'!E36/'Spółka JSW'!E48</f>
        <v>3.4406628387826137</v>
      </c>
      <c r="D5" s="189">
        <f>'Spółka JSW'!D36/'Spółka JSW'!D48</f>
        <v>3.4307569862044569</v>
      </c>
      <c r="E5" s="188">
        <f>'Spółka JSW'!C36/'Spółka JSW'!C48</f>
        <v>3.1016034535923529</v>
      </c>
      <c r="F5" s="167">
        <f>'Spółka JSW'!B36/'Spółka JSW'!B48</f>
        <v>2.4337837321549101</v>
      </c>
      <c r="H5" s="108" t="s">
        <v>523</v>
      </c>
      <c r="I5" s="167">
        <f>'Spółka JSW'!F31/'Spółka JSW'!F37</f>
        <v>0.24099685060933862</v>
      </c>
      <c r="J5" s="191">
        <f>'Spółka JSW'!E31/'Spółka JSW'!E37</f>
        <v>7.4905157801275324E-2</v>
      </c>
      <c r="K5" s="192">
        <f>'Spółka JSW'!D31/'Spółka JSW'!D37</f>
        <v>-0.17090577615723243</v>
      </c>
      <c r="L5" s="191">
        <f>'Spółka JSW'!C31/'Spółka JSW'!C37</f>
        <v>0.10151970501097683</v>
      </c>
      <c r="M5" s="167">
        <f>'Spółka JSW'!B31/'Spółka JSW'!B37</f>
        <v>0.73198191685222136</v>
      </c>
      <c r="O5" s="108" t="s">
        <v>523</v>
      </c>
      <c r="P5" s="167">
        <f>'Spółka JSW'!F17/((8118200+'Spółka JSW'!F36)/2)</f>
        <v>1.0651420877175837</v>
      </c>
      <c r="Q5" s="191">
        <f>'Spółka JSW'!E17/(('Spółka JSW'!F36+'Spółka JSW'!E36)/2)</f>
        <v>0.79320926956656956</v>
      </c>
      <c r="R5" s="192">
        <f>'Spółka JSW'!D17/(('Spółka JSW'!D36+'Spółka JSW'!E36)/2)</f>
        <v>0.59783826647589167</v>
      </c>
      <c r="S5" s="191">
        <f>'Spółka JSW'!C17/(('Spółka JSW'!C36+'Spółka JSW'!D36)/2)</f>
        <v>0.8966413173223331</v>
      </c>
      <c r="T5" s="167">
        <f>'Spółka JSW'!B17/(('Spółka JSW'!B36+'Spółka JSW'!C36)/2)</f>
        <v>1.2955646066514865</v>
      </c>
      <c r="V5" s="108" t="s">
        <v>523</v>
      </c>
      <c r="W5" s="167">
        <f>'Spółka JSW'!F31/(('Spółka JSW'!F66+5468700)/2)</f>
        <v>0.32638830936419189</v>
      </c>
      <c r="X5" s="191">
        <f>'Spółka JSW'!E31/(('Spółka JSW'!E66+'Spółka JSW'!F66)/2)</f>
        <v>0.11405595694809015</v>
      </c>
      <c r="Y5" s="189">
        <f>'Spółka JSW'!D31/(('Spółka JSW'!D66+'Spółka JSW'!E66)/2)</f>
        <v>-0.22299419089544337</v>
      </c>
      <c r="Z5" s="191">
        <f>'Spółka JSW'!C31/(('Spółka JSW'!C66+'Spółka JSW'!D66)/2)</f>
        <v>0.1238928845478547</v>
      </c>
      <c r="AA5" s="167">
        <f>'Spółka JSW'!B31/(('Spółka JSW'!B66+'Spółka JSW'!C66)/2)</f>
        <v>0.81262306309391319</v>
      </c>
      <c r="AC5" s="108" t="s">
        <v>523</v>
      </c>
      <c r="AD5" s="167">
        <f>'Spółka JSW'!F66/'Spółka JSW'!F59</f>
        <v>0.62948490230905862</v>
      </c>
      <c r="AE5" s="188">
        <f>'Spółka JSW'!E66/'Spółka JSW'!E59</f>
        <v>0.68631305428458456</v>
      </c>
      <c r="AF5" s="189">
        <f>'Spółka JSW'!D66/'Spółka JSW'!D59</f>
        <v>1.0542154678766178</v>
      </c>
      <c r="AG5" s="188">
        <f>'Spółka JSW'!C66/'Spółka JSW'!C59</f>
        <v>0.92361830846730464</v>
      </c>
      <c r="AH5" s="167">
        <f>'Spółka JSW'!B66/'Spółka JSW'!B59</f>
        <v>0.69180235294117642</v>
      </c>
      <c r="AJ5" s="108" t="s">
        <v>523</v>
      </c>
      <c r="AK5" s="167">
        <f>'Spółka JSW'!F59/'Spółka JSW'!F36</f>
        <v>0.81990291262135917</v>
      </c>
      <c r="AL5" s="188">
        <f>'Spółka JSW'!E59/'Spółka JSW'!E36</f>
        <v>0.76536303188039878</v>
      </c>
      <c r="AM5" s="189">
        <f>'Spółka JSW'!D59/'Spółka JSW'!D36</f>
        <v>0.6286978562529536</v>
      </c>
      <c r="AN5" s="188">
        <f>'Spółka JSW'!C59/'Spółka JSW'!C36</f>
        <v>0.68746168249076234</v>
      </c>
      <c r="AO5" s="167">
        <f>'Spółka JSW'!B59/'Spółka JSW'!B36</f>
        <v>0.83395252945978193</v>
      </c>
      <c r="AP5" s="33">
        <f>(AL5-AK5)/ABS(AK5)</f>
        <v>-6.6519925592882417E-2</v>
      </c>
      <c r="AQ5" s="33">
        <f t="shared" ref="AQ5:AS7" si="0">(AM5-AL5)/ABS(AL5)</f>
        <v>-0.17856255127932738</v>
      </c>
      <c r="AR5" s="33">
        <f t="shared" si="0"/>
        <v>9.3469105474673977E-2</v>
      </c>
      <c r="AS5" s="33">
        <f t="shared" si="0"/>
        <v>0.21308947203902967</v>
      </c>
      <c r="AU5" s="108" t="s">
        <v>523</v>
      </c>
      <c r="AV5" s="167">
        <f>('Spółka JSW'!F59+'Spółka JSW'!F67)/'Spółka JSW'!F36</f>
        <v>0.98407766990291257</v>
      </c>
      <c r="AW5" s="191">
        <f>('Spółka JSW'!E59+'Spółka JSW'!E67)/'Spółka JSW'!E36</f>
        <v>0.98851717667810912</v>
      </c>
      <c r="AX5" s="192">
        <f>('Spółka JSW'!D59+'Spółka JSW'!D67)/'Spółka JSW'!D36</f>
        <v>0.98385530781458097</v>
      </c>
      <c r="AY5" s="191">
        <f>('Spółka JSW'!C59+'Spółka JSW'!C67)/'Spółka JSW'!C36</f>
        <v>1.0035127835495683</v>
      </c>
      <c r="AZ5" s="167">
        <f>('Spółka JSW'!B59+'Spółka JSW'!B67)/'Spółka JSW'!B36</f>
        <v>1.0062059149800113</v>
      </c>
      <c r="BA5" s="33">
        <f>(AW5-AV5)/ABS(AV5)</f>
        <v>4.5113377845821352E-3</v>
      </c>
      <c r="BB5" s="33">
        <f t="shared" ref="BB5:BD7" si="1">(AX5-AW5)/ABS(AW5)</f>
        <v>-4.7160221122249614E-3</v>
      </c>
      <c r="BC5" s="33">
        <f t="shared" si="1"/>
        <v>1.9980047450932702E-2</v>
      </c>
      <c r="BD5" s="33">
        <f t="shared" si="1"/>
        <v>2.6837041586227121E-3</v>
      </c>
    </row>
    <row r="6" spans="1:56" ht="16.2" thickBot="1">
      <c r="A6" s="108" t="s">
        <v>305</v>
      </c>
      <c r="B6" s="167">
        <f>'Bogdanka S.A.'!F39/'Bogdanka S.A.'!F50</f>
        <v>7.3772269657465248</v>
      </c>
      <c r="C6" s="188">
        <f>'Bogdanka S.A.'!E39/'Bogdanka S.A.'!E50</f>
        <v>4.7258053223174326</v>
      </c>
      <c r="D6" s="189">
        <f>'Bogdanka S.A.'!D39/'Bogdanka S.A.'!D50</f>
        <v>6.1570982696403505</v>
      </c>
      <c r="E6" s="188">
        <f>'Bogdanka S.A.'!C39/'Bogdanka S.A.'!C50</f>
        <v>2.6095809737757603</v>
      </c>
      <c r="F6" s="167">
        <f>'Bogdanka S.A.'!B39/'Bogdanka S.A.'!B50</f>
        <v>4.1362253125995947</v>
      </c>
      <c r="H6" s="108" t="s">
        <v>305</v>
      </c>
      <c r="I6" s="167">
        <f>'Bogdanka S.A.'!F34/'Bogdanka S.A.'!F40</f>
        <v>1.6449290629310585E-2</v>
      </c>
      <c r="J6" s="191">
        <f>'Bogdanka S.A.'!E34/'Bogdanka S.A.'!E40</f>
        <v>9.4059648756157369E-2</v>
      </c>
      <c r="K6" s="192">
        <f>'Bogdanka S.A.'!D34/'Bogdanka S.A.'!D40</f>
        <v>2.0659962367958681E-2</v>
      </c>
      <c r="L6" s="191">
        <f>'Bogdanka S.A.'!C34/'Bogdanka S.A.'!C40</f>
        <v>8.3789925536472826E-2</v>
      </c>
      <c r="M6" s="167">
        <f>'Bogdanka S.A.'!B34/'Bogdanka S.A.'!B40</f>
        <v>4.8284479144473237E-2</v>
      </c>
      <c r="O6" s="108" t="s">
        <v>305</v>
      </c>
      <c r="P6" s="167">
        <f>'Bogdanka S.A.'!F17/((3428805+'Bogdanka S.A.'!F39)/2)</f>
        <v>0.50972466666192728</v>
      </c>
      <c r="Q6" s="191">
        <f>'Bogdanka S.A.'!E17/(('Bogdanka S.A.'!E39+'Bogdanka S.A.'!F39)/2)</f>
        <v>0.61886554466400578</v>
      </c>
      <c r="R6" s="192">
        <f>'Bogdanka S.A.'!F17/(('Bogdanka S.A.'!F39+'Bogdanka S.A.'!G39)/2)</f>
        <v>1.0142963466367498</v>
      </c>
      <c r="S6" s="191">
        <f>'Bogdanka S.A.'!C17/(('Bogdanka S.A.'!C39+'Bogdanka S.A.'!D39)/2)</f>
        <v>0.73637970968451671</v>
      </c>
      <c r="T6" s="167">
        <f>'Bogdanka S.A.'!B17/(('Bogdanka S.A.'!B39+'Bogdanka S.A.'!C39)/2)</f>
        <v>0.74782109259235541</v>
      </c>
      <c r="V6" s="108" t="s">
        <v>305</v>
      </c>
      <c r="W6" s="167">
        <f>('Bogdanka S.A.'!F34+'Bogdanka S.A.'!F22)/(('Bogdanka S.A.'!F66+1257345)/2)</f>
        <v>4.8017923930410877E-2</v>
      </c>
      <c r="X6" s="191">
        <f>('Bogdanka S.A.'!E34+'Bogdanka S.A.'!E22)/(('Bogdanka S.A.'!F66+'Bogdanka S.A.'!E66)/2)</f>
        <v>0.30763896119812856</v>
      </c>
      <c r="Y6" s="192">
        <f>('Bogdanka S.A.'!D34+'Bogdanka S.A.'!D22)/(('Bogdanka S.A.'!D66+'Bogdanka S.A.'!E66)/2)</f>
        <v>-0.27791204907311523</v>
      </c>
      <c r="Z6" s="191">
        <f>('Bogdanka S.A.'!C34+'Bogdanka S.A.'!C22)/(('Bogdanka S.A.'!C66+'Bogdanka S.A.'!D66)/2)</f>
        <v>-0.12994494386087185</v>
      </c>
      <c r="AA6" s="167">
        <f>('Bogdanka S.A.'!B34+'Bogdanka S.A.'!B22)/(('Bogdanka S.A.'!B66+'Bogdanka S.A.'!C66)/2)</f>
        <v>-0.20080833385900568</v>
      </c>
      <c r="AC6" s="108" t="s">
        <v>305</v>
      </c>
      <c r="AD6" s="167">
        <f>'Bogdanka S.A.'!F66/'Bogdanka S.A.'!F60</f>
        <v>0.33328689448143733</v>
      </c>
      <c r="AE6" s="191">
        <f>'Bogdanka S.A.'!E66/'Bogdanka S.A.'!E60</f>
        <v>0.31716319209342292</v>
      </c>
      <c r="AF6" s="192">
        <f>'Bogdanka S.A.'!D66/'Bogdanka S.A.'!D60</f>
        <v>0.32590678238586446</v>
      </c>
      <c r="AG6" s="191">
        <f>'Bogdanka S.A.'!C66/'Bogdanka S.A.'!C60</f>
        <v>0.30840977942287479</v>
      </c>
      <c r="AH6" s="167">
        <f>'Bogdanka S.A.'!B66/'Bogdanka S.A.'!B60</f>
        <v>0.29966172770779659</v>
      </c>
      <c r="AJ6" s="108" t="s">
        <v>305</v>
      </c>
      <c r="AK6" s="167">
        <f>'Bogdanka S.A.'!F60/'Bogdanka S.A.'!F40</f>
        <v>0.90209531684164079</v>
      </c>
      <c r="AL6" s="191">
        <f>'Bogdanka S.A.'!E60/'Bogdanka S.A.'!E40</f>
        <v>0.98356501502384353</v>
      </c>
      <c r="AM6" s="192">
        <f>'Bogdanka S.A.'!D60/'Bogdanka S.A.'!D40</f>
        <v>0.93438093309906511</v>
      </c>
      <c r="AN6" s="191">
        <f>'Bogdanka S.A.'!C60/'Bogdanka S.A.'!C40</f>
        <v>1.0445789982507554</v>
      </c>
      <c r="AO6" s="211">
        <f>'Bogdanka S.A.'!B60/'Bogdanka S.A.'!B40</f>
        <v>1.019282066789919</v>
      </c>
      <c r="AP6" s="33">
        <f>(AL6-AK6)/ABS(AK6)</f>
        <v>9.0311629670619842E-2</v>
      </c>
      <c r="AQ6" s="33">
        <f t="shared" si="0"/>
        <v>-5.0005928610205898E-2</v>
      </c>
      <c r="AR6" s="33">
        <f t="shared" si="0"/>
        <v>0.11793697971361199</v>
      </c>
      <c r="AS6" s="33">
        <f t="shared" si="0"/>
        <v>-2.4217346417263329E-2</v>
      </c>
      <c r="AU6" s="108" t="s">
        <v>112</v>
      </c>
      <c r="AV6" s="167">
        <f>('Bogdanka S.A.'!F60+'Bogdanka S.A.'!F67)/'Bogdanka S.A.'!F40</f>
        <v>1.0661271023727843</v>
      </c>
      <c r="AW6" s="191">
        <f>('Bogdanka S.A.'!E60+'Bogdanka S.A.'!E67)/'Bogdanka S.A.'!E40</f>
        <v>1.1815269635567833</v>
      </c>
      <c r="AX6" s="192">
        <f>('Bogdanka S.A.'!D60+'Bogdanka S.A.'!D67)/'Bogdanka S.A.'!D40</f>
        <v>1.1368549071020921</v>
      </c>
      <c r="AY6" s="191">
        <f>('Bogdanka S.A.'!C60+'Bogdanka S.A.'!C67)/'Bogdanka S.A.'!C40</f>
        <v>1.2168906463369049</v>
      </c>
      <c r="AZ6" s="167">
        <f>('Bogdanka S.A.'!B60+'Bogdanka S.A.'!B67)/'Bogdanka S.A.'!B40</f>
        <v>1.2012431529680208</v>
      </c>
      <c r="BA6" s="33">
        <f>(AW6-AV6)/ABS(AV6)</f>
        <v>0.10824212322073402</v>
      </c>
      <c r="BB6" s="33">
        <f t="shared" si="1"/>
        <v>-3.7808749044722312E-2</v>
      </c>
      <c r="BC6" s="33">
        <f t="shared" si="1"/>
        <v>7.0401014883093943E-2</v>
      </c>
      <c r="BD6" s="33">
        <f t="shared" si="1"/>
        <v>-1.2858586279700959E-2</v>
      </c>
    </row>
    <row r="7" spans="1:56" ht="16.2" thickBot="1">
      <c r="A7" s="108" t="s">
        <v>55</v>
      </c>
      <c r="B7" s="167">
        <f>52772427/9837096</f>
        <v>5.3646347458640236</v>
      </c>
      <c r="C7" s="191">
        <f>51046669/8350134</f>
        <v>6.113275427675771</v>
      </c>
      <c r="D7" s="192">
        <f>51445484/10103008</f>
        <v>5.0920957401993547</v>
      </c>
      <c r="E7" s="191">
        <f>50063002/19896680</f>
        <v>2.5161485232712191</v>
      </c>
      <c r="F7" s="167">
        <f>23910303/9597520</f>
        <v>2.4913001483716628</v>
      </c>
      <c r="H7" s="108" t="s">
        <v>55</v>
      </c>
      <c r="I7" s="167">
        <f>1658724/46782955</f>
        <v>3.5455733824423873E-2</v>
      </c>
      <c r="J7" s="191">
        <f>-7533777/44958462</f>
        <v>-0.16757194674497539</v>
      </c>
      <c r="K7" s="192">
        <f>-4016438/45988061</f>
        <v>-8.7336537193859948E-2</v>
      </c>
      <c r="L7" s="191">
        <f>2379900/45232923</f>
        <v>5.2614331379822611E-2</v>
      </c>
      <c r="M7" s="167">
        <f>7925000/14781653</f>
        <v>0.53613760247247044</v>
      </c>
      <c r="O7" s="108" t="s">
        <v>55</v>
      </c>
      <c r="P7" s="167">
        <f>25991167/ 52772427</f>
        <v>0.4925141494818876</v>
      </c>
      <c r="Q7" s="191">
        <f>31535825/((52772427+51046669)/2)</f>
        <v>0.60751492191764023</v>
      </c>
      <c r="R7" s="192">
        <f>34185962/((51046669+51445484)/2)</f>
        <v>0.66709423110664867</v>
      </c>
      <c r="S7" s="191">
        <f>37365386/((51445484+50063002)/2)</f>
        <v>0.73620221268988284</v>
      </c>
      <c r="T7" s="167">
        <f>24574828/((50063002+23910303)/2)</f>
        <v>0.66442422709111082</v>
      </c>
      <c r="V7" s="108" t="s">
        <v>55</v>
      </c>
      <c r="W7" s="167">
        <f>(1658724+1906025)/31919848</f>
        <v>0.11167813205125539</v>
      </c>
      <c r="X7" s="191">
        <f>(-7533777+10145727)/((31919848+37773683)/2)</f>
        <v>7.4955306827544727E-2</v>
      </c>
      <c r="Y7" s="192">
        <f>(-4016438+2999872)/((37773683+44672918)/2)</f>
        <v>-2.4659985679700732E-2</v>
      </c>
      <c r="Z7" s="191">
        <f>(2379900+2687845)/((44672918+52254068)/2)</f>
        <v>0.10456829845095977</v>
      </c>
      <c r="AA7" s="167">
        <f>(7925000+472819)/((52254068+13499808)/2)</f>
        <v>0.25543190792281201</v>
      </c>
      <c r="AC7" s="108" t="s">
        <v>55</v>
      </c>
      <c r="AD7" s="167">
        <f>31919848/30689680</f>
        <v>1.0400840934151154</v>
      </c>
      <c r="AE7" s="191">
        <f>37773683/21623021</f>
        <v>1.7469197759184529</v>
      </c>
      <c r="AF7" s="192">
        <f>44672918/16875476</f>
        <v>2.6472093587167556</v>
      </c>
      <c r="AG7" s="191">
        <f>52254068/18705674</f>
        <v>2.7934875802924823</v>
      </c>
      <c r="AH7" s="167">
        <f>13499808/20008020</f>
        <v>0.67471983734522456</v>
      </c>
      <c r="AJ7" s="108" t="s">
        <v>55</v>
      </c>
      <c r="AK7" s="167">
        <f>30689680/52772427</f>
        <v>0.58154763281969202</v>
      </c>
      <c r="AL7" s="191">
        <f>21623021/51046669</f>
        <v>0.42359318293618725</v>
      </c>
      <c r="AM7" s="192">
        <f>16875476/51445484</f>
        <v>0.3280263822573814</v>
      </c>
      <c r="AN7" s="191">
        <f>18705674/50063002</f>
        <v>0.37364267528343587</v>
      </c>
      <c r="AO7" s="211">
        <f>20008020/50063002</f>
        <v>0.39965681642503181</v>
      </c>
      <c r="AP7" s="33">
        <f>(AL7-AK7)/ABS(AK7)</f>
        <v>-0.2716105112794403</v>
      </c>
      <c r="AQ7" s="33">
        <f t="shared" si="0"/>
        <v>-0.225609864673395</v>
      </c>
      <c r="AR7" s="33">
        <f t="shared" si="0"/>
        <v>0.13906287876035003</v>
      </c>
      <c r="AS7" s="33">
        <f t="shared" si="0"/>
        <v>6.9623045927134211E-2</v>
      </c>
      <c r="AU7" s="108" t="s">
        <v>55</v>
      </c>
      <c r="AV7" s="167">
        <f>(30689680+21054873)/52772427</f>
        <v>0.98052251794294021</v>
      </c>
      <c r="AW7" s="191">
        <f>(21623021+26052843)/51046669</f>
        <v>0.9339662104103208</v>
      </c>
      <c r="AX7" s="192">
        <f>(16875476+26371560)/51445484</f>
        <v>0.84063814036621753</v>
      </c>
      <c r="AY7" s="191">
        <f>(18705674+21064878)/50063002</f>
        <v>0.79441005155863409</v>
      </c>
      <c r="AZ7" s="167">
        <f>(20008020+4600774)/50063002</f>
        <v>0.49155649914881255</v>
      </c>
      <c r="BA7" s="33">
        <f>(AW7-AV7)/ABS(AV7)</f>
        <v>-4.7481120199351377E-2</v>
      </c>
      <c r="BB7" s="33">
        <f t="shared" si="1"/>
        <v>-9.9926602273010812E-2</v>
      </c>
      <c r="BC7" s="33">
        <f t="shared" si="1"/>
        <v>-5.4991662390484135E-2</v>
      </c>
      <c r="BD7" s="33">
        <f t="shared" si="1"/>
        <v>-0.38123076591946725</v>
      </c>
    </row>
    <row r="8" spans="1:56" ht="15.6">
      <c r="AJ8" s="195" t="s">
        <v>510</v>
      </c>
      <c r="AU8" s="195" t="s">
        <v>524</v>
      </c>
    </row>
    <row r="9" spans="1:56">
      <c r="AJ9" s="208" t="s">
        <v>511</v>
      </c>
    </row>
    <row r="24" spans="1:47">
      <c r="AC24" t="s">
        <v>514</v>
      </c>
    </row>
    <row r="25" spans="1:47">
      <c r="AC25" s="184" t="s">
        <v>515</v>
      </c>
    </row>
    <row r="26" spans="1:47" ht="14.55" customHeight="1" thickBot="1">
      <c r="AJ26" s="184" t="s">
        <v>515</v>
      </c>
      <c r="AU26" s="184" t="s">
        <v>515</v>
      </c>
    </row>
    <row r="27" spans="1:47" ht="16.2" thickBot="1">
      <c r="A27" s="29" t="s">
        <v>22</v>
      </c>
      <c r="B27" s="105">
        <v>2018</v>
      </c>
      <c r="C27" s="109">
        <v>2019</v>
      </c>
      <c r="D27" s="110">
        <v>2020</v>
      </c>
      <c r="E27" s="111">
        <v>2021</v>
      </c>
      <c r="F27" s="112">
        <v>2022</v>
      </c>
      <c r="H27" s="29" t="s">
        <v>24</v>
      </c>
      <c r="I27" s="105">
        <v>2018</v>
      </c>
      <c r="J27" s="109">
        <v>2019</v>
      </c>
      <c r="K27" s="110">
        <v>2020</v>
      </c>
      <c r="L27" s="111">
        <v>2021</v>
      </c>
      <c r="M27" s="112">
        <v>2022</v>
      </c>
      <c r="O27" s="29" t="s">
        <v>26</v>
      </c>
      <c r="P27" s="105">
        <v>2018</v>
      </c>
      <c r="Q27" s="109">
        <v>2019</v>
      </c>
      <c r="R27" s="110">
        <v>2020</v>
      </c>
      <c r="S27" s="111">
        <v>2021</v>
      </c>
      <c r="T27" s="112">
        <v>2022</v>
      </c>
      <c r="V27" s="29" t="s">
        <v>27</v>
      </c>
      <c r="W27" s="105">
        <v>2018</v>
      </c>
      <c r="X27" s="109">
        <v>2019</v>
      </c>
      <c r="Y27" s="110">
        <v>2020</v>
      </c>
      <c r="Z27" s="111">
        <v>2021</v>
      </c>
      <c r="AA27" s="112">
        <v>2022</v>
      </c>
      <c r="AJ27" s="184" t="s">
        <v>514</v>
      </c>
      <c r="AU27" s="184" t="s">
        <v>514</v>
      </c>
    </row>
    <row r="28" spans="1:47" ht="16.2" thickBot="1">
      <c r="A28" s="108" t="s">
        <v>523</v>
      </c>
      <c r="B28" s="167">
        <f>'Spółka JSW'!F17/(('Spółka JSW'!F35+12090200)/2)</f>
        <v>0.75885224468323775</v>
      </c>
      <c r="C28" s="191">
        <f>'Spółka JSW'!E17/(('Spółka JSW'!F35+'Spółka JSW'!E35)/2)</f>
        <v>0.60455096833563393</v>
      </c>
      <c r="D28" s="192">
        <f>'Spółka JSW'!D17/(('Spółka JSW'!D35+'Spółka JSW'!E35)/2)</f>
        <v>0.46305908743444835</v>
      </c>
      <c r="E28" s="191">
        <f>'Spółka JSW'!C17/(('Spółka JSW'!C35+'Spółka JSW'!D35)/2)</f>
        <v>0.68590990781700212</v>
      </c>
      <c r="F28" s="167">
        <f>'Spółka JSW'!B17/(('Spółka JSW'!B35+'Spółka JSW'!C35)/2)</f>
        <v>0.9411087736954542</v>
      </c>
      <c r="H28" s="108" t="s">
        <v>523</v>
      </c>
      <c r="I28" s="167">
        <f>'Spółka JSW'!F37/21616</f>
        <v>337.85159141376761</v>
      </c>
      <c r="J28" s="191">
        <f>'Spółka JSW'!E37/22433</f>
        <v>386.58672491418889</v>
      </c>
      <c r="K28" s="192">
        <f>'Spółka JSW'!D37/21973</f>
        <v>409.39334637964777</v>
      </c>
      <c r="L28" s="191">
        <f>'Spółka JSW'!C37/23119</f>
        <v>405.87395648600716</v>
      </c>
      <c r="M28" s="167">
        <f>'Spółka JSW'!B37/21239</f>
        <v>488.45520033899902</v>
      </c>
      <c r="O28" s="108" t="s">
        <v>523</v>
      </c>
      <c r="P28" s="167">
        <f>'Spółka JSW'!F59/'Spółka JSW'!F66</f>
        <v>1.5886004514672687</v>
      </c>
      <c r="Q28" s="191">
        <f>'Spółka JSW'!E59/'Spółka JSW'!E66</f>
        <v>1.4570610215806021</v>
      </c>
      <c r="R28" s="192">
        <f>'Spółka JSW'!D59/'Spółka JSW'!D66</f>
        <v>0.94857268790997951</v>
      </c>
      <c r="S28" s="191">
        <f>'Spółka JSW'!C59/'Spółka JSW'!C66</f>
        <v>1.0826983298538622</v>
      </c>
      <c r="T28" s="167">
        <f>'Spółka JSW'!B59/'Spółka JSW'!B66</f>
        <v>1.445499564649543</v>
      </c>
      <c r="V28" s="108" t="s">
        <v>523</v>
      </c>
      <c r="W28" s="22">
        <f>'Spółka JSW'!F66/'Spółka JSW'!F35</f>
        <v>0.38628106379886645</v>
      </c>
      <c r="X28" s="33">
        <f>'Spółka JSW'!E66/'Spółka JSW'!E35</f>
        <v>0.40699029906742418</v>
      </c>
      <c r="Y28" s="34">
        <f>'Spółka JSW'!D66/'Spółka JSW'!D35</f>
        <v>0.51319614926584567</v>
      </c>
      <c r="Z28" s="33">
        <f>'Spółka JSW'!C66/'Spółka JSW'!C35</f>
        <v>0.48014634940921452</v>
      </c>
      <c r="AA28" s="22">
        <f>'Spółka JSW'!B66/'Spółka JSW'!B35</f>
        <v>0.4089144052427206</v>
      </c>
    </row>
    <row r="29" spans="1:47" ht="16.2" thickBot="1">
      <c r="A29" s="108" t="s">
        <v>305</v>
      </c>
      <c r="B29" s="167">
        <f>'Bogdanka S.A.'!F17/(('Bogdanka S.A.'!F38+4158872)/2)</f>
        <v>0.43416277579102802</v>
      </c>
      <c r="C29" s="191">
        <f>'Bogdanka S.A.'!E17/(('Bogdanka S.A.'!F38+'Bogdanka S.A.'!E38)/2)</f>
        <v>0.52721958656529622</v>
      </c>
      <c r="D29" s="192">
        <f>'Bogdanka S.A.'!D17/(('Bogdanka S.A.'!D38+'Bogdanka S.A.'!E38)/2)</f>
        <v>0.422385177463311</v>
      </c>
      <c r="E29" s="191">
        <f>'Bogdanka S.A.'!C17/(('Bogdanka S.A.'!C38+'Bogdanka S.A.'!D38)/2)</f>
        <v>0.52246332530121542</v>
      </c>
      <c r="F29" s="167">
        <f>'Bogdanka S.A.'!B17/(('Bogdanka S.A.'!B38+'Bogdanka S.A.'!C38)/2)</f>
        <v>0.51502543968948677</v>
      </c>
      <c r="H29" s="108" t="s">
        <v>305</v>
      </c>
      <c r="I29" s="167">
        <f>'Bogdanka S.A.'!F40/4749</f>
        <v>688.62771109707307</v>
      </c>
      <c r="J29" s="191">
        <f>'Bogdanka S.A.'!E40/4916</f>
        <v>667.70728234336855</v>
      </c>
      <c r="K29" s="192">
        <f>'Bogdanka S.A.'!D40/4922</f>
        <v>717.50609508329944</v>
      </c>
      <c r="L29" s="191">
        <f>'Bogdanka S.A.'!C40/4907</f>
        <v>701.10902791929891</v>
      </c>
      <c r="M29" s="167">
        <f>'Bogdanka S.A.'!B40/4929</f>
        <v>737.98437817001422</v>
      </c>
      <c r="O29" s="108" t="s">
        <v>305</v>
      </c>
      <c r="P29" s="167">
        <f>'Bogdanka S.A.'!F60/'Bogdanka S.A.'!F66</f>
        <v>3.0004180079024851</v>
      </c>
      <c r="Q29" s="191">
        <f>'Bogdanka S.A.'!E60/'Bogdanka S.A.'!E66</f>
        <v>3.1529509884155855</v>
      </c>
      <c r="R29" s="192">
        <f>'Bogdanka S.A.'!D60/'Bogdanka S.A.'!D66</f>
        <v>3.0683620410698547</v>
      </c>
      <c r="S29" s="191">
        <f>'Bogdanka S.A.'!C60/'Bogdanka S.A.'!C66</f>
        <v>3.2424393346776923</v>
      </c>
      <c r="T29" s="167">
        <f>'Bogdanka S.A.'!B60/'Bogdanka S.A.'!B66</f>
        <v>3.3370961572213549</v>
      </c>
      <c r="V29" s="108" t="s">
        <v>305</v>
      </c>
      <c r="W29" s="22">
        <f>'Bogdanka S.A.'!F66/'Bogdanka S.A.'!F38</f>
        <v>0.24997387723597514</v>
      </c>
      <c r="X29" s="33">
        <f>'Bogdanka S.A.'!E66/'Bogdanka S.A.'!E38</f>
        <v>0.24079263222451736</v>
      </c>
      <c r="Y29" s="34">
        <f>'Bogdanka S.A.'!D66/'Bogdanka S.A.'!D38</f>
        <v>0.24579916681580055</v>
      </c>
      <c r="Z29" s="33">
        <f>'Bogdanka S.A.'!C66/'Bogdanka S.A.'!C38</f>
        <v>0.23571344717318682</v>
      </c>
      <c r="AA29" s="22">
        <f>'Bogdanka S.A.'!B66/'Bogdanka S.A.'!B38</f>
        <v>0.2305690175522116</v>
      </c>
    </row>
    <row r="30" spans="1:47" ht="16.2" thickBot="1">
      <c r="A30" s="108" t="s">
        <v>55</v>
      </c>
      <c r="B30" s="167">
        <f>25991167/(62613651)</f>
        <v>0.41510384053471022</v>
      </c>
      <c r="C30" s="191">
        <f>31535825/((59399329+62613651)/2)</f>
        <v>0.51692574019583815</v>
      </c>
      <c r="D30" s="192">
        <f>34185962/((59399329+61553025)/2)</f>
        <v>0.5652798125781</v>
      </c>
      <c r="E30" s="191">
        <f>37365386/((70964415+61553025)/2)</f>
        <v>0.56393160024823907</v>
      </c>
      <c r="F30" s="167">
        <f>24574828/((70964415+33510213)/2)</f>
        <v>0.47044585791681404</v>
      </c>
      <c r="H30" s="108" t="s">
        <v>55</v>
      </c>
      <c r="I30" s="167">
        <f>46782955/28268</f>
        <v>1654.9793052214518</v>
      </c>
      <c r="J30" s="191">
        <f>44958462/29526</f>
        <v>1522.6736435683804</v>
      </c>
      <c r="K30" s="192">
        <f>45988061/51888</f>
        <v>886.29473095898857</v>
      </c>
      <c r="L30" s="191">
        <f>45232923/56217</f>
        <v>804.61289289716638</v>
      </c>
      <c r="M30" s="167">
        <f>14781653/68165</f>
        <v>216.85106726325827</v>
      </c>
      <c r="O30" s="108" t="s">
        <v>55</v>
      </c>
      <c r="P30" s="167">
        <f>30689680/31919848</f>
        <v>0.96146071873525207</v>
      </c>
      <c r="Q30" s="191">
        <f>21623021/37773683</f>
        <v>0.57243613231995405</v>
      </c>
      <c r="R30" s="192">
        <f>16875476/44672918</f>
        <v>0.37775629521223575</v>
      </c>
      <c r="S30" s="191">
        <f>18705674/52254068</f>
        <v>0.35797545944174147</v>
      </c>
      <c r="T30" s="167">
        <f>20008020/13499808</f>
        <v>1.4820966342632429</v>
      </c>
      <c r="V30" s="108" t="s">
        <v>55</v>
      </c>
      <c r="W30" s="22">
        <f>31919848/62613651</f>
        <v>0.5097905566950568</v>
      </c>
      <c r="X30" s="33">
        <f>37773683/59399329</f>
        <v>0.63592777285413438</v>
      </c>
      <c r="Y30" s="34">
        <f>44672918/61553025</f>
        <v>0.72576316111190309</v>
      </c>
      <c r="Z30" s="33">
        <f>52254068/70964415</f>
        <v>0.73634184118899593</v>
      </c>
      <c r="AA30" s="22">
        <f>13499808/33510213</f>
        <v>0.40285652615815959</v>
      </c>
    </row>
    <row r="31" spans="1:47" ht="15.6">
      <c r="V31" s="195"/>
    </row>
    <row r="47" spans="1:22">
      <c r="A47" s="166" t="s">
        <v>513</v>
      </c>
      <c r="H47" s="166" t="s">
        <v>508</v>
      </c>
      <c r="O47" s="166" t="s">
        <v>504</v>
      </c>
      <c r="V47" s="166" t="s">
        <v>502</v>
      </c>
    </row>
    <row r="48" spans="1:22">
      <c r="A48" s="184" t="s">
        <v>506</v>
      </c>
      <c r="H48" s="166" t="s">
        <v>507</v>
      </c>
      <c r="O48" t="s">
        <v>505</v>
      </c>
      <c r="V48" s="184" t="s">
        <v>506</v>
      </c>
    </row>
    <row r="49" spans="1:22">
      <c r="A49" s="184" t="s">
        <v>519</v>
      </c>
      <c r="H49" s="166" t="s">
        <v>509</v>
      </c>
      <c r="O49" s="184" t="s">
        <v>514</v>
      </c>
      <c r="V49" s="184" t="s">
        <v>514</v>
      </c>
    </row>
    <row r="50" spans="1:22">
      <c r="A50" s="184" t="s">
        <v>520</v>
      </c>
      <c r="H50" s="184" t="s">
        <v>516</v>
      </c>
      <c r="O50" s="184" t="s">
        <v>515</v>
      </c>
    </row>
    <row r="51" spans="1:22">
      <c r="A51" s="184" t="s">
        <v>521</v>
      </c>
      <c r="H51" s="210" t="s">
        <v>517</v>
      </c>
    </row>
    <row r="53" spans="1:22">
      <c r="A53" s="166" t="s">
        <v>522</v>
      </c>
    </row>
  </sheetData>
  <mergeCells count="2">
    <mergeCell ref="AJ1:AS2"/>
    <mergeCell ref="AU1:BD2"/>
  </mergeCells>
  <hyperlinks>
    <hyperlink ref="V48" r:id="rId1" xr:uid="{CFBBB2DF-4ACB-584D-8D54-148E8C89CA6A}"/>
    <hyperlink ref="A2" r:id="rId2" xr:uid="{5C734A35-BE6C-0A49-9F29-DE999743ED31}"/>
    <hyperlink ref="AJ9" r:id="rId3" xr:uid="{0580654D-A876-624A-9DB1-D1381E23B468}"/>
    <hyperlink ref="O2" r:id="rId4" xr:uid="{EC1C8A7C-4C29-484A-A75E-EC41516AA5FF}"/>
    <hyperlink ref="A1" r:id="rId5" xr:uid="{E18A4A03-0DBE-4545-A7AC-92AF61652FE5}"/>
    <hyperlink ref="H50" r:id="rId6" display="https://www-1emis-1com-1m046pssm0004.han.bg.pwr.edu.pl/php/benchmark/sector/indicators?pc=PL&amp;subp=&amp;indu=2121&amp;gid=1" xr:uid="{E863E2A6-6010-594F-8101-387874A90BB3}"/>
    <hyperlink ref="O49" r:id="rId7" xr:uid="{FBE43783-1704-F34E-B35F-B1522EB6EF78}"/>
    <hyperlink ref="O50" r:id="rId8" xr:uid="{3C049513-8786-F546-A96D-4FC0D5D5AAE2}"/>
    <hyperlink ref="V49" r:id="rId9" xr:uid="{0239A229-38DE-6E4A-AF80-631873244B78}"/>
    <hyperlink ref="AC25" r:id="rId10" xr:uid="{6BAEF093-9771-294A-965F-240624DC19E2}"/>
    <hyperlink ref="AJ26" r:id="rId11" xr:uid="{EC2D47CC-D4FC-A740-A0BD-097EC5349E96}"/>
    <hyperlink ref="AJ27" r:id="rId12" xr:uid="{67C036DC-D1A4-5D47-AF0D-03B5B90F4CDA}"/>
    <hyperlink ref="H51" r:id="rId13" xr:uid="{BAF1B385-9843-BA49-A032-2F057DCE4A1F}"/>
    <hyperlink ref="A49" r:id="rId14" display="https://www-1emis-1com-1m046pss30017.han.bg.pwr.edu.pl/php/companies/index/financials?pc=PL&amp;cmpy=1454510&amp;view-fins=all&amp;fptype=A&amp;curr=PLN&amp;display_units=3&amp;hide-empty=yes&amp;excel_export=&amp;form_sent=1&amp;cons=A&amp;pub_standard=&amp;periods%5B%5D=2021YY&amp;periods%5B%5D=2020YY&amp;periods%5B%5D=2019YY&amp;periods%5B%5D=2018YY&amp;periods%5B%5D=2017YY" xr:uid="{D02506AF-D8E2-6946-8C91-8257E1B0702C}"/>
    <hyperlink ref="A50" r:id="rId15" display="https://www-1emis-1com-1m046pss30017.han.bg.pwr.edu.pl/php/companies/index/financials?pc=PL&amp;cmpy=1454137&amp;view-fins=all&amp;fptype=A&amp;curr=PLN&amp;display_units=3&amp;hide-empty=yes&amp;excel_export=&amp;form_sent=1&amp;cons=A&amp;pub_standard=&amp;periods%5B%5D=2021YY&amp;periods%5B%5D=2020YY&amp;periods%5B%5D=2019YY&amp;periods%5B%5D=2018YY&amp;periods%5B%5D=2017YY" xr:uid="{3CEBBBFE-C692-1A4E-94F8-A70F259535C1}"/>
    <hyperlink ref="A51" r:id="rId16" xr:uid="{3D2DEB42-78F5-A644-9F8E-88C19875C6AC}"/>
    <hyperlink ref="AU26" r:id="rId17" xr:uid="{AC50BAE4-95DB-2C4D-9C91-C57B49FA9F2E}"/>
    <hyperlink ref="AU27" r:id="rId18" xr:uid="{6880166C-DF4C-A444-90DC-152AA06A5DB9}"/>
    <hyperlink ref="H2" r:id="rId19" xr:uid="{9D4EBFC3-B881-1D4F-92DA-535647D6844E}"/>
    <hyperlink ref="H1" r:id="rId20" xr:uid="{001C19B4-181B-854F-99B3-CC9BBC6F305C}"/>
    <hyperlink ref="A48" r:id="rId21" xr:uid="{1DC1236E-6BA5-F746-A5D4-1BDB6A1F1641}"/>
  </hyperlinks>
  <pageMargins left="0.7" right="0.7" top="0.75" bottom="0.75" header="0.3" footer="0.3"/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1"/>
  <sheetViews>
    <sheetView zoomScale="40" zoomScaleNormal="40" workbookViewId="0">
      <selection activeCell="V24" sqref="V24:AA27"/>
    </sheetView>
  </sheetViews>
  <sheetFormatPr defaultColWidth="8.77734375" defaultRowHeight="14.4"/>
  <cols>
    <col min="1" max="1" width="50.44140625" customWidth="1"/>
    <col min="2" max="6" width="14" customWidth="1"/>
    <col min="8" max="8" width="43.77734375" customWidth="1"/>
    <col min="9" max="9" width="10.33203125" bestFit="1" customWidth="1"/>
    <col min="10" max="10" width="9.33203125" bestFit="1" customWidth="1"/>
    <col min="11" max="11" width="10" bestFit="1" customWidth="1"/>
    <col min="12" max="13" width="9.33203125" bestFit="1" customWidth="1"/>
    <col min="15" max="15" width="53.44140625" customWidth="1"/>
    <col min="22" max="22" width="39.44140625" customWidth="1"/>
    <col min="23" max="23" width="11.77734375" bestFit="1" customWidth="1"/>
    <col min="24" max="24" width="13.33203125" bestFit="1" customWidth="1"/>
    <col min="25" max="25" width="11.77734375" bestFit="1" customWidth="1"/>
    <col min="26" max="27" width="12.33203125" bestFit="1" customWidth="1"/>
  </cols>
  <sheetData>
    <row r="1" spans="1:27" ht="21" thickBot="1">
      <c r="A1" s="73" t="s">
        <v>115</v>
      </c>
      <c r="D1" s="184" t="s">
        <v>536</v>
      </c>
    </row>
    <row r="2" spans="1:27" ht="16.2" thickBot="1">
      <c r="A2" s="29" t="s">
        <v>65</v>
      </c>
      <c r="B2" s="105">
        <v>2018</v>
      </c>
      <c r="C2" s="106">
        <v>2019</v>
      </c>
      <c r="D2" s="107">
        <v>2020</v>
      </c>
      <c r="E2" s="106">
        <v>2021</v>
      </c>
      <c r="F2" s="105">
        <v>2022</v>
      </c>
      <c r="H2" s="29" t="s">
        <v>66</v>
      </c>
      <c r="I2" s="105">
        <v>2018</v>
      </c>
      <c r="J2" s="106">
        <v>2019</v>
      </c>
      <c r="K2" s="107">
        <v>2020</v>
      </c>
      <c r="L2" s="106">
        <v>2021</v>
      </c>
      <c r="M2" s="105">
        <v>2022</v>
      </c>
      <c r="O2" s="29" t="s">
        <v>67</v>
      </c>
      <c r="P2" s="105">
        <v>2018</v>
      </c>
      <c r="Q2" s="106">
        <v>2019</v>
      </c>
      <c r="R2" s="107">
        <v>2020</v>
      </c>
      <c r="S2" s="106">
        <v>2021</v>
      </c>
      <c r="T2" s="105">
        <v>2022</v>
      </c>
      <c r="V2" s="29" t="s">
        <v>114</v>
      </c>
      <c r="W2" s="105">
        <v>2018</v>
      </c>
      <c r="X2" s="106">
        <v>2019</v>
      </c>
      <c r="Y2" s="107">
        <v>2020</v>
      </c>
      <c r="Z2" s="106">
        <v>2021</v>
      </c>
      <c r="AA2" s="105">
        <v>2022</v>
      </c>
    </row>
    <row r="3" spans="1:27" ht="16.95" customHeight="1" thickBot="1">
      <c r="A3" s="108" t="s">
        <v>523</v>
      </c>
      <c r="B3" s="167">
        <f>'Spółka JSW'!F17*1000/117411596</f>
        <v>83.543707216108359</v>
      </c>
      <c r="C3" s="191">
        <f>'Spółka JSW'!E17*1000/117411596</f>
        <v>73.858122156860901</v>
      </c>
      <c r="D3" s="192">
        <f>'Spółka JSW'!D17*1000/117411596</f>
        <v>59.074233178807994</v>
      </c>
      <c r="E3" s="191">
        <f>'Spółka JSW'!C17*1000/117411596</f>
        <v>90.528536891705315</v>
      </c>
      <c r="F3" s="167">
        <f>'Spółka JSW'!B17*1000/117411596</f>
        <v>172.03155981288253</v>
      </c>
      <c r="H3" s="108" t="s">
        <v>523</v>
      </c>
      <c r="I3" s="167">
        <f>('Spółka JSW'!F31*1000)/117411596</f>
        <v>14.990001498659469</v>
      </c>
      <c r="J3" s="191">
        <f>'Spółka JSW'!E31*1000/117411596</f>
        <v>5.5326732804143131</v>
      </c>
      <c r="K3" s="192">
        <f>('Spółka JSW'!D31*1000)/117411596</f>
        <v>-13.094106990931287</v>
      </c>
      <c r="L3" s="191">
        <f>'Spółka JSW'!C31*1000/117411596</f>
        <v>8.1133383111494375</v>
      </c>
      <c r="M3" s="167">
        <f>'Spółka JSW'!B31*1000/117411596</f>
        <v>64.676746238931969</v>
      </c>
      <c r="O3" s="108" t="s">
        <v>523</v>
      </c>
      <c r="P3" s="167">
        <f>'Spółka JSW'!F103*1000/117411596</f>
        <v>0</v>
      </c>
      <c r="Q3" s="191">
        <f>('Spółka JSW'!E103*1000)/117411596</f>
        <v>-1.7102228982561485</v>
      </c>
      <c r="R3" s="192">
        <f>'Spółka JSW'!D103*1000/117411596</f>
        <v>0</v>
      </c>
      <c r="S3" s="191">
        <f>'Spółka JSW'!C103/117411596</f>
        <v>0</v>
      </c>
      <c r="T3" s="167">
        <f>'Spółka JSW'!B103/117411596</f>
        <v>0</v>
      </c>
      <c r="V3" s="108" t="s">
        <v>523</v>
      </c>
      <c r="W3" s="167">
        <f>P3/I3</f>
        <v>0</v>
      </c>
      <c r="X3" s="191">
        <f>Q3/J3</f>
        <v>-0.30911330049261082</v>
      </c>
      <c r="Y3" s="192">
        <f t="shared" ref="Y3:AA4" si="0">R3/K3</f>
        <v>0</v>
      </c>
      <c r="Z3" s="191">
        <f t="shared" si="0"/>
        <v>0</v>
      </c>
      <c r="AA3" s="167">
        <f t="shared" si="0"/>
        <v>0</v>
      </c>
    </row>
    <row r="4" spans="1:27" ht="16.95" customHeight="1" thickBot="1">
      <c r="A4" s="108" t="s">
        <v>305</v>
      </c>
      <c r="B4" s="167">
        <f>'Bogdanka S.A.'!F17*1000/34013590</f>
        <v>51.646150847352487</v>
      </c>
      <c r="C4" s="191">
        <f>'Bogdanka S.A.'!E17*1000/34013590</f>
        <v>63.441142202278563</v>
      </c>
      <c r="D4" s="192">
        <f>'Bogdanka S.A.'!D17*1000/34013590</f>
        <v>53.570117120833174</v>
      </c>
      <c r="E4" s="191">
        <f>'Bogdanka S.A.'!C17*1000/34013590</f>
        <v>69.715663650911296</v>
      </c>
      <c r="F4" s="167">
        <f>'Bogdanka S.A.'!B17*1000/34013590</f>
        <v>72.080453724525995</v>
      </c>
      <c r="H4" s="108" t="s">
        <v>305</v>
      </c>
      <c r="I4" s="167">
        <f>'Bogdanka S.A.'!F34*1000/34013590</f>
        <v>1.5815443180211204</v>
      </c>
      <c r="J4" s="191">
        <f>'Bogdanka S.A.'!E34*1000/34013590</f>
        <v>9.0771365210199804</v>
      </c>
      <c r="K4" s="192">
        <f>'Bogdanka S.A.'!D34*1000/34013590</f>
        <v>2.1450837738680333</v>
      </c>
      <c r="L4" s="191">
        <f>'Bogdanka S.A.'!C34*1000/34013590</f>
        <v>8.4750242476610076</v>
      </c>
      <c r="M4" s="167">
        <f>'Bogdanka S.A.'!B34*1000/34013590</f>
        <v>5.1637007443201375</v>
      </c>
      <c r="O4" s="108" t="s">
        <v>305</v>
      </c>
      <c r="P4" s="167">
        <f>'Bogdanka S.A.'!F106/34013590</f>
        <v>0</v>
      </c>
      <c r="Q4" s="191">
        <f>('Bogdanka S.A.'!E106*1000)/34013590</f>
        <v>-0.74999434049743063</v>
      </c>
      <c r="R4" s="192">
        <f>'Bogdanka S.A.'!D106/34013590</f>
        <v>0</v>
      </c>
      <c r="S4" s="191">
        <f>'Bogdanka S.A.'!C106/34013590</f>
        <v>-2.528401147894121E-6</v>
      </c>
      <c r="T4" s="167">
        <f>'Bogdanka S.A.'!B106/34013590</f>
        <v>-2.5000007350003337E-3</v>
      </c>
      <c r="V4" s="108" t="s">
        <v>305</v>
      </c>
      <c r="W4" s="167">
        <f>P4/I4</f>
        <v>0</v>
      </c>
      <c r="X4" s="191">
        <f t="shared" ref="X4" si="1">Q4/J4</f>
        <v>-8.2624552220919467E-2</v>
      </c>
      <c r="Y4" s="192">
        <f t="shared" si="0"/>
        <v>0</v>
      </c>
      <c r="Z4" s="191">
        <f t="shared" si="0"/>
        <v>-2.9833556506837437E-7</v>
      </c>
      <c r="AA4" s="187">
        <f t="shared" si="0"/>
        <v>-4.8414903550524953E-4</v>
      </c>
    </row>
    <row r="5" spans="1:27" ht="16.95" customHeight="1" thickBot="1">
      <c r="A5" s="108" t="s">
        <v>55</v>
      </c>
      <c r="B5" s="167">
        <v>171.6436220127872</v>
      </c>
      <c r="C5" s="191">
        <v>208.26010505676382</v>
      </c>
      <c r="D5" s="192">
        <v>225.76140132395147</v>
      </c>
      <c r="E5" s="191">
        <v>246.75806343932774</v>
      </c>
      <c r="F5" s="167">
        <v>162.28979572592371</v>
      </c>
      <c r="H5" s="108" t="s">
        <v>55</v>
      </c>
      <c r="I5" s="167">
        <f>0.0109540826319342*1000</f>
        <v>10.954082631934201</v>
      </c>
      <c r="J5" s="191">
        <f>-0.0497524698434249*1000</f>
        <v>-49.752469843424898</v>
      </c>
      <c r="K5" s="192">
        <f>-0.026524240161739*1000</f>
        <v>-26.524240161739002</v>
      </c>
      <c r="L5" s="191">
        <f>0.0157166721261283*1000</f>
        <v>15.7166721261283</v>
      </c>
      <c r="M5" s="167">
        <f>0.0523360757172852*1000</f>
        <v>52.336075717285198</v>
      </c>
      <c r="O5" s="108" t="s">
        <v>55</v>
      </c>
      <c r="P5" s="167">
        <v>186.474375537501</v>
      </c>
      <c r="Q5" s="191">
        <v>-10.123031976992255</v>
      </c>
      <c r="R5" s="192">
        <v>-4.82816643196991</v>
      </c>
      <c r="S5" s="191">
        <v>-3.6301887058603315</v>
      </c>
      <c r="T5" s="167">
        <v>-43.735478720164821</v>
      </c>
      <c r="V5" s="108" t="s">
        <v>55</v>
      </c>
      <c r="W5" s="167">
        <v>0.17023277407364601</v>
      </c>
      <c r="X5" s="191">
        <v>0.20346542884600299</v>
      </c>
      <c r="Y5" s="192">
        <v>0.1820284241924966</v>
      </c>
      <c r="Z5" s="191">
        <v>-0.23097703357389696</v>
      </c>
      <c r="AA5" s="167">
        <v>-0.83566765796121711</v>
      </c>
    </row>
    <row r="6" spans="1:27" ht="16.05" customHeight="1">
      <c r="A6" s="208" t="s">
        <v>527</v>
      </c>
      <c r="H6" s="195" t="s">
        <v>530</v>
      </c>
    </row>
    <row r="7" spans="1:27" ht="15.6">
      <c r="A7" s="195" t="s">
        <v>528</v>
      </c>
      <c r="H7" t="s">
        <v>529</v>
      </c>
    </row>
    <row r="8" spans="1:27">
      <c r="A8" s="184" t="s">
        <v>529</v>
      </c>
    </row>
    <row r="9" spans="1:27">
      <c r="A9" s="208"/>
    </row>
    <row r="23" spans="1:27" ht="15" thickBot="1"/>
    <row r="24" spans="1:27" ht="16.2" thickBot="1">
      <c r="A24" s="29" t="s">
        <v>78</v>
      </c>
      <c r="B24" s="105">
        <v>2018</v>
      </c>
      <c r="C24" s="106">
        <v>2019</v>
      </c>
      <c r="D24" s="107">
        <v>2020</v>
      </c>
      <c r="E24" s="106">
        <v>2021</v>
      </c>
      <c r="F24" s="105">
        <v>2022</v>
      </c>
      <c r="H24" s="29" t="s">
        <v>68</v>
      </c>
      <c r="I24" s="105">
        <v>2018</v>
      </c>
      <c r="J24" s="106">
        <v>2019</v>
      </c>
      <c r="K24" s="107">
        <v>2020</v>
      </c>
      <c r="L24" s="106">
        <v>2021</v>
      </c>
      <c r="M24" s="105">
        <v>2022</v>
      </c>
      <c r="O24" s="29" t="s">
        <v>69</v>
      </c>
      <c r="P24" s="105">
        <v>2018</v>
      </c>
      <c r="Q24" s="106">
        <v>2019</v>
      </c>
      <c r="R24" s="107">
        <v>2020</v>
      </c>
      <c r="S24" s="106">
        <v>2021</v>
      </c>
      <c r="T24" s="105">
        <v>2022</v>
      </c>
      <c r="V24" s="29" t="s">
        <v>70</v>
      </c>
      <c r="W24" s="105">
        <v>2018</v>
      </c>
      <c r="X24" s="106">
        <v>2019</v>
      </c>
      <c r="Y24" s="107">
        <v>2020</v>
      </c>
      <c r="Z24" s="106">
        <v>2021</v>
      </c>
      <c r="AA24" s="105">
        <v>2022</v>
      </c>
    </row>
    <row r="25" spans="1:27" ht="16.2" thickBot="1">
      <c r="A25" s="108" t="s">
        <v>111</v>
      </c>
      <c r="B25" s="16">
        <f>117411596*67.26</f>
        <v>7897103946.960001</v>
      </c>
      <c r="C25" s="17">
        <f>117411596*21.38</f>
        <v>2510259922.48</v>
      </c>
      <c r="D25" s="18">
        <f>117411596*25.95</f>
        <v>3046830916.1999998</v>
      </c>
      <c r="E25" s="17">
        <f>117411596*34.87</f>
        <v>4094142352.5199995</v>
      </c>
      <c r="F25" s="16">
        <f>117411596*58.16</f>
        <v>6828658423.3599997</v>
      </c>
      <c r="H25" s="108" t="s">
        <v>523</v>
      </c>
      <c r="I25" s="167">
        <f>67.26/I3</f>
        <v>4.4869908789545452</v>
      </c>
      <c r="J25" s="191">
        <f>21.38/J3</f>
        <v>3.8643163831280782</v>
      </c>
      <c r="K25" s="192">
        <f>25.95/K3</f>
        <v>-1.9818075427344868</v>
      </c>
      <c r="L25" s="191">
        <f>34.87/L3</f>
        <v>4.2978609621247106</v>
      </c>
      <c r="M25" s="167">
        <f>58.16/M3</f>
        <v>0.89924127885380178</v>
      </c>
      <c r="O25" s="108" t="s">
        <v>523</v>
      </c>
      <c r="P25" s="30">
        <f>67.26/66.321</f>
        <v>1.0141584113629167</v>
      </c>
      <c r="Q25" s="31">
        <f>21.38/67.087</f>
        <v>0.31869065541759206</v>
      </c>
      <c r="R25" s="32">
        <f>25.95/54.034</f>
        <v>0.48025317392752709</v>
      </c>
      <c r="S25" s="31">
        <f>34.87/57</f>
        <v>0.61175438596491227</v>
      </c>
      <c r="T25" s="30">
        <f>58.16/118.717</f>
        <v>0.48990456295223089</v>
      </c>
      <c r="V25" s="108" t="s">
        <v>523</v>
      </c>
      <c r="W25" s="167">
        <f>P3/67.26</f>
        <v>0</v>
      </c>
      <c r="X25" s="191">
        <f>Q3/21.38</f>
        <v>-7.9991716475965785E-2</v>
      </c>
      <c r="Y25" s="192">
        <f>R3/25.95</f>
        <v>0</v>
      </c>
      <c r="Z25" s="191">
        <f>S3/34.87</f>
        <v>0</v>
      </c>
      <c r="AA25" s="167">
        <f>T3/58.16</f>
        <v>0</v>
      </c>
    </row>
    <row r="26" spans="1:27" ht="16.2" thickBot="1">
      <c r="A26" s="108" t="s">
        <v>112</v>
      </c>
      <c r="B26" s="16">
        <f>34013590*51.3</f>
        <v>1744897167</v>
      </c>
      <c r="C26" s="17">
        <f>34013590*34.85</f>
        <v>1185373611.5</v>
      </c>
      <c r="D26" s="18">
        <f>34013590*19.2</f>
        <v>653060928</v>
      </c>
      <c r="E26" s="17">
        <f>34013590*32</f>
        <v>1088434880</v>
      </c>
      <c r="F26" s="16">
        <f>34013590*49.92</f>
        <v>1697958412.8</v>
      </c>
      <c r="H26" s="108" t="s">
        <v>305</v>
      </c>
      <c r="I26" s="167">
        <f>51.3/I4</f>
        <v>32.436650314161426</v>
      </c>
      <c r="J26" s="191">
        <f>34.85/J4</f>
        <v>3.8393164980275052</v>
      </c>
      <c r="K26" s="192">
        <f>19.2/K4</f>
        <v>8.9506993777582853</v>
      </c>
      <c r="L26" s="191">
        <f>32/L4</f>
        <v>3.7758004065689335</v>
      </c>
      <c r="M26" s="167">
        <f>49.92/M4</f>
        <v>9.6674850987269139</v>
      </c>
      <c r="O26" s="108" t="s">
        <v>535</v>
      </c>
      <c r="P26" s="30">
        <f>51.3/86.434</f>
        <v>0.59351644028970074</v>
      </c>
      <c r="Q26" s="31">
        <f>34.85/94.613</f>
        <v>0.36834261676513802</v>
      </c>
      <c r="R26" s="32">
        <f>19.2/96.708</f>
        <v>0.19853579848616454</v>
      </c>
      <c r="S26" s="31">
        <f>32/106.056</f>
        <v>0.30172738930376408</v>
      </c>
      <c r="T26" s="30">
        <f>49.92/108.695</f>
        <v>0.45926675560053365</v>
      </c>
      <c r="V26" s="108" t="s">
        <v>535</v>
      </c>
      <c r="W26" s="167">
        <f>P4/51.3</f>
        <v>0</v>
      </c>
      <c r="X26" s="191">
        <f>Q4/34.85</f>
        <v>-2.1520641047272041E-2</v>
      </c>
      <c r="Y26" s="192">
        <f>R4/19.2</f>
        <v>0</v>
      </c>
      <c r="Z26" s="191">
        <f>S4/32</f>
        <v>-7.9012535871691282E-8</v>
      </c>
      <c r="AA26" s="187">
        <f>T4/49.92</f>
        <v>-5.0080142928692578E-5</v>
      </c>
    </row>
    <row r="27" spans="1:27" ht="16.95" customHeight="1" thickBot="1">
      <c r="A27" s="108" t="s">
        <v>55</v>
      </c>
      <c r="B27" s="16">
        <v>8976485026.0799999</v>
      </c>
      <c r="C27" s="17">
        <v>4257319104.3900003</v>
      </c>
      <c r="D27" s="18">
        <v>3418423573.9499998</v>
      </c>
      <c r="E27" s="17">
        <v>5062901093.9100008</v>
      </c>
      <c r="F27" s="16">
        <v>8183017051.4399996</v>
      </c>
      <c r="H27" s="108" t="s">
        <v>55</v>
      </c>
      <c r="I27" s="167">
        <v>5.4116812661245666</v>
      </c>
      <c r="J27" s="191">
        <v>-0.56509063144390292</v>
      </c>
      <c r="K27" s="192">
        <v>-0.85110812438770977</v>
      </c>
      <c r="L27" s="191">
        <v>2.1273596893396238</v>
      </c>
      <c r="M27" s="167">
        <v>1.0325594130378821</v>
      </c>
      <c r="O27" s="108" t="s">
        <v>55</v>
      </c>
      <c r="P27" s="30">
        <v>0.29245268258482016</v>
      </c>
      <c r="Q27" s="31">
        <v>0.19686436670562349</v>
      </c>
      <c r="R27" s="32">
        <v>0.20251196120676249</v>
      </c>
      <c r="S27" s="31">
        <v>0.2705936503427756</v>
      </c>
      <c r="T27" s="30">
        <v>0.40893810252416174</v>
      </c>
      <c r="V27" s="108" t="s">
        <v>55</v>
      </c>
      <c r="W27" s="167">
        <v>0.31456541082574457</v>
      </c>
      <c r="X27" s="191">
        <v>-0.36005804648736456</v>
      </c>
      <c r="Y27" s="192">
        <v>-0.21387226719689525</v>
      </c>
      <c r="Z27" s="191">
        <v>-0.10857450892359298</v>
      </c>
      <c r="AA27" s="167">
        <v>-0.80931677868550744</v>
      </c>
    </row>
    <row r="28" spans="1:27" ht="16.05" customHeight="1">
      <c r="A28" s="195" t="s">
        <v>534</v>
      </c>
      <c r="H28" s="195" t="s">
        <v>531</v>
      </c>
    </row>
    <row r="29" spans="1:27">
      <c r="H29" s="184" t="s">
        <v>532</v>
      </c>
    </row>
    <row r="30" spans="1:27">
      <c r="H30" s="184" t="s">
        <v>533</v>
      </c>
    </row>
    <row r="51" spans="1:1">
      <c r="A51" s="184" t="s">
        <v>532</v>
      </c>
    </row>
  </sheetData>
  <hyperlinks>
    <hyperlink ref="A6" r:id="rId1" xr:uid="{09FDC314-C11A-CC48-A07C-82247217D02A}"/>
    <hyperlink ref="H29" r:id="rId2" xr:uid="{E6762799-E9EA-C94D-8C4A-8D818106A8E1}"/>
    <hyperlink ref="H30" r:id="rId3" xr:uid="{BC60C03B-3C23-C44F-BF3F-16246C2F934E}"/>
    <hyperlink ref="A51" r:id="rId4" xr:uid="{770CEB5B-7907-3547-A138-2CC6523D9043}"/>
    <hyperlink ref="A8" r:id="rId5" xr:uid="{43053348-93A9-384E-9F36-F4C7B760EAFD}"/>
    <hyperlink ref="D1" r:id="rId6" xr:uid="{D4A07484-AAC5-4543-A2DC-1CB44D3154C2}"/>
  </hyperlinks>
  <pageMargins left="0.7" right="0.7" top="0.75" bottom="0.75" header="0.3" footer="0.3"/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8"/>
  <sheetViews>
    <sheetView topLeftCell="D1" zoomScale="90" zoomScaleNormal="90" workbookViewId="0">
      <selection activeCell="O16" sqref="O16:S17"/>
    </sheetView>
  </sheetViews>
  <sheetFormatPr defaultColWidth="8.77734375" defaultRowHeight="14.4"/>
  <cols>
    <col min="1" max="1" width="52.109375" customWidth="1"/>
    <col min="2" max="6" width="14.109375" customWidth="1"/>
    <col min="9" max="9" width="12.77734375" customWidth="1"/>
    <col min="10" max="10" width="6" customWidth="1"/>
    <col min="11" max="11" width="15.44140625" customWidth="1"/>
    <col min="15" max="19" width="17.77734375" customWidth="1"/>
  </cols>
  <sheetData>
    <row r="1" spans="1:21" ht="16.8">
      <c r="A1" s="289" t="s">
        <v>62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52"/>
      <c r="U1" s="52"/>
    </row>
    <row r="2" spans="1:21" ht="16.8">
      <c r="A2" s="53"/>
      <c r="B2" s="53"/>
      <c r="C2" s="53"/>
      <c r="D2" s="53"/>
      <c r="E2" s="53"/>
      <c r="F2" s="53"/>
      <c r="G2" s="54"/>
      <c r="H2" s="54"/>
      <c r="I2" s="53"/>
      <c r="J2" s="53"/>
      <c r="K2" s="53"/>
      <c r="L2" s="53"/>
      <c r="M2" s="53"/>
      <c r="N2" s="53"/>
      <c r="O2" s="55">
        <v>2018</v>
      </c>
      <c r="P2" s="55">
        <v>2019</v>
      </c>
      <c r="Q2" s="55">
        <v>2020</v>
      </c>
      <c r="R2" s="55">
        <v>2021</v>
      </c>
      <c r="S2" s="55">
        <v>2022</v>
      </c>
      <c r="T2" s="52"/>
      <c r="U2" s="52"/>
    </row>
    <row r="3" spans="1:21" ht="28.2" customHeight="1">
      <c r="A3" s="55" t="s">
        <v>56</v>
      </c>
      <c r="B3" s="55">
        <v>2018</v>
      </c>
      <c r="C3" s="55">
        <v>2019</v>
      </c>
      <c r="D3" s="55">
        <v>2020</v>
      </c>
      <c r="E3" s="55">
        <v>2021</v>
      </c>
      <c r="F3" s="55">
        <v>2022</v>
      </c>
      <c r="G3" s="56"/>
      <c r="H3" s="54"/>
      <c r="I3" s="290" t="s">
        <v>71</v>
      </c>
      <c r="J3" s="290"/>
      <c r="K3" s="290"/>
      <c r="L3" s="290"/>
      <c r="M3" s="290"/>
      <c r="N3" s="290"/>
      <c r="O3" s="291">
        <f>B9/B4*1000</f>
        <v>171.6436220127872</v>
      </c>
      <c r="P3" s="291">
        <f t="shared" ref="P3:S3" si="0">C9/C4*1000</f>
        <v>208.26010505676382</v>
      </c>
      <c r="Q3" s="291">
        <f t="shared" si="0"/>
        <v>225.76140132395147</v>
      </c>
      <c r="R3" s="291">
        <f t="shared" si="0"/>
        <v>246.75806343932774</v>
      </c>
      <c r="S3" s="291">
        <f t="shared" si="0"/>
        <v>162.28979572592371</v>
      </c>
      <c r="T3" s="26" t="s">
        <v>59</v>
      </c>
      <c r="U3" s="52"/>
    </row>
    <row r="4" spans="1:21" ht="28.2" customHeight="1">
      <c r="A4" s="57" t="s">
        <v>57</v>
      </c>
      <c r="B4" s="58">
        <f>117411596+34013590</f>
        <v>151425186</v>
      </c>
      <c r="C4" s="58">
        <f t="shared" ref="C4:F4" si="1">117411596+34013590</f>
        <v>151425186</v>
      </c>
      <c r="D4" s="58">
        <f t="shared" si="1"/>
        <v>151425186</v>
      </c>
      <c r="E4" s="58">
        <f t="shared" si="1"/>
        <v>151425186</v>
      </c>
      <c r="F4" s="58">
        <f t="shared" si="1"/>
        <v>151425186</v>
      </c>
      <c r="G4" s="56"/>
      <c r="H4" s="54"/>
      <c r="I4" s="290"/>
      <c r="J4" s="290"/>
      <c r="K4" s="290"/>
      <c r="L4" s="290"/>
      <c r="M4" s="290"/>
      <c r="N4" s="290"/>
      <c r="O4" s="292"/>
      <c r="P4" s="292"/>
      <c r="Q4" s="292"/>
      <c r="R4" s="292"/>
      <c r="S4" s="292"/>
      <c r="T4" s="52"/>
      <c r="U4" s="52"/>
    </row>
    <row r="5" spans="1:21" ht="28.2" customHeight="1">
      <c r="A5" s="59" t="s">
        <v>58</v>
      </c>
      <c r="B5" s="255">
        <f>2823.6917*1000</f>
        <v>2823691.6999999997</v>
      </c>
      <c r="C5" s="255">
        <f>-1532.882*1000</f>
        <v>-1532882</v>
      </c>
      <c r="D5" s="255">
        <f>-731.106*1000</f>
        <v>-731106</v>
      </c>
      <c r="E5" s="255">
        <f>-549.702*1000</f>
        <v>-549702</v>
      </c>
      <c r="F5" s="255">
        <f>-6622.653*1000</f>
        <v>-6622653</v>
      </c>
      <c r="G5" s="56"/>
      <c r="H5" s="54"/>
      <c r="I5" s="293" t="s">
        <v>72</v>
      </c>
      <c r="J5" s="293"/>
      <c r="K5" s="293"/>
      <c r="L5" s="293"/>
      <c r="M5" s="293"/>
      <c r="N5" s="293"/>
      <c r="O5" s="246">
        <f>B10/B4*1000</f>
        <v>10.954081935880865</v>
      </c>
      <c r="P5" s="246">
        <f t="shared" ref="P5:S5" si="2">C10/C4*1000</f>
        <v>-49.753081073316295</v>
      </c>
      <c r="Q5" s="246">
        <f t="shared" si="2"/>
        <v>-26.524244515043886</v>
      </c>
      <c r="R5" s="246">
        <f t="shared" si="2"/>
        <v>15.716665201256548</v>
      </c>
      <c r="S5" s="246">
        <f t="shared" si="2"/>
        <v>52.335971487596524</v>
      </c>
      <c r="T5" s="51" t="s">
        <v>59</v>
      </c>
      <c r="U5" s="52"/>
    </row>
    <row r="6" spans="1:21" ht="28.2" customHeight="1">
      <c r="A6" s="57" t="s">
        <v>61</v>
      </c>
      <c r="B6" s="60">
        <f>(67.26+51.3)/2</f>
        <v>59.28</v>
      </c>
      <c r="C6" s="60">
        <f>(21.38+34.85)/2</f>
        <v>28.115000000000002</v>
      </c>
      <c r="D6" s="60">
        <f>(25.95+19.2)/2</f>
        <v>22.574999999999999</v>
      </c>
      <c r="E6" s="60">
        <f>(34.87+32)/2</f>
        <v>33.435000000000002</v>
      </c>
      <c r="F6" s="60">
        <f>(58.16+49.92)/2</f>
        <v>54.04</v>
      </c>
      <c r="G6" s="61"/>
      <c r="H6" s="62"/>
      <c r="I6" s="290" t="s">
        <v>73</v>
      </c>
      <c r="J6" s="290"/>
      <c r="K6" s="290"/>
      <c r="L6" s="290"/>
      <c r="M6" s="290"/>
      <c r="N6" s="290"/>
      <c r="O6" s="294">
        <f>B5/B4*1000</f>
        <v>18.647437553750137</v>
      </c>
      <c r="P6" s="294">
        <f t="shared" ref="P6:S6" si="3">C5/C4*1000</f>
        <v>-10.123031976992255</v>
      </c>
      <c r="Q6" s="294">
        <f t="shared" si="3"/>
        <v>-4.82816643196991</v>
      </c>
      <c r="R6" s="294">
        <f t="shared" si="3"/>
        <v>-3.6301887058603315</v>
      </c>
      <c r="S6" s="294">
        <f t="shared" si="3"/>
        <v>-43.735478720164821</v>
      </c>
      <c r="T6" s="51" t="s">
        <v>59</v>
      </c>
      <c r="U6" s="52"/>
    </row>
    <row r="7" spans="1:21" ht="28.2" customHeight="1">
      <c r="A7" s="59" t="s">
        <v>60</v>
      </c>
      <c r="B7" s="63">
        <f>B8/B4</f>
        <v>0.20269945714314658</v>
      </c>
      <c r="C7" s="63">
        <f t="shared" ref="C7:F7" si="4">C8/C4</f>
        <v>0.1428140626487327</v>
      </c>
      <c r="D7" s="63">
        <f t="shared" si="4"/>
        <v>0.11147489691708221</v>
      </c>
      <c r="E7" s="63">
        <f t="shared" si="4"/>
        <v>0.12356165770204172</v>
      </c>
      <c r="F7" s="63">
        <f t="shared" si="4"/>
        <v>0.13214713832347547</v>
      </c>
      <c r="G7" s="61"/>
      <c r="H7" s="62"/>
      <c r="I7" s="290"/>
      <c r="J7" s="290"/>
      <c r="K7" s="290"/>
      <c r="L7" s="290"/>
      <c r="M7" s="290"/>
      <c r="N7" s="290"/>
      <c r="O7" s="295"/>
      <c r="P7" s="295"/>
      <c r="Q7" s="295"/>
      <c r="R7" s="295"/>
      <c r="S7" s="295"/>
      <c r="T7" s="52"/>
      <c r="U7" s="52"/>
    </row>
    <row r="8" spans="1:21" ht="28.2" customHeight="1">
      <c r="A8" s="57" t="s">
        <v>79</v>
      </c>
      <c r="B8" s="58">
        <f>62613651-31919848</f>
        <v>30693803</v>
      </c>
      <c r="C8" s="58">
        <f>59399329-37773683</f>
        <v>21625646</v>
      </c>
      <c r="D8" s="58">
        <f>61553025-44672918</f>
        <v>16880107</v>
      </c>
      <c r="E8" s="58">
        <f>70964415-52254068</f>
        <v>18710347</v>
      </c>
      <c r="F8" s="58">
        <f>33510213-13499808</f>
        <v>20010405</v>
      </c>
      <c r="G8" s="64"/>
      <c r="H8" s="62"/>
      <c r="I8" s="293" t="s">
        <v>104</v>
      </c>
      <c r="J8" s="293"/>
      <c r="K8" s="293"/>
      <c r="L8" s="293"/>
      <c r="M8" s="293"/>
      <c r="N8" s="293"/>
      <c r="O8" s="296">
        <f>O6/O5</f>
        <v>1.7023277407364596</v>
      </c>
      <c r="P8" s="296">
        <f t="shared" ref="P8:S8" si="5">P6/P5</f>
        <v>0.20346542884600299</v>
      </c>
      <c r="Q8" s="296">
        <f t="shared" si="5"/>
        <v>0.1820284241924966</v>
      </c>
      <c r="R8" s="296">
        <f t="shared" si="5"/>
        <v>-0.23097703357389696</v>
      </c>
      <c r="S8" s="296">
        <f t="shared" si="5"/>
        <v>-0.83566765796121711</v>
      </c>
      <c r="T8" s="51" t="s">
        <v>59</v>
      </c>
      <c r="U8" s="52"/>
    </row>
    <row r="9" spans="1:21" ht="28.2" customHeight="1">
      <c r="A9" s="59" t="s">
        <v>63</v>
      </c>
      <c r="B9" s="63">
        <f>sektor!F79</f>
        <v>25991167.388999999</v>
      </c>
      <c r="C9" s="63">
        <f>sektor!E79</f>
        <v>31535825.1446</v>
      </c>
      <c r="D9" s="63">
        <f>sektor!D79</f>
        <v>34185962.187100001</v>
      </c>
      <c r="E9" s="63">
        <f>sektor!C79</f>
        <v>37365385.653300002</v>
      </c>
      <c r="F9" s="63">
        <f>sektor!B79</f>
        <v>24574762.503699999</v>
      </c>
      <c r="G9" s="65"/>
      <c r="H9" s="66"/>
      <c r="I9" s="293"/>
      <c r="J9" s="293"/>
      <c r="K9" s="293"/>
      <c r="L9" s="293"/>
      <c r="M9" s="293"/>
      <c r="N9" s="293"/>
      <c r="O9" s="296"/>
      <c r="P9" s="296"/>
      <c r="Q9" s="296"/>
      <c r="R9" s="296"/>
      <c r="S9" s="296"/>
      <c r="T9" s="52"/>
      <c r="U9" s="52"/>
    </row>
    <row r="10" spans="1:21" ht="28.2" customHeight="1">
      <c r="A10" s="57" t="s">
        <v>64</v>
      </c>
      <c r="B10" s="60">
        <f>sektor!F99</f>
        <v>1658723.8946</v>
      </c>
      <c r="C10" s="60">
        <f>sektor!E99</f>
        <v>-7533869.5555999996</v>
      </c>
      <c r="D10" s="60">
        <f>sektor!D99</f>
        <v>-4016438.6592000001</v>
      </c>
      <c r="E10" s="60">
        <f>sektor!C99</f>
        <v>2379898.9514000001</v>
      </c>
      <c r="F10" s="60">
        <f>sektor!B99</f>
        <v>7924984.2170000002</v>
      </c>
      <c r="G10" s="65"/>
      <c r="H10" s="66"/>
      <c r="I10" s="290" t="s">
        <v>74</v>
      </c>
      <c r="J10" s="290"/>
      <c r="K10" s="290"/>
      <c r="L10" s="290"/>
      <c r="M10" s="290"/>
      <c r="N10" s="290"/>
      <c r="O10" s="294">
        <f>B6*B4</f>
        <v>8976485026.0799999</v>
      </c>
      <c r="P10" s="297">
        <f t="shared" ref="P10:S10" si="6">C6*C4</f>
        <v>4257319104.3900003</v>
      </c>
      <c r="Q10" s="297">
        <f t="shared" si="6"/>
        <v>3418423573.9499998</v>
      </c>
      <c r="R10" s="297">
        <f t="shared" si="6"/>
        <v>5062901093.9100008</v>
      </c>
      <c r="S10" s="297">
        <f t="shared" si="6"/>
        <v>8183017051.4399996</v>
      </c>
      <c r="T10" s="51" t="s">
        <v>59</v>
      </c>
      <c r="U10" s="52"/>
    </row>
    <row r="11" spans="1:21" ht="3.45" customHeight="1">
      <c r="A11" s="67"/>
      <c r="B11" s="68"/>
      <c r="C11" s="66"/>
      <c r="D11" s="66"/>
      <c r="E11" s="66"/>
      <c r="F11" s="66"/>
      <c r="G11" s="65"/>
      <c r="H11" s="66"/>
      <c r="I11" s="290"/>
      <c r="J11" s="290"/>
      <c r="K11" s="290"/>
      <c r="L11" s="290"/>
      <c r="M11" s="290"/>
      <c r="N11" s="290"/>
      <c r="O11" s="295"/>
      <c r="P11" s="298"/>
      <c r="Q11" s="298"/>
      <c r="R11" s="298"/>
      <c r="S11" s="298"/>
      <c r="T11" s="52"/>
      <c r="U11" s="52"/>
    </row>
    <row r="12" spans="1:21" ht="15.45" customHeight="1">
      <c r="A12" s="66"/>
      <c r="B12" s="66"/>
      <c r="C12" s="66"/>
      <c r="D12" s="66"/>
      <c r="E12" s="66"/>
      <c r="F12" s="66"/>
      <c r="G12" s="69"/>
      <c r="H12" s="70"/>
      <c r="I12" s="293" t="s">
        <v>75</v>
      </c>
      <c r="J12" s="293"/>
      <c r="K12" s="293"/>
      <c r="L12" s="293"/>
      <c r="M12" s="293"/>
      <c r="N12" s="293"/>
      <c r="O12" s="296">
        <f>B6/((B10*1000)/B4)</f>
        <v>5.4116812661245666</v>
      </c>
      <c r="P12" s="296">
        <f t="shared" ref="P12:S12" si="7">C6/((C10*1000)/C4)</f>
        <v>-0.56509063144390292</v>
      </c>
      <c r="Q12" s="296">
        <f t="shared" si="7"/>
        <v>-0.85110812438770977</v>
      </c>
      <c r="R12" s="296">
        <f t="shared" si="7"/>
        <v>2.1273596893396238</v>
      </c>
      <c r="S12" s="296">
        <f t="shared" si="7"/>
        <v>1.0325594130378821</v>
      </c>
      <c r="T12" s="52"/>
      <c r="U12" s="52"/>
    </row>
    <row r="13" spans="1:21" ht="15.45" customHeight="1">
      <c r="A13" s="70"/>
      <c r="B13" s="70"/>
      <c r="C13" s="70"/>
      <c r="D13" s="70"/>
      <c r="E13" s="70"/>
      <c r="F13" s="70"/>
      <c r="G13" s="71"/>
      <c r="H13" s="71"/>
      <c r="I13" s="293"/>
      <c r="J13" s="293"/>
      <c r="K13" s="293"/>
      <c r="L13" s="293"/>
      <c r="M13" s="293"/>
      <c r="N13" s="293"/>
      <c r="O13" s="296"/>
      <c r="P13" s="296"/>
      <c r="Q13" s="296"/>
      <c r="R13" s="296"/>
      <c r="S13" s="296"/>
      <c r="T13" s="52"/>
      <c r="U13" s="52"/>
    </row>
    <row r="14" spans="1:21" ht="35.549999999999997" hidden="1" customHeight="1">
      <c r="A14" s="70"/>
      <c r="B14" s="70"/>
      <c r="C14" s="70"/>
      <c r="D14" s="70"/>
      <c r="E14" s="70"/>
      <c r="F14" s="70"/>
      <c r="G14" s="71"/>
      <c r="H14" s="71"/>
      <c r="I14" s="290" t="s">
        <v>76</v>
      </c>
      <c r="J14" s="290"/>
      <c r="K14" s="290"/>
      <c r="L14" s="290"/>
      <c r="M14" s="290"/>
      <c r="N14" s="290"/>
      <c r="O14" s="301">
        <f>B6/B7/1000</f>
        <v>0.29245268258482016</v>
      </c>
      <c r="P14" s="301">
        <f>C6/C7/1000</f>
        <v>0.19686436670562349</v>
      </c>
      <c r="Q14" s="301">
        <f>D6/D7/1000</f>
        <v>0.20251196120676249</v>
      </c>
      <c r="R14" s="301">
        <f>E6/E7/1000</f>
        <v>0.2705936503427756</v>
      </c>
      <c r="S14" s="301">
        <f>F6/F7/1000</f>
        <v>0.40893810252416174</v>
      </c>
      <c r="T14" s="52"/>
      <c r="U14" s="52"/>
    </row>
    <row r="15" spans="1:21" ht="35.549999999999997" customHeight="1">
      <c r="A15" s="71"/>
      <c r="B15" s="71"/>
      <c r="C15" s="71"/>
      <c r="D15" s="71"/>
      <c r="E15" s="71"/>
      <c r="F15" s="71"/>
      <c r="G15" s="71"/>
      <c r="H15" s="71"/>
      <c r="I15" s="290"/>
      <c r="J15" s="290"/>
      <c r="K15" s="290"/>
      <c r="L15" s="290"/>
      <c r="M15" s="290"/>
      <c r="N15" s="290"/>
      <c r="O15" s="302"/>
      <c r="P15" s="302"/>
      <c r="Q15" s="302"/>
      <c r="R15" s="302"/>
      <c r="S15" s="302"/>
      <c r="T15" s="52"/>
      <c r="U15" s="52"/>
    </row>
    <row r="16" spans="1:21" ht="32.549999999999997" customHeight="1">
      <c r="A16" s="71"/>
      <c r="B16" s="71"/>
      <c r="C16" s="71"/>
      <c r="D16" s="71"/>
      <c r="E16" s="71"/>
      <c r="F16" s="71"/>
      <c r="G16" s="71"/>
      <c r="H16" s="71"/>
      <c r="I16" s="293" t="s">
        <v>77</v>
      </c>
      <c r="J16" s="293"/>
      <c r="K16" s="293"/>
      <c r="L16" s="293"/>
      <c r="M16" s="293"/>
      <c r="N16" s="293"/>
      <c r="O16" s="299">
        <f>(B5*1000/B4)/B6</f>
        <v>0.31456541082574457</v>
      </c>
      <c r="P16" s="299">
        <f>(C5*1000/C4)/C6</f>
        <v>-0.36005804648736456</v>
      </c>
      <c r="Q16" s="299">
        <f>(D5*1000/D4)/D6</f>
        <v>-0.21387226719689525</v>
      </c>
      <c r="R16" s="299">
        <f>(E5*1000/E4)/E6</f>
        <v>-0.10857450892359298</v>
      </c>
      <c r="S16" s="299">
        <f>(F5*1000/F4)/F6</f>
        <v>-0.80931677868550744</v>
      </c>
      <c r="T16" s="52"/>
      <c r="U16" s="52"/>
    </row>
    <row r="17" spans="1:21" ht="35.549999999999997" hidden="1" customHeight="1">
      <c r="A17" s="71"/>
      <c r="B17" s="71"/>
      <c r="C17" s="71"/>
      <c r="D17" s="71"/>
      <c r="E17" s="71"/>
      <c r="F17" s="71"/>
      <c r="G17" s="71"/>
      <c r="H17" s="71"/>
      <c r="I17" s="293"/>
      <c r="J17" s="293"/>
      <c r="K17" s="293"/>
      <c r="L17" s="293"/>
      <c r="M17" s="293"/>
      <c r="N17" s="293"/>
      <c r="O17" s="300"/>
      <c r="P17" s="300"/>
      <c r="Q17" s="300"/>
      <c r="R17" s="300"/>
      <c r="S17" s="300"/>
      <c r="T17" s="52"/>
      <c r="U17" s="52"/>
    </row>
    <row r="18" spans="1:21" ht="17.399999999999999">
      <c r="A18" s="5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</sheetData>
  <mergeCells count="44">
    <mergeCell ref="S16:S17"/>
    <mergeCell ref="I14:N15"/>
    <mergeCell ref="O14:O15"/>
    <mergeCell ref="P14:P15"/>
    <mergeCell ref="Q14:Q15"/>
    <mergeCell ref="R14:R15"/>
    <mergeCell ref="S14:S15"/>
    <mergeCell ref="I16:N17"/>
    <mergeCell ref="O16:O17"/>
    <mergeCell ref="P16:P17"/>
    <mergeCell ref="Q16:Q17"/>
    <mergeCell ref="R16:R17"/>
    <mergeCell ref="S12:S13"/>
    <mergeCell ref="I10:N11"/>
    <mergeCell ref="O10:O11"/>
    <mergeCell ref="P10:P11"/>
    <mergeCell ref="Q10:Q11"/>
    <mergeCell ref="R10:R11"/>
    <mergeCell ref="S10:S11"/>
    <mergeCell ref="I12:N13"/>
    <mergeCell ref="O12:O13"/>
    <mergeCell ref="P12:P13"/>
    <mergeCell ref="Q12:Q13"/>
    <mergeCell ref="R12:R13"/>
    <mergeCell ref="S6:S7"/>
    <mergeCell ref="I8:N9"/>
    <mergeCell ref="O8:O9"/>
    <mergeCell ref="P8:P9"/>
    <mergeCell ref="Q8:Q9"/>
    <mergeCell ref="R8:R9"/>
    <mergeCell ref="S8:S9"/>
    <mergeCell ref="R6:R7"/>
    <mergeCell ref="I5:N5"/>
    <mergeCell ref="I6:N7"/>
    <mergeCell ref="O6:O7"/>
    <mergeCell ref="P6:P7"/>
    <mergeCell ref="Q6:Q7"/>
    <mergeCell ref="A1:S1"/>
    <mergeCell ref="I3:N4"/>
    <mergeCell ref="O3:O4"/>
    <mergeCell ref="P3:P4"/>
    <mergeCell ref="Q3:Q4"/>
    <mergeCell ref="R3:R4"/>
    <mergeCell ref="S3:S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0632-5328-6043-9667-CCEE431B224B}">
  <dimension ref="A5:H207"/>
  <sheetViews>
    <sheetView topLeftCell="A66" workbookViewId="0">
      <selection activeCell="A192" sqref="A192"/>
    </sheetView>
  </sheetViews>
  <sheetFormatPr defaultColWidth="11.5546875" defaultRowHeight="14.4"/>
  <cols>
    <col min="1" max="6" width="19.109375" customWidth="1"/>
    <col min="8" max="8" width="11.33203125" bestFit="1" customWidth="1"/>
  </cols>
  <sheetData>
    <row r="5" spans="1:6" ht="18">
      <c r="A5" s="217" t="s">
        <v>546</v>
      </c>
    </row>
    <row r="7" spans="1:6">
      <c r="A7" s="218" t="s">
        <v>547</v>
      </c>
    </row>
    <row r="9" spans="1:6" ht="15.6">
      <c r="A9" s="222" t="s">
        <v>548</v>
      </c>
      <c r="B9" s="222">
        <v>2022</v>
      </c>
      <c r="C9" s="222">
        <v>2021</v>
      </c>
      <c r="D9" s="222">
        <v>2020</v>
      </c>
      <c r="E9" s="222">
        <v>2019</v>
      </c>
      <c r="F9" s="222">
        <v>2018</v>
      </c>
    </row>
    <row r="10" spans="1:6">
      <c r="A10" s="218" t="s">
        <v>549</v>
      </c>
      <c r="B10">
        <v>42</v>
      </c>
      <c r="C10">
        <v>47</v>
      </c>
      <c r="D10">
        <v>54</v>
      </c>
      <c r="E10">
        <v>55</v>
      </c>
      <c r="F10">
        <v>67</v>
      </c>
    </row>
    <row r="12" spans="1:6" ht="15.6">
      <c r="A12" s="222"/>
      <c r="B12" s="222">
        <v>2022</v>
      </c>
      <c r="C12" s="222">
        <v>2021</v>
      </c>
      <c r="D12" s="222">
        <v>2020</v>
      </c>
      <c r="E12" s="222">
        <v>2019</v>
      </c>
      <c r="F12" s="222">
        <v>2018</v>
      </c>
    </row>
    <row r="14" spans="1:6" ht="15.6">
      <c r="A14" s="223" t="s">
        <v>140</v>
      </c>
      <c r="B14" s="222"/>
      <c r="C14" s="222"/>
      <c r="D14" s="222"/>
      <c r="E14" s="222"/>
      <c r="F14" s="222"/>
    </row>
    <row r="15" spans="1:6">
      <c r="A15" s="219" t="s">
        <v>550</v>
      </c>
      <c r="B15" s="220">
        <v>5689173.1760999998</v>
      </c>
      <c r="C15" s="220">
        <v>2132317.1019000001</v>
      </c>
      <c r="D15" s="220">
        <v>2173131.2678</v>
      </c>
      <c r="E15" s="220">
        <v>1159747.9683000001</v>
      </c>
      <c r="F15" s="220">
        <v>2181494.8872000002</v>
      </c>
    </row>
    <row r="16" spans="1:6">
      <c r="A16" s="219" t="s">
        <v>551</v>
      </c>
      <c r="B16" s="220">
        <v>90564.008900000001</v>
      </c>
      <c r="C16" s="220">
        <v>1821877.9028</v>
      </c>
      <c r="D16" s="220">
        <v>304722.28710000002</v>
      </c>
      <c r="E16" s="220">
        <v>212895.09299999999</v>
      </c>
      <c r="F16" s="220">
        <v>106248.6728</v>
      </c>
    </row>
    <row r="17" spans="1:6">
      <c r="A17" s="219" t="s">
        <v>552</v>
      </c>
      <c r="B17" s="220">
        <v>2105248.7910000002</v>
      </c>
      <c r="C17" s="220">
        <v>9601730.4300999995</v>
      </c>
      <c r="D17" s="220">
        <v>1873044.1232</v>
      </c>
      <c r="E17" s="220">
        <v>1949212.4602999999</v>
      </c>
      <c r="F17" s="220">
        <v>2275239.8248999999</v>
      </c>
    </row>
    <row r="18" spans="1:6">
      <c r="A18" s="219" t="s">
        <v>553</v>
      </c>
      <c r="B18" s="220">
        <v>2105248.7910000002</v>
      </c>
      <c r="C18" s="220">
        <v>9601712.2631999999</v>
      </c>
      <c r="D18" s="220">
        <v>1873044.1232</v>
      </c>
      <c r="E18" s="220">
        <v>1949212.4602999999</v>
      </c>
      <c r="F18" s="220">
        <v>2258553.648</v>
      </c>
    </row>
    <row r="19" spans="1:6">
      <c r="A19" s="219" t="s">
        <v>554</v>
      </c>
      <c r="B19" s="220">
        <v>0</v>
      </c>
      <c r="C19" s="220">
        <v>18.166899999999998</v>
      </c>
      <c r="D19" s="220">
        <v>0</v>
      </c>
      <c r="E19" s="220">
        <v>0</v>
      </c>
      <c r="F19" s="220">
        <v>0</v>
      </c>
    </row>
    <row r="20" spans="1:6">
      <c r="A20" s="219" t="s">
        <v>150</v>
      </c>
      <c r="B20" s="220">
        <v>1258946.5207</v>
      </c>
      <c r="C20" s="220">
        <v>1826578.2122</v>
      </c>
      <c r="D20" s="220">
        <v>2586154.6995999999</v>
      </c>
      <c r="E20" s="220">
        <v>2554255.4375999998</v>
      </c>
      <c r="F20" s="220">
        <v>1959585.7037</v>
      </c>
    </row>
    <row r="21" spans="1:6">
      <c r="A21" s="219" t="s">
        <v>555</v>
      </c>
      <c r="B21" s="220">
        <v>40499.622900000002</v>
      </c>
      <c r="C21" s="220">
        <v>8224.0537999999997</v>
      </c>
      <c r="D21" s="220">
        <v>28727.8315</v>
      </c>
      <c r="E21" s="220">
        <v>53786.634899999997</v>
      </c>
      <c r="F21" s="220">
        <v>60478.741199999997</v>
      </c>
    </row>
    <row r="22" spans="1:6">
      <c r="A22" s="219" t="s">
        <v>556</v>
      </c>
      <c r="B22" s="220">
        <v>15519.2755</v>
      </c>
      <c r="C22" s="220">
        <v>2775.8877000000002</v>
      </c>
      <c r="D22" s="220">
        <v>2753.2348000000002</v>
      </c>
      <c r="E22" s="220">
        <v>3526.6833999999999</v>
      </c>
      <c r="F22" s="220">
        <v>6126.1827000000003</v>
      </c>
    </row>
    <row r="23" spans="1:6">
      <c r="A23" s="219" t="s">
        <v>557</v>
      </c>
      <c r="B23" s="220">
        <v>16967.622299999999</v>
      </c>
      <c r="C23" s="220">
        <v>4699.5618999999997</v>
      </c>
      <c r="D23" s="220">
        <v>85370.371499999994</v>
      </c>
      <c r="E23" s="220">
        <v>86581.176200000002</v>
      </c>
      <c r="F23" s="220">
        <v>87679.814700000003</v>
      </c>
    </row>
    <row r="24" spans="1:6">
      <c r="A24" s="219" t="s">
        <v>558</v>
      </c>
      <c r="B24" s="220">
        <v>14676.374299999999</v>
      </c>
      <c r="C24" s="220">
        <v>13512.070900000001</v>
      </c>
      <c r="D24" s="220">
        <v>17925.526000000002</v>
      </c>
      <c r="E24" s="220">
        <v>23807.008099999999</v>
      </c>
      <c r="F24" s="220">
        <v>22040.9663</v>
      </c>
    </row>
    <row r="25" spans="1:6">
      <c r="A25" s="219" t="s">
        <v>559</v>
      </c>
      <c r="B25" s="220">
        <v>237726.5062</v>
      </c>
      <c r="C25" s="220">
        <v>187249.52160000001</v>
      </c>
      <c r="D25" s="220">
        <v>262455.01919999998</v>
      </c>
      <c r="E25" s="220">
        <v>424953.48849999998</v>
      </c>
      <c r="F25" s="220">
        <v>834819.30009999999</v>
      </c>
    </row>
    <row r="26" spans="1:6">
      <c r="A26" s="219" t="s">
        <v>560</v>
      </c>
      <c r="B26" s="220">
        <v>107446.3505</v>
      </c>
      <c r="C26" s="220">
        <v>74804.417799999996</v>
      </c>
      <c r="D26" s="220">
        <v>81356.746400000004</v>
      </c>
      <c r="E26" s="220">
        <v>87772.933600000004</v>
      </c>
      <c r="F26" s="220">
        <v>94637.895600000003</v>
      </c>
    </row>
    <row r="27" spans="1:6">
      <c r="A27" s="219" t="s">
        <v>561</v>
      </c>
      <c r="B27" s="220">
        <v>93569.307000000001</v>
      </c>
      <c r="C27" s="220">
        <v>781664.82169999997</v>
      </c>
      <c r="D27" s="220">
        <v>1304130.3933000001</v>
      </c>
      <c r="E27" s="220">
        <v>1937135.0996999999</v>
      </c>
      <c r="F27" s="220">
        <v>2357771.9700000002</v>
      </c>
    </row>
    <row r="28" spans="1:6">
      <c r="A28" s="219" t="s">
        <v>140</v>
      </c>
      <c r="B28" s="220">
        <v>9597489.3384000007</v>
      </c>
      <c r="C28" s="220">
        <v>19896676.870999999</v>
      </c>
      <c r="D28" s="220">
        <v>10103005.8619</v>
      </c>
      <c r="E28" s="220">
        <v>8350132.4946999997</v>
      </c>
      <c r="F28" s="220">
        <v>9837096.2842999995</v>
      </c>
    </row>
    <row r="29" spans="1:6" ht="15.6">
      <c r="A29" s="223" t="s">
        <v>139</v>
      </c>
      <c r="B29" s="222"/>
      <c r="C29" s="222"/>
      <c r="D29" s="222"/>
      <c r="E29" s="222"/>
      <c r="F29" s="222"/>
    </row>
    <row r="30" spans="1:6">
      <c r="A30" s="219" t="s">
        <v>135</v>
      </c>
      <c r="B30" s="220">
        <v>14781652.590500001</v>
      </c>
      <c r="C30" s="220">
        <v>45232922.587800004</v>
      </c>
      <c r="D30" s="220">
        <v>45988061.084100001</v>
      </c>
      <c r="E30" s="220">
        <v>44958462.089900002</v>
      </c>
      <c r="F30" s="220">
        <v>46782955.000100002</v>
      </c>
    </row>
    <row r="31" spans="1:6">
      <c r="A31" s="219" t="s">
        <v>562</v>
      </c>
      <c r="B31" s="220">
        <v>568821.72620000003</v>
      </c>
      <c r="C31" s="220">
        <v>290170.78700000001</v>
      </c>
      <c r="D31" s="220">
        <v>548896.01509999996</v>
      </c>
      <c r="E31" s="220">
        <v>604300.76240000001</v>
      </c>
      <c r="F31" s="220">
        <v>655349.61959999998</v>
      </c>
    </row>
    <row r="32" spans="1:6">
      <c r="A32" s="219" t="s">
        <v>563</v>
      </c>
      <c r="B32" s="220">
        <v>194726.5913</v>
      </c>
      <c r="C32" s="220">
        <v>89857.777300000002</v>
      </c>
      <c r="D32" s="220">
        <v>232787.19899999999</v>
      </c>
      <c r="E32" s="220">
        <v>336902.58799999999</v>
      </c>
      <c r="F32" s="220">
        <v>388804.49609999999</v>
      </c>
    </row>
    <row r="33" spans="1:6">
      <c r="A33" s="219" t="s">
        <v>564</v>
      </c>
      <c r="B33" s="220">
        <v>6279.2731999999996</v>
      </c>
      <c r="C33" s="220">
        <v>12357.6397</v>
      </c>
      <c r="D33" s="220">
        <v>16661.726500000001</v>
      </c>
      <c r="E33" s="220">
        <v>20717.848600000001</v>
      </c>
      <c r="F33" s="220">
        <v>11074.860199999999</v>
      </c>
    </row>
    <row r="34" spans="1:6">
      <c r="A34" s="219" t="s">
        <v>565</v>
      </c>
      <c r="B34" s="220">
        <v>183251.701</v>
      </c>
      <c r="C34" s="220">
        <v>262852.75799999997</v>
      </c>
      <c r="D34" s="220">
        <v>286072.6237</v>
      </c>
      <c r="E34" s="220">
        <v>297440.76429999998</v>
      </c>
      <c r="F34" s="220">
        <v>255277.00779999999</v>
      </c>
    </row>
    <row r="35" spans="1:6">
      <c r="A35" s="219" t="s">
        <v>566</v>
      </c>
      <c r="B35" s="220">
        <v>7806088.9095999999</v>
      </c>
      <c r="C35" s="220">
        <v>1634434.6429000001</v>
      </c>
      <c r="D35" s="220">
        <v>1469125.9601</v>
      </c>
      <c r="E35" s="220">
        <v>1243564.3769</v>
      </c>
      <c r="F35" s="220">
        <v>3050629.9388000001</v>
      </c>
    </row>
    <row r="36" spans="1:6">
      <c r="A36" s="219" t="s">
        <v>567</v>
      </c>
      <c r="B36" s="220">
        <v>26513.528300000002</v>
      </c>
      <c r="C36" s="220">
        <v>15449.9714</v>
      </c>
      <c r="D36" s="220">
        <v>40308.851900000001</v>
      </c>
      <c r="E36" s="220">
        <v>617924.6237</v>
      </c>
      <c r="F36" s="220">
        <v>681600.87650000001</v>
      </c>
    </row>
    <row r="37" spans="1:6">
      <c r="A37" s="219" t="s">
        <v>568</v>
      </c>
      <c r="B37" s="220">
        <v>7779575.3812999995</v>
      </c>
      <c r="C37" s="220">
        <v>1618984.6714999999</v>
      </c>
      <c r="D37" s="220">
        <v>1428817.1081999999</v>
      </c>
      <c r="E37" s="220">
        <v>625639.75320000004</v>
      </c>
      <c r="F37" s="220">
        <v>2369029.0622999999</v>
      </c>
    </row>
    <row r="38" spans="1:6">
      <c r="A38" s="219" t="s">
        <v>569</v>
      </c>
      <c r="B38" s="220">
        <v>9607.1618999999992</v>
      </c>
      <c r="C38" s="220">
        <v>14454.0154</v>
      </c>
      <c r="D38" s="220">
        <v>1854.0099</v>
      </c>
      <c r="E38" s="220">
        <v>181208.84020000001</v>
      </c>
      <c r="F38" s="220">
        <v>162701.77350000001</v>
      </c>
    </row>
    <row r="39" spans="1:6">
      <c r="A39" s="219" t="s">
        <v>560</v>
      </c>
      <c r="B39" s="220">
        <v>574051.54949999996</v>
      </c>
      <c r="C39" s="220">
        <v>2300528.094</v>
      </c>
      <c r="D39" s="220">
        <v>2554104.2006999999</v>
      </c>
      <c r="E39" s="220">
        <v>1801326.4504</v>
      </c>
      <c r="F39" s="220">
        <v>1026500.1732</v>
      </c>
    </row>
    <row r="40" spans="1:6">
      <c r="A40" s="219" t="s">
        <v>570</v>
      </c>
      <c r="B40" s="220">
        <v>555651</v>
      </c>
      <c r="C40" s="220">
        <v>1617809.7908000001</v>
      </c>
      <c r="D40" s="220">
        <v>1073407.2671999999</v>
      </c>
      <c r="E40" s="220">
        <v>2272661.5575000001</v>
      </c>
      <c r="F40" s="220">
        <v>1162436</v>
      </c>
    </row>
    <row r="41" spans="1:6">
      <c r="A41" s="219" t="s">
        <v>571</v>
      </c>
      <c r="B41" s="220">
        <v>23910302.9124</v>
      </c>
      <c r="C41" s="220">
        <v>50063001.888499998</v>
      </c>
      <c r="D41" s="220">
        <v>51445484.092799999</v>
      </c>
      <c r="E41" s="220">
        <v>51046669.286200002</v>
      </c>
      <c r="F41" s="220">
        <v>52772426.652099997</v>
      </c>
    </row>
    <row r="42" spans="1:6" ht="15.6">
      <c r="A42" s="223" t="s">
        <v>6</v>
      </c>
      <c r="B42" s="222"/>
      <c r="C42" s="222"/>
      <c r="D42" s="222"/>
      <c r="E42" s="222"/>
      <c r="F42" s="222"/>
    </row>
    <row r="43" spans="1:6">
      <c r="A43" s="219" t="s">
        <v>6</v>
      </c>
      <c r="B43" s="220">
        <v>33510182.990800001</v>
      </c>
      <c r="C43" s="220">
        <v>70964412.077500001</v>
      </c>
      <c r="D43" s="220">
        <v>61553022.707800001</v>
      </c>
      <c r="E43" s="220">
        <v>59399327.567199998</v>
      </c>
      <c r="F43" s="220">
        <v>62613651.467799999</v>
      </c>
    </row>
    <row r="44" spans="1:6" ht="15.6">
      <c r="A44" s="223" t="s">
        <v>572</v>
      </c>
      <c r="B44" s="222"/>
      <c r="C44" s="222"/>
      <c r="D44" s="222"/>
      <c r="E44" s="222"/>
      <c r="F44" s="222"/>
    </row>
    <row r="45" spans="1:6">
      <c r="A45" s="219" t="s">
        <v>573</v>
      </c>
      <c r="B45" s="220">
        <v>807723.44940000004</v>
      </c>
      <c r="C45" s="220">
        <v>9704914.5669</v>
      </c>
      <c r="D45" s="220">
        <v>6164659.3589000003</v>
      </c>
      <c r="E45" s="220">
        <v>2537710.5131000001</v>
      </c>
      <c r="F45" s="220">
        <v>2275373.9577000001</v>
      </c>
    </row>
    <row r="46" spans="1:6">
      <c r="A46" s="219" t="s">
        <v>574</v>
      </c>
      <c r="B46" s="220">
        <v>3120476.9775999999</v>
      </c>
      <c r="C46" s="220">
        <v>8767853.4663999993</v>
      </c>
      <c r="D46" s="220">
        <v>4133752.3029</v>
      </c>
      <c r="E46" s="220">
        <v>4222746.6505000005</v>
      </c>
      <c r="F46" s="220">
        <v>4131928.2392000002</v>
      </c>
    </row>
    <row r="47" spans="1:6">
      <c r="A47" s="219" t="s">
        <v>575</v>
      </c>
      <c r="B47" s="220">
        <v>619927.2659</v>
      </c>
      <c r="C47" s="220">
        <v>559154.93929999997</v>
      </c>
      <c r="D47" s="220">
        <v>516120.97899999999</v>
      </c>
      <c r="E47" s="220">
        <v>605886.19380000001</v>
      </c>
      <c r="F47" s="220">
        <v>542003.50289999996</v>
      </c>
    </row>
    <row r="48" spans="1:6">
      <c r="A48" s="219" t="s">
        <v>576</v>
      </c>
      <c r="B48" s="220">
        <v>1342600</v>
      </c>
      <c r="C48" s="220">
        <v>118838.7001</v>
      </c>
      <c r="D48" s="220">
        <v>106150.09699999999</v>
      </c>
      <c r="E48" s="220">
        <v>105670.6948</v>
      </c>
      <c r="F48" s="220">
        <v>206493</v>
      </c>
    </row>
    <row r="49" spans="1:6">
      <c r="A49" s="219" t="s">
        <v>577</v>
      </c>
      <c r="B49" s="220">
        <v>375322.78869999998</v>
      </c>
      <c r="C49" s="220">
        <v>10819007.813899999</v>
      </c>
      <c r="D49" s="220">
        <v>6157550.5728000002</v>
      </c>
      <c r="E49" s="220">
        <v>3496968.3829999999</v>
      </c>
      <c r="F49" s="220">
        <v>2133907.2755999998</v>
      </c>
    </row>
    <row r="50" spans="1:6">
      <c r="A50" s="219" t="s">
        <v>578</v>
      </c>
      <c r="B50" s="220">
        <v>4283.4871999999996</v>
      </c>
      <c r="C50" s="220">
        <v>61284.811300000001</v>
      </c>
      <c r="D50" s="220">
        <v>144371.82769999999</v>
      </c>
      <c r="E50" s="220">
        <v>27181.393400000001</v>
      </c>
      <c r="F50" s="220">
        <v>16922.918600000001</v>
      </c>
    </row>
    <row r="51" spans="1:6">
      <c r="A51" s="219" t="s">
        <v>579</v>
      </c>
      <c r="B51" s="220">
        <v>2625063.9394999999</v>
      </c>
      <c r="C51" s="220">
        <v>1024344.9337000001</v>
      </c>
      <c r="D51" s="220">
        <v>811353.72369999997</v>
      </c>
      <c r="E51" s="220">
        <v>680530.09409999999</v>
      </c>
      <c r="F51" s="220">
        <v>714833.11109999998</v>
      </c>
    </row>
    <row r="52" spans="1:6">
      <c r="A52" s="219" t="s">
        <v>580</v>
      </c>
      <c r="B52" s="220">
        <v>3396.7591000000002</v>
      </c>
      <c r="C52" s="220">
        <v>130453.4571</v>
      </c>
      <c r="D52" s="220">
        <v>264385.05349999998</v>
      </c>
      <c r="E52" s="220">
        <v>12779.8873</v>
      </c>
      <c r="F52" s="220">
        <v>844100.49509999994</v>
      </c>
    </row>
    <row r="53" spans="1:6">
      <c r="A53" s="219" t="s">
        <v>581</v>
      </c>
      <c r="B53" s="220">
        <v>8898794.6671999991</v>
      </c>
      <c r="C53" s="220">
        <v>31188949.689100001</v>
      </c>
      <c r="D53" s="220">
        <v>18298343.914999999</v>
      </c>
      <c r="E53" s="220">
        <v>11716622.037599999</v>
      </c>
      <c r="F53" s="220">
        <v>10861562.4998</v>
      </c>
    </row>
    <row r="54" spans="1:6" ht="15.6">
      <c r="A54" s="223" t="s">
        <v>582</v>
      </c>
      <c r="B54" s="222"/>
      <c r="C54" s="222"/>
      <c r="D54" s="222"/>
      <c r="E54" s="222"/>
      <c r="F54" s="222"/>
    </row>
    <row r="55" spans="1:6">
      <c r="A55" s="219" t="s">
        <v>583</v>
      </c>
      <c r="B55" s="220">
        <v>1125291.7878</v>
      </c>
      <c r="C55" s="220">
        <v>10240183.0162</v>
      </c>
      <c r="D55" s="220">
        <v>12912420.7491</v>
      </c>
      <c r="E55" s="220">
        <v>14235636.096899999</v>
      </c>
      <c r="F55" s="220">
        <v>12042347.960999999</v>
      </c>
    </row>
    <row r="56" spans="1:6">
      <c r="A56" s="219" t="s">
        <v>584</v>
      </c>
      <c r="B56" s="220">
        <v>126200</v>
      </c>
      <c r="C56" s="220">
        <v>152475</v>
      </c>
      <c r="D56" s="220">
        <v>161993</v>
      </c>
      <c r="E56" s="220">
        <v>158779</v>
      </c>
      <c r="F56" s="220">
        <v>158675</v>
      </c>
    </row>
    <row r="57" spans="1:6">
      <c r="A57" s="219" t="s">
        <v>585</v>
      </c>
      <c r="B57" s="220">
        <v>2837458.1343999999</v>
      </c>
      <c r="C57" s="220">
        <v>10005608.849199999</v>
      </c>
      <c r="D57" s="220">
        <v>12561535.0374</v>
      </c>
      <c r="E57" s="220">
        <v>10898319.6589</v>
      </c>
      <c r="F57" s="220">
        <v>7255982.6644000001</v>
      </c>
    </row>
    <row r="58" spans="1:6">
      <c r="A58" s="219" t="s">
        <v>586</v>
      </c>
      <c r="B58" s="220">
        <v>336434.04269999999</v>
      </c>
      <c r="C58" s="220">
        <v>488815.49579999998</v>
      </c>
      <c r="D58" s="220">
        <v>562939.92110000004</v>
      </c>
      <c r="E58" s="220">
        <v>532930.16870000004</v>
      </c>
      <c r="F58" s="220">
        <v>1492443.6846</v>
      </c>
    </row>
    <row r="59" spans="1:6">
      <c r="A59" s="219" t="s">
        <v>587</v>
      </c>
      <c r="B59" s="220">
        <v>169366.75520000001</v>
      </c>
      <c r="C59" s="220">
        <v>170409.42199999999</v>
      </c>
      <c r="D59" s="220">
        <v>168053.6686</v>
      </c>
      <c r="E59" s="220">
        <v>210135.47719999999</v>
      </c>
      <c r="F59" s="220">
        <v>98149.078500000003</v>
      </c>
    </row>
    <row r="60" spans="1:6">
      <c r="A60" s="219" t="s">
        <v>588</v>
      </c>
      <c r="B60" s="220">
        <v>1411.6142</v>
      </c>
      <c r="C60" s="220">
        <v>3288.6336000000001</v>
      </c>
      <c r="D60" s="220">
        <v>4617.6797999999999</v>
      </c>
      <c r="E60" s="220">
        <v>6032.5487000000003</v>
      </c>
      <c r="F60" s="220">
        <v>5274.8537999999999</v>
      </c>
    </row>
    <row r="61" spans="1:6">
      <c r="A61" s="219" t="s">
        <v>582</v>
      </c>
      <c r="B61" s="220">
        <v>4600773.6081999997</v>
      </c>
      <c r="C61" s="220">
        <v>21064877.8539</v>
      </c>
      <c r="D61" s="220">
        <v>26371560.0559</v>
      </c>
      <c r="E61" s="220">
        <v>26052842.729400001</v>
      </c>
      <c r="F61" s="220">
        <v>21054873.242199998</v>
      </c>
    </row>
    <row r="62" spans="1:6" ht="15.6">
      <c r="A62" s="223" t="s">
        <v>148</v>
      </c>
      <c r="B62" s="222"/>
      <c r="C62" s="222"/>
      <c r="D62" s="222"/>
      <c r="E62" s="222"/>
      <c r="F62" s="222"/>
    </row>
    <row r="63" spans="1:6">
      <c r="A63" s="219" t="s">
        <v>148</v>
      </c>
      <c r="B63" s="220">
        <v>13499807.3641</v>
      </c>
      <c r="C63" s="220">
        <v>52254066.796700001</v>
      </c>
      <c r="D63" s="220">
        <v>44672917.730700001</v>
      </c>
      <c r="E63" s="220">
        <v>37773682.686300002</v>
      </c>
      <c r="F63" s="220">
        <v>31919847.877799999</v>
      </c>
    </row>
    <row r="64" spans="1:6" ht="15.6">
      <c r="A64" s="223" t="s">
        <v>141</v>
      </c>
      <c r="B64" s="222"/>
      <c r="C64" s="222"/>
      <c r="D64" s="222"/>
      <c r="E64" s="222"/>
      <c r="F64" s="222"/>
    </row>
    <row r="65" spans="1:8">
      <c r="A65" s="219" t="s">
        <v>589</v>
      </c>
      <c r="B65" s="220">
        <v>2287413.0060999999</v>
      </c>
      <c r="C65" s="220">
        <v>10052512.754699999</v>
      </c>
      <c r="D65" s="220">
        <v>10359991.820599999</v>
      </c>
      <c r="E65" s="220">
        <v>9267156.6875</v>
      </c>
      <c r="F65" s="220">
        <v>8702179.6989999991</v>
      </c>
    </row>
    <row r="66" spans="1:8">
      <c r="A66" s="219" t="s">
        <v>590</v>
      </c>
      <c r="B66" s="220">
        <v>3945074.4613000001</v>
      </c>
      <c r="C66" s="220">
        <v>5341267.4549000002</v>
      </c>
      <c r="D66" s="220">
        <v>5932777.6224999996</v>
      </c>
      <c r="E66" s="220">
        <v>12472513.9757</v>
      </c>
      <c r="F66" s="220">
        <v>13112190.210100001</v>
      </c>
    </row>
    <row r="67" spans="1:8">
      <c r="A67" s="219" t="s">
        <v>591</v>
      </c>
      <c r="B67" s="220">
        <v>155177.0613</v>
      </c>
      <c r="C67" s="221">
        <v>-192585.47949999999</v>
      </c>
      <c r="D67" s="221">
        <v>-215904.37530000001</v>
      </c>
      <c r="E67" s="221">
        <v>-25500.3946</v>
      </c>
      <c r="F67" s="221">
        <v>-241132.8645</v>
      </c>
    </row>
    <row r="68" spans="1:8">
      <c r="A68" s="219" t="s">
        <v>592</v>
      </c>
      <c r="B68" s="220">
        <v>12804757.024800001</v>
      </c>
      <c r="C68" s="220">
        <v>2944733.486</v>
      </c>
      <c r="D68" s="220">
        <v>51507.892599999999</v>
      </c>
      <c r="E68" s="221">
        <v>-779033.34120000002</v>
      </c>
      <c r="F68" s="220">
        <v>8161356.7714</v>
      </c>
    </row>
    <row r="69" spans="1:8">
      <c r="A69" s="219" t="s">
        <v>593</v>
      </c>
      <c r="B69" s="220">
        <v>3912.2022999999999</v>
      </c>
      <c r="C69" s="220">
        <v>2822.0145000000002</v>
      </c>
      <c r="D69" s="220">
        <v>4123.7876999999999</v>
      </c>
      <c r="E69" s="220">
        <v>5333.826</v>
      </c>
      <c r="F69" s="220">
        <v>5457.357</v>
      </c>
    </row>
    <row r="70" spans="1:8">
      <c r="A70" s="219" t="s">
        <v>594</v>
      </c>
      <c r="B70" s="220">
        <v>300769.21260000003</v>
      </c>
      <c r="C70" s="220">
        <v>100252.5383</v>
      </c>
      <c r="D70" s="220">
        <v>338505.28330000001</v>
      </c>
      <c r="E70" s="220">
        <v>287848.3959</v>
      </c>
      <c r="F70" s="220">
        <v>170560.63810000001</v>
      </c>
    </row>
    <row r="71" spans="1:8">
      <c r="A71" s="219" t="s">
        <v>595</v>
      </c>
      <c r="B71" s="220">
        <v>511559</v>
      </c>
      <c r="C71" s="220">
        <v>456568</v>
      </c>
      <c r="D71" s="220">
        <v>407242</v>
      </c>
      <c r="E71" s="220">
        <v>398659</v>
      </c>
      <c r="F71" s="220">
        <v>374177</v>
      </c>
    </row>
    <row r="72" spans="1:8">
      <c r="A72" s="219" t="s">
        <v>596</v>
      </c>
      <c r="B72" s="220">
        <v>20007991.140999999</v>
      </c>
      <c r="C72" s="220">
        <v>18705671.7502</v>
      </c>
      <c r="D72" s="220">
        <v>16875475.0414</v>
      </c>
      <c r="E72" s="220">
        <v>21623019.811700001</v>
      </c>
      <c r="F72" s="220">
        <v>30689679.559300002</v>
      </c>
    </row>
    <row r="73" spans="1:8" ht="15.6">
      <c r="A73" s="223" t="s">
        <v>597</v>
      </c>
      <c r="B73" s="222"/>
      <c r="C73" s="222"/>
      <c r="D73" s="222"/>
      <c r="E73" s="222"/>
      <c r="F73" s="222"/>
    </row>
    <row r="74" spans="1:8">
      <c r="A74" s="219" t="s">
        <v>598</v>
      </c>
      <c r="B74" s="220">
        <v>33510182.990800001</v>
      </c>
      <c r="C74" s="220">
        <v>70964412.077500001</v>
      </c>
      <c r="D74" s="220">
        <v>61553022.707800001</v>
      </c>
      <c r="E74" s="220">
        <v>59399327.467200004</v>
      </c>
      <c r="F74" s="220">
        <v>62613651.467799999</v>
      </c>
    </row>
    <row r="78" spans="1:8" ht="15.6">
      <c r="A78" s="223" t="s">
        <v>601</v>
      </c>
      <c r="B78" s="222"/>
      <c r="C78" s="222"/>
      <c r="D78" s="222"/>
      <c r="E78" s="222"/>
      <c r="F78" s="222"/>
    </row>
    <row r="79" spans="1:8">
      <c r="A79" s="219" t="s">
        <v>602</v>
      </c>
      <c r="B79" s="220">
        <v>24574762.503699999</v>
      </c>
      <c r="C79" s="220">
        <v>37365385.653300002</v>
      </c>
      <c r="D79" s="220">
        <v>34185962.187100001</v>
      </c>
      <c r="E79" s="220">
        <v>31535825.1446</v>
      </c>
      <c r="F79" s="220">
        <v>25991167.388999999</v>
      </c>
      <c r="H79" s="231">
        <f>F79-F80-F84-F101</f>
        <v>2044570.8549999974</v>
      </c>
    </row>
    <row r="80" spans="1:8">
      <c r="A80" s="219" t="s">
        <v>603</v>
      </c>
      <c r="B80" s="220">
        <v>12942363.278200001</v>
      </c>
      <c r="C80" s="220">
        <v>35039985.622299999</v>
      </c>
      <c r="D80" s="220">
        <v>33845739.870899998</v>
      </c>
      <c r="E80" s="220">
        <v>36415832.449000001</v>
      </c>
      <c r="F80" s="220">
        <v>21132141.903900001</v>
      </c>
    </row>
    <row r="81" spans="1:6">
      <c r="A81" s="219" t="s">
        <v>604</v>
      </c>
      <c r="B81" s="221">
        <v>-2.0000000000000001E-4</v>
      </c>
      <c r="C81" s="221">
        <v>-1E-4</v>
      </c>
      <c r="D81" s="221">
        <v>-1E-4</v>
      </c>
      <c r="E81" s="221">
        <v>-4.0000000000000002E-4</v>
      </c>
      <c r="F81" s="220">
        <v>31480</v>
      </c>
    </row>
    <row r="82" spans="1:6">
      <c r="A82" s="219" t="s">
        <v>269</v>
      </c>
      <c r="B82" s="220">
        <v>11632399.2257</v>
      </c>
      <c r="C82" s="220">
        <v>2325400.0310999998</v>
      </c>
      <c r="D82" s="220">
        <v>340222.31630000001</v>
      </c>
      <c r="E82" s="221">
        <v>-4880007.3039999995</v>
      </c>
      <c r="F82" s="220">
        <v>4827545.4851000002</v>
      </c>
    </row>
    <row r="83" spans="1:6">
      <c r="A83" s="219" t="s">
        <v>158</v>
      </c>
      <c r="B83" s="220">
        <v>1756218.1311000001</v>
      </c>
      <c r="C83" s="220">
        <v>4098091.4811999998</v>
      </c>
      <c r="D83" s="220">
        <v>4213414.1284999996</v>
      </c>
      <c r="E83" s="220">
        <v>11757334.241800001</v>
      </c>
      <c r="F83" s="220">
        <v>3175086.1455999999</v>
      </c>
    </row>
    <row r="84" spans="1:6">
      <c r="A84" s="219" t="s">
        <v>157</v>
      </c>
      <c r="B84" s="220">
        <v>438679.68310000002</v>
      </c>
      <c r="C84" s="220">
        <v>1196631.3921999999</v>
      </c>
      <c r="D84" s="220">
        <v>1217531.2105</v>
      </c>
      <c r="E84" s="220">
        <v>1078471.3552999999</v>
      </c>
      <c r="F84" s="220">
        <v>908429.79330000002</v>
      </c>
    </row>
    <row r="85" spans="1:6">
      <c r="A85" s="219" t="s">
        <v>605</v>
      </c>
      <c r="B85" s="221">
        <v>-102009.7467</v>
      </c>
      <c r="C85" s="220">
        <v>4651973.1464</v>
      </c>
      <c r="D85" s="220">
        <v>740377.25230000005</v>
      </c>
      <c r="E85" s="221">
        <v>-628104.92299999995</v>
      </c>
      <c r="F85" s="220">
        <v>107335.6817</v>
      </c>
    </row>
    <row r="86" spans="1:6">
      <c r="A86" s="219" t="s">
        <v>601</v>
      </c>
      <c r="B86" s="220">
        <v>9733893.9586999994</v>
      </c>
      <c r="C86" s="220">
        <v>3740290.5986000001</v>
      </c>
      <c r="D86" s="221">
        <v>-2692555.6190999998</v>
      </c>
      <c r="E86" s="221">
        <v>-8236398.2416000003</v>
      </c>
      <c r="F86" s="220">
        <v>2607063.0902999998</v>
      </c>
    </row>
    <row r="87" spans="1:6" ht="15.6">
      <c r="A87" s="223" t="s">
        <v>606</v>
      </c>
      <c r="B87" s="222"/>
      <c r="C87" s="222"/>
      <c r="D87" s="222"/>
      <c r="E87" s="222"/>
      <c r="F87" s="222"/>
    </row>
    <row r="88" spans="1:6">
      <c r="A88" s="219" t="s">
        <v>607</v>
      </c>
      <c r="B88" s="220">
        <v>248845.5857</v>
      </c>
      <c r="C88" s="220">
        <v>27202.421699999999</v>
      </c>
      <c r="D88" s="220">
        <v>34694.525600000001</v>
      </c>
      <c r="E88" s="220">
        <v>73753.6774</v>
      </c>
      <c r="F88" s="220">
        <v>98336.399300000005</v>
      </c>
    </row>
    <row r="89" spans="1:6">
      <c r="A89" s="219" t="s">
        <v>608</v>
      </c>
      <c r="B89" s="220">
        <v>19718.646000000001</v>
      </c>
      <c r="C89" s="220">
        <v>2128.0655000000002</v>
      </c>
      <c r="D89" s="220">
        <v>5627.8073000000004</v>
      </c>
      <c r="E89" s="220">
        <v>11261.1152</v>
      </c>
      <c r="F89" s="220">
        <v>10268.981299999999</v>
      </c>
    </row>
    <row r="90" spans="1:6">
      <c r="A90" s="219" t="s">
        <v>609</v>
      </c>
      <c r="B90" s="220">
        <v>1886.3440000000001</v>
      </c>
      <c r="C90" s="220">
        <v>737.33989999999994</v>
      </c>
      <c r="D90" s="220">
        <v>3015.4403000000002</v>
      </c>
      <c r="E90" s="220">
        <v>5341.3791000000001</v>
      </c>
      <c r="F90" s="220">
        <v>5620.1873999999998</v>
      </c>
    </row>
    <row r="91" spans="1:6">
      <c r="A91" s="219" t="s">
        <v>610</v>
      </c>
      <c r="B91" s="220">
        <v>194348.7836</v>
      </c>
      <c r="C91" s="220">
        <v>961201.94149999996</v>
      </c>
      <c r="D91" s="220">
        <v>1366344.2838999999</v>
      </c>
      <c r="E91" s="220">
        <v>666759.55070000002</v>
      </c>
      <c r="F91" s="220">
        <v>366299.24400000001</v>
      </c>
    </row>
    <row r="92" spans="1:6">
      <c r="A92" s="219" t="s">
        <v>611</v>
      </c>
      <c r="B92" s="220">
        <v>15889.5568</v>
      </c>
      <c r="C92" s="220">
        <v>6209.55</v>
      </c>
      <c r="D92" s="220">
        <v>7330.2746999999999</v>
      </c>
      <c r="E92" s="220">
        <v>12391.9401</v>
      </c>
      <c r="F92" s="220">
        <v>13657.6083</v>
      </c>
    </row>
    <row r="93" spans="1:6">
      <c r="A93" s="219" t="s">
        <v>609</v>
      </c>
      <c r="B93" s="220">
        <v>19738.824400000001</v>
      </c>
      <c r="C93" s="220">
        <v>10457.668</v>
      </c>
      <c r="D93" s="220">
        <v>18437.030999999999</v>
      </c>
      <c r="E93" s="220">
        <v>21703.7444</v>
      </c>
      <c r="F93" s="220">
        <v>17595.3465</v>
      </c>
    </row>
    <row r="94" spans="1:6">
      <c r="A94" s="219" t="s">
        <v>612</v>
      </c>
      <c r="B94" s="220">
        <v>9788518.8041999992</v>
      </c>
      <c r="C94" s="220">
        <v>2753931.3206000002</v>
      </c>
      <c r="D94" s="221">
        <v>-4154076.0342999999</v>
      </c>
      <c r="E94" s="221">
        <v>-8828295.3823000006</v>
      </c>
      <c r="F94" s="220">
        <v>2338930.9682999998</v>
      </c>
    </row>
    <row r="95" spans="1:6" ht="15.6">
      <c r="A95" s="223" t="s">
        <v>613</v>
      </c>
      <c r="B95" s="222"/>
      <c r="C95" s="222"/>
      <c r="D95" s="222"/>
      <c r="E95" s="222"/>
      <c r="F95" s="222"/>
    </row>
    <row r="96" spans="1:6">
      <c r="A96" s="219" t="s">
        <v>3</v>
      </c>
      <c r="B96" s="220">
        <v>1815762.7408</v>
      </c>
      <c r="C96" s="220">
        <v>365473.55550000002</v>
      </c>
      <c r="D96" s="221">
        <v>-178068.2726</v>
      </c>
      <c r="E96" s="221">
        <v>-1325735.7276999999</v>
      </c>
      <c r="F96" s="220">
        <v>640944.27119999996</v>
      </c>
    </row>
    <row r="97" spans="1:6">
      <c r="A97" s="219" t="s">
        <v>614</v>
      </c>
      <c r="B97" s="220">
        <v>0</v>
      </c>
      <c r="C97" s="220">
        <v>0</v>
      </c>
      <c r="D97" s="220">
        <v>0</v>
      </c>
      <c r="E97" s="220">
        <v>0</v>
      </c>
      <c r="F97" s="221">
        <v>-126</v>
      </c>
    </row>
    <row r="98" spans="1:6" ht="15.6">
      <c r="A98" s="223" t="s">
        <v>4</v>
      </c>
      <c r="B98" s="222"/>
      <c r="C98" s="222"/>
      <c r="D98" s="222"/>
      <c r="E98" s="222"/>
      <c r="F98" s="222"/>
    </row>
    <row r="99" spans="1:6">
      <c r="A99" s="219" t="s">
        <v>4</v>
      </c>
      <c r="B99" s="220">
        <v>7924984.2170000002</v>
      </c>
      <c r="C99" s="220">
        <v>2379898.9514000001</v>
      </c>
      <c r="D99" s="221">
        <v>-4016438.6592000001</v>
      </c>
      <c r="E99" s="221">
        <v>-7533869.5555999996</v>
      </c>
      <c r="F99" s="220">
        <v>1658723.8946</v>
      </c>
    </row>
    <row r="100" spans="1:6" ht="15.6">
      <c r="A100" s="223" t="s">
        <v>604</v>
      </c>
      <c r="B100" s="222"/>
      <c r="C100" s="222"/>
      <c r="D100" s="222"/>
      <c r="E100" s="222"/>
      <c r="F100" s="222"/>
    </row>
    <row r="101" spans="1:6">
      <c r="A101" s="219" t="s">
        <v>615</v>
      </c>
      <c r="B101" s="220">
        <v>472818.67219999997</v>
      </c>
      <c r="C101" s="220">
        <v>2687844.9068</v>
      </c>
      <c r="D101" s="220">
        <v>2999872.1461999998</v>
      </c>
      <c r="E101" s="220">
        <v>10145719.152799999</v>
      </c>
      <c r="F101" s="220">
        <v>1906024.8367999999</v>
      </c>
    </row>
    <row r="108" spans="1:6" ht="18">
      <c r="A108" s="217" t="s">
        <v>622</v>
      </c>
    </row>
    <row r="110" spans="1:6">
      <c r="A110" s="218" t="s">
        <v>547</v>
      </c>
    </row>
    <row r="112" spans="1:6" ht="15.6">
      <c r="A112" s="222" t="s">
        <v>548</v>
      </c>
      <c r="B112" s="222">
        <v>2022</v>
      </c>
      <c r="C112" s="222">
        <v>2021</v>
      </c>
      <c r="D112" s="222">
        <v>2020</v>
      </c>
      <c r="E112" s="222">
        <v>2019</v>
      </c>
      <c r="F112" s="222">
        <v>2018</v>
      </c>
    </row>
    <row r="113" spans="1:6">
      <c r="A113" s="218" t="s">
        <v>549</v>
      </c>
      <c r="B113">
        <v>42</v>
      </c>
      <c r="C113">
        <v>47</v>
      </c>
      <c r="D113">
        <v>54</v>
      </c>
      <c r="E113">
        <v>55</v>
      </c>
      <c r="F113">
        <v>67</v>
      </c>
    </row>
    <row r="115" spans="1:6" ht="15.6">
      <c r="A115" s="222"/>
      <c r="B115" s="222">
        <v>2022</v>
      </c>
      <c r="C115" s="222">
        <v>2021</v>
      </c>
      <c r="D115" s="222">
        <v>2020</v>
      </c>
      <c r="E115" s="222">
        <v>2019</v>
      </c>
      <c r="F115" s="222">
        <v>2018</v>
      </c>
    </row>
    <row r="117" spans="1:6" ht="15.6">
      <c r="A117" s="223" t="s">
        <v>623</v>
      </c>
      <c r="B117" s="222"/>
      <c r="C117" s="222"/>
      <c r="D117" s="222"/>
      <c r="E117" s="222"/>
      <c r="F117" s="222"/>
    </row>
    <row r="118" spans="1:6">
      <c r="A118" s="219" t="s">
        <v>602</v>
      </c>
      <c r="B118" s="220">
        <v>24574762.503699999</v>
      </c>
      <c r="C118" s="220">
        <v>37365385.653300002</v>
      </c>
      <c r="D118" s="220">
        <v>34185962.187100001</v>
      </c>
      <c r="E118" s="220">
        <v>31535825.1446</v>
      </c>
      <c r="F118" s="220">
        <v>25991167.388999999</v>
      </c>
    </row>
    <row r="119" spans="1:6">
      <c r="A119" s="219" t="s">
        <v>624</v>
      </c>
      <c r="B119" s="220">
        <v>33510182.990800001</v>
      </c>
      <c r="C119" s="220">
        <v>70964412.077500001</v>
      </c>
      <c r="D119" s="220">
        <v>61553022.707800001</v>
      </c>
      <c r="E119" s="220">
        <v>59399327.567199998</v>
      </c>
      <c r="F119" s="220">
        <v>62613651.467799999</v>
      </c>
    </row>
    <row r="120" spans="1:6">
      <c r="A120" s="219" t="s">
        <v>625</v>
      </c>
      <c r="B120" s="220">
        <v>7924984.2170000002</v>
      </c>
      <c r="C120" s="220">
        <v>2379898.9514000001</v>
      </c>
      <c r="D120" s="221">
        <v>-4016438.6592000001</v>
      </c>
      <c r="E120" s="221">
        <v>-7533869.5555999996</v>
      </c>
      <c r="F120" s="220">
        <v>1658723.8946</v>
      </c>
    </row>
    <row r="121" spans="1:6">
      <c r="A121" s="219" t="s">
        <v>626</v>
      </c>
      <c r="B121" s="220">
        <v>20007991.140999999</v>
      </c>
      <c r="C121" s="220">
        <v>18705671.7502</v>
      </c>
      <c r="D121" s="220">
        <v>16875475.0414</v>
      </c>
      <c r="E121" s="220">
        <v>21623019.811700001</v>
      </c>
      <c r="F121" s="220">
        <v>30689679.559300002</v>
      </c>
    </row>
    <row r="122" spans="1:6" ht="15.6">
      <c r="A122" s="223" t="s">
        <v>627</v>
      </c>
      <c r="B122" s="222"/>
      <c r="C122" s="222"/>
      <c r="D122" s="222"/>
      <c r="E122" s="222"/>
      <c r="F122" s="222"/>
    </row>
    <row r="123" spans="1:6">
      <c r="A123" s="219" t="s">
        <v>628</v>
      </c>
      <c r="B123" s="221">
        <v>-0.34231200000000001</v>
      </c>
      <c r="C123" s="220">
        <v>9.3004000000000003E-2</v>
      </c>
      <c r="D123" s="220">
        <v>8.4036000000000013E-2</v>
      </c>
      <c r="E123" s="220">
        <v>0.21332899999999999</v>
      </c>
      <c r="F123" s="220">
        <v>11.305147</v>
      </c>
    </row>
    <row r="124" spans="1:6">
      <c r="A124" s="219" t="s">
        <v>629</v>
      </c>
      <c r="B124" s="221">
        <v>-0.52778900000000006</v>
      </c>
      <c r="C124" s="220">
        <v>0.15289900000000001</v>
      </c>
      <c r="D124" s="220">
        <v>3.6257999999999999E-2</v>
      </c>
      <c r="E124" s="221">
        <v>-5.1334999999999999E-2</v>
      </c>
      <c r="F124" s="220">
        <v>24.823808</v>
      </c>
    </row>
    <row r="125" spans="1:6">
      <c r="A125" s="219" t="s">
        <v>630</v>
      </c>
      <c r="B125" s="220">
        <v>2.3299669999999999</v>
      </c>
      <c r="C125" s="220">
        <v>1.5925399999999998</v>
      </c>
      <c r="D125" s="220">
        <v>0.46688200000000002</v>
      </c>
      <c r="E125" s="221">
        <v>-5.541563</v>
      </c>
      <c r="F125" s="220">
        <v>46.671677000000003</v>
      </c>
    </row>
    <row r="126" spans="1:6">
      <c r="A126" s="219" t="s">
        <v>631</v>
      </c>
      <c r="B126" s="220">
        <v>6.9622000000000003E-2</v>
      </c>
      <c r="C126" s="220">
        <v>0.10845300000000001</v>
      </c>
      <c r="D126" s="221">
        <v>-0.21956000000000001</v>
      </c>
      <c r="E126" s="221">
        <v>-0.29543199999999997</v>
      </c>
      <c r="F126" s="220">
        <v>37.650094000000003</v>
      </c>
    </row>
    <row r="127" spans="1:6" ht="15.6">
      <c r="A127" s="223" t="s">
        <v>632</v>
      </c>
      <c r="B127" s="222"/>
      <c r="C127" s="222"/>
      <c r="D127" s="222"/>
      <c r="E127" s="222"/>
      <c r="F127" s="222"/>
    </row>
    <row r="128" spans="1:6">
      <c r="A128" s="219" t="s">
        <v>300</v>
      </c>
      <c r="B128" s="220">
        <v>10206712.630899999</v>
      </c>
      <c r="C128" s="220">
        <v>6428135.5054000001</v>
      </c>
      <c r="D128" s="220">
        <v>307316.52710000001</v>
      </c>
      <c r="E128" s="220">
        <v>1909320.9112</v>
      </c>
      <c r="F128" s="220">
        <v>4513087.9271</v>
      </c>
    </row>
    <row r="129" spans="1:6">
      <c r="A129" s="219" t="s">
        <v>633</v>
      </c>
      <c r="B129" s="220">
        <v>0.32248500000000002</v>
      </c>
      <c r="C129" s="220">
        <v>6.3693E-2</v>
      </c>
      <c r="D129" s="221">
        <v>-0.117488</v>
      </c>
      <c r="E129" s="221">
        <v>-0.238899</v>
      </c>
      <c r="F129" s="220">
        <v>6.3819000000000001E-2</v>
      </c>
    </row>
    <row r="130" spans="1:6">
      <c r="A130" s="219" t="s">
        <v>634</v>
      </c>
      <c r="B130" s="220">
        <v>0.23649500000000001</v>
      </c>
      <c r="C130" s="220">
        <v>3.3536999999999997E-2</v>
      </c>
      <c r="D130" s="221">
        <v>-6.5252000000000004E-2</v>
      </c>
      <c r="E130" s="221">
        <v>-0.126834</v>
      </c>
      <c r="F130" s="220">
        <v>2.6490999999999997E-2</v>
      </c>
    </row>
    <row r="131" spans="1:6">
      <c r="A131" s="219" t="s">
        <v>635</v>
      </c>
      <c r="B131" s="220">
        <v>0.39609099999999997</v>
      </c>
      <c r="C131" s="220">
        <v>0.12722899999999998</v>
      </c>
      <c r="D131" s="221">
        <v>-0.23800399999999999</v>
      </c>
      <c r="E131" s="221">
        <v>-0.34841900000000003</v>
      </c>
      <c r="F131" s="220">
        <v>5.4047999999999999E-2</v>
      </c>
    </row>
    <row r="132" spans="1:6">
      <c r="A132" s="219" t="s">
        <v>636</v>
      </c>
      <c r="B132" s="220">
        <v>0.39609299999999997</v>
      </c>
      <c r="C132" s="220">
        <v>0.10009999999999999</v>
      </c>
      <c r="D132" s="221">
        <v>-7.8761999999999999E-2</v>
      </c>
      <c r="E132" s="221">
        <v>-0.26117600000000002</v>
      </c>
      <c r="F132" s="220">
        <v>0.10030600000000001</v>
      </c>
    </row>
    <row r="133" spans="1:6" ht="15.6">
      <c r="A133" s="223" t="s">
        <v>637</v>
      </c>
      <c r="B133" s="222"/>
      <c r="C133" s="222"/>
      <c r="D133" s="222"/>
      <c r="E133" s="222"/>
      <c r="F133" s="222"/>
    </row>
    <row r="134" spans="1:6">
      <c r="A134" s="219" t="s">
        <v>637</v>
      </c>
      <c r="B134" s="220">
        <v>0.40285700000000002</v>
      </c>
      <c r="C134" s="220">
        <v>0.73634200000000005</v>
      </c>
      <c r="D134" s="220">
        <v>0.72576300000000005</v>
      </c>
      <c r="E134" s="220">
        <v>0.63592799999999994</v>
      </c>
      <c r="F134" s="220">
        <v>0.50979099999999999</v>
      </c>
    </row>
    <row r="135" spans="1:6">
      <c r="A135" s="219" t="s">
        <v>638</v>
      </c>
      <c r="B135" s="220">
        <v>0.67472100000000002</v>
      </c>
      <c r="C135" s="220">
        <v>2.793488</v>
      </c>
      <c r="D135" s="220">
        <v>2.6472089999999997</v>
      </c>
      <c r="E135" s="220">
        <v>1.74692</v>
      </c>
      <c r="F135" s="220">
        <v>1.040084</v>
      </c>
    </row>
    <row r="136" spans="1:6">
      <c r="A136" s="219" t="s">
        <v>639</v>
      </c>
      <c r="B136" s="220">
        <v>0.54933600000000005</v>
      </c>
      <c r="C136" s="220">
        <v>1.3984620000000001</v>
      </c>
      <c r="D136" s="220">
        <v>1.306762</v>
      </c>
      <c r="E136" s="220">
        <v>1.197802</v>
      </c>
      <c r="F136" s="220">
        <v>1.2281040000000001</v>
      </c>
    </row>
    <row r="137" spans="1:6">
      <c r="A137" s="219" t="s">
        <v>640</v>
      </c>
      <c r="B137" s="220">
        <v>0.65917900000000007</v>
      </c>
      <c r="C137" s="220">
        <v>0.59687100000000004</v>
      </c>
      <c r="D137" s="220">
        <v>0.40960700000000005</v>
      </c>
      <c r="E137" s="220">
        <v>0.31018000000000001</v>
      </c>
      <c r="F137" s="220">
        <v>0.34027600000000002</v>
      </c>
    </row>
    <row r="138" spans="1:6" ht="15.6">
      <c r="A138" s="223" t="s">
        <v>641</v>
      </c>
      <c r="B138" s="222"/>
      <c r="C138" s="222"/>
      <c r="D138" s="222"/>
      <c r="E138" s="222"/>
      <c r="F138" s="222"/>
    </row>
    <row r="139" spans="1:6">
      <c r="A139" s="219" t="s">
        <v>642</v>
      </c>
      <c r="B139" s="220">
        <v>30.840199999999999</v>
      </c>
      <c r="C139" s="220">
        <v>92.508700000000005</v>
      </c>
      <c r="D139" s="220">
        <v>19.724399999999999</v>
      </c>
      <c r="E139" s="220">
        <v>22.2514</v>
      </c>
      <c r="F139" s="220">
        <v>31.513999999999999</v>
      </c>
    </row>
    <row r="140" spans="1:6">
      <c r="A140" s="219" t="s">
        <v>643</v>
      </c>
      <c r="B140" s="220">
        <v>35.0184</v>
      </c>
      <c r="C140" s="220">
        <v>18.766200000000001</v>
      </c>
      <c r="D140" s="220">
        <v>27.5076</v>
      </c>
      <c r="E140" s="220">
        <v>25.250900000000001</v>
      </c>
      <c r="F140" s="220">
        <v>33.382800000000003</v>
      </c>
    </row>
    <row r="141" spans="1:6">
      <c r="A141" s="219" t="s">
        <v>644</v>
      </c>
      <c r="B141" s="220">
        <v>86.798000000000002</v>
      </c>
      <c r="C141" s="220">
        <v>90.080699999999993</v>
      </c>
      <c r="D141" s="220">
        <v>43.968600000000002</v>
      </c>
      <c r="E141" s="220">
        <v>41.7453</v>
      </c>
      <c r="F141" s="220">
        <v>70.390100000000004</v>
      </c>
    </row>
    <row r="142" spans="1:6">
      <c r="A142" s="219" t="s">
        <v>645</v>
      </c>
      <c r="B142" s="220">
        <v>65.858599999999996</v>
      </c>
      <c r="C142" s="220">
        <v>111.2749</v>
      </c>
      <c r="D142" s="220">
        <v>47.231999999999999</v>
      </c>
      <c r="E142" s="220">
        <v>47.502299999999998</v>
      </c>
      <c r="F142" s="220">
        <v>64.896900000000002</v>
      </c>
    </row>
    <row r="143" spans="1:6" ht="15.6">
      <c r="A143" s="223" t="s">
        <v>646</v>
      </c>
      <c r="B143" s="222"/>
      <c r="C143" s="222"/>
      <c r="D143" s="222"/>
      <c r="E143" s="222"/>
      <c r="F143" s="222"/>
    </row>
    <row r="144" spans="1:6">
      <c r="A144" s="219" t="s">
        <v>647</v>
      </c>
      <c r="B144" s="220">
        <v>1.0785</v>
      </c>
      <c r="C144" s="220">
        <v>0.63790000000000002</v>
      </c>
      <c r="D144" s="220">
        <v>0.55210000000000004</v>
      </c>
      <c r="E144" s="220">
        <v>0.7127</v>
      </c>
      <c r="F144" s="220">
        <v>0.90569999999999995</v>
      </c>
    </row>
    <row r="145" spans="1:6">
      <c r="A145" s="219" t="s">
        <v>648</v>
      </c>
      <c r="B145" s="220">
        <v>0.93700000000000006</v>
      </c>
      <c r="C145" s="220">
        <v>0.57940000000000003</v>
      </c>
      <c r="D145" s="220">
        <v>0.4108</v>
      </c>
      <c r="E145" s="220">
        <v>0.49469999999999997</v>
      </c>
      <c r="F145" s="220">
        <v>0.72529999999999994</v>
      </c>
    </row>
    <row r="146" spans="1:6">
      <c r="A146" s="219" t="s">
        <v>372</v>
      </c>
      <c r="B146" s="220">
        <v>698694.67119999998</v>
      </c>
      <c r="C146" s="221">
        <v>-11292272.8181</v>
      </c>
      <c r="D146" s="221">
        <v>-8195338.0531000001</v>
      </c>
      <c r="E146" s="221">
        <v>-3366489.5428999998</v>
      </c>
      <c r="F146" s="221">
        <v>-1024466.2155</v>
      </c>
    </row>
    <row r="147" spans="1:6" ht="15.6">
      <c r="A147" s="223" t="s">
        <v>604</v>
      </c>
      <c r="B147" s="222"/>
      <c r="C147" s="222"/>
      <c r="D147" s="222"/>
      <c r="E147" s="222"/>
      <c r="F147" s="222"/>
    </row>
    <row r="148" spans="1:6">
      <c r="A148" s="219" t="s">
        <v>649</v>
      </c>
      <c r="B148" s="220">
        <v>0.47334699999999996</v>
      </c>
      <c r="C148" s="220">
        <v>6.2233999999999998E-2</v>
      </c>
      <c r="D148" s="220">
        <v>9.9520000000000008E-3</v>
      </c>
      <c r="E148" s="221">
        <v>-0.15474500000000002</v>
      </c>
      <c r="F148" s="220">
        <v>0.18573799999999999</v>
      </c>
    </row>
    <row r="149" spans="1:6">
      <c r="A149" s="219" t="s">
        <v>650</v>
      </c>
      <c r="B149" s="220">
        <v>3.1009000000000002E-2</v>
      </c>
      <c r="C149" s="220">
        <v>0.157004</v>
      </c>
      <c r="D149" s="221">
        <v>-8.5114999999999996E-2</v>
      </c>
      <c r="E149" s="221">
        <v>-4.1859E-2</v>
      </c>
      <c r="F149" s="220">
        <v>0.156694</v>
      </c>
    </row>
    <row r="150" spans="1:6" ht="15.6">
      <c r="A150" s="223" t="s">
        <v>651</v>
      </c>
      <c r="B150" s="222"/>
      <c r="C150" s="222"/>
      <c r="D150" s="222"/>
      <c r="E150" s="222"/>
      <c r="F150" s="222"/>
    </row>
    <row r="151" spans="1:6">
      <c r="A151" s="219" t="s">
        <v>652</v>
      </c>
      <c r="B151" s="220">
        <v>65</v>
      </c>
      <c r="C151" s="220">
        <v>56217</v>
      </c>
      <c r="D151" s="220">
        <v>51888</v>
      </c>
      <c r="E151" s="220">
        <v>29526</v>
      </c>
      <c r="F151" s="220">
        <v>28268</v>
      </c>
    </row>
    <row r="153" spans="1:6">
      <c r="A153" s="224" t="s">
        <v>185</v>
      </c>
    </row>
    <row r="154" spans="1:6">
      <c r="A154" s="224" t="s">
        <v>600</v>
      </c>
    </row>
    <row r="155" spans="1:6">
      <c r="A155" s="224" t="s">
        <v>599</v>
      </c>
    </row>
    <row r="157" spans="1:6" ht="15.6">
      <c r="A157" s="222"/>
      <c r="B157" s="222">
        <v>2022</v>
      </c>
      <c r="C157" s="222">
        <v>2021</v>
      </c>
      <c r="D157" s="222">
        <v>2020</v>
      </c>
      <c r="E157" s="222">
        <v>2019</v>
      </c>
      <c r="F157" s="222">
        <v>2018</v>
      </c>
    </row>
    <row r="159" spans="1:6" ht="15.6">
      <c r="A159" s="223" t="s">
        <v>12</v>
      </c>
      <c r="B159" s="222"/>
      <c r="C159" s="222"/>
      <c r="D159" s="222"/>
      <c r="E159" s="222"/>
      <c r="F159" s="222"/>
    </row>
    <row r="160" spans="1:6">
      <c r="A160" s="219" t="s">
        <v>12</v>
      </c>
      <c r="B160" s="220">
        <v>2132317.1019000001</v>
      </c>
      <c r="C160" s="220">
        <v>2173131.2678</v>
      </c>
      <c r="D160" s="220">
        <v>1159747.9683000001</v>
      </c>
      <c r="E160" s="220">
        <v>2181494.8872000002</v>
      </c>
      <c r="F160" s="220">
        <v>369790.82909999997</v>
      </c>
    </row>
    <row r="161" spans="1:6" ht="15.6">
      <c r="A161" s="223" t="s">
        <v>674</v>
      </c>
      <c r="B161" s="222"/>
      <c r="C161" s="222"/>
      <c r="D161" s="222"/>
      <c r="E161" s="222"/>
      <c r="F161" s="222"/>
    </row>
    <row r="162" spans="1:6">
      <c r="A162" s="219" t="s">
        <v>675</v>
      </c>
      <c r="B162" s="220">
        <v>24574762.503699999</v>
      </c>
      <c r="C162" s="220">
        <v>37365385.653300002</v>
      </c>
      <c r="D162" s="220">
        <v>34185962.187100001</v>
      </c>
      <c r="E162" s="220">
        <v>31535825.1446</v>
      </c>
      <c r="F162" s="220">
        <v>25991167.388999999</v>
      </c>
    </row>
    <row r="163" spans="1:6">
      <c r="A163" s="219" t="s">
        <v>676</v>
      </c>
      <c r="B163" s="220">
        <v>7496481.6391000003</v>
      </c>
      <c r="C163" s="221">
        <v>-7728686.3069000002</v>
      </c>
      <c r="D163" s="220">
        <v>76168.337100000004</v>
      </c>
      <c r="E163" s="220">
        <v>326027.36459999997</v>
      </c>
      <c r="F163" s="221">
        <v>-2077017.6513</v>
      </c>
    </row>
    <row r="164" spans="1:6">
      <c r="A164" s="219" t="s">
        <v>674</v>
      </c>
      <c r="B164" s="220">
        <v>32071244.1428</v>
      </c>
      <c r="C164" s="220">
        <v>29636699.3464</v>
      </c>
      <c r="D164" s="220">
        <v>34262130.5242</v>
      </c>
      <c r="E164" s="220">
        <v>31861852.509199999</v>
      </c>
      <c r="F164" s="220">
        <v>23914149.7377</v>
      </c>
    </row>
    <row r="165" spans="1:6" ht="15.6">
      <c r="A165" s="223" t="s">
        <v>677</v>
      </c>
      <c r="B165" s="222"/>
      <c r="C165" s="222"/>
      <c r="D165" s="222"/>
      <c r="E165" s="222"/>
      <c r="F165" s="222"/>
    </row>
    <row r="166" spans="1:6">
      <c r="A166" s="219" t="s">
        <v>678</v>
      </c>
      <c r="B166" s="221">
        <v>-12942363.278200001</v>
      </c>
      <c r="C166" s="221">
        <v>-35039985.622299999</v>
      </c>
      <c r="D166" s="221">
        <v>-33845739.870899998</v>
      </c>
      <c r="E166" s="221">
        <v>-36415832.449000001</v>
      </c>
      <c r="F166" s="221">
        <v>-21132141.903900001</v>
      </c>
    </row>
    <row r="167" spans="1:6">
      <c r="A167" s="219" t="s">
        <v>679</v>
      </c>
      <c r="B167" s="220">
        <v>567631.69149999996</v>
      </c>
      <c r="C167" s="220">
        <v>759576.48739999998</v>
      </c>
      <c r="D167" s="221">
        <v>-31899.261999999999</v>
      </c>
      <c r="E167" s="221">
        <v>-594669.73389999999</v>
      </c>
      <c r="F167" s="221">
        <v>-1876722.3367000001</v>
      </c>
    </row>
    <row r="168" spans="1:6">
      <c r="A168" s="219" t="s">
        <v>680</v>
      </c>
      <c r="B168" s="221">
        <v>-5647376.4888000004</v>
      </c>
      <c r="C168" s="220">
        <v>4634101.1634999998</v>
      </c>
      <c r="D168" s="221">
        <v>-88994.347599999994</v>
      </c>
      <c r="E168" s="220">
        <v>90819.149300000005</v>
      </c>
      <c r="F168" s="220">
        <v>3882274.4744000002</v>
      </c>
    </row>
    <row r="169" spans="1:6">
      <c r="A169" s="219" t="s">
        <v>677</v>
      </c>
      <c r="B169" s="221">
        <v>-18022108.0755</v>
      </c>
      <c r="C169" s="221">
        <v>-29646307.9714</v>
      </c>
      <c r="D169" s="221">
        <v>-33966633.480499998</v>
      </c>
      <c r="E169" s="221">
        <v>-36919683.033600003</v>
      </c>
      <c r="F169" s="221">
        <v>-19126589.766199999</v>
      </c>
    </row>
    <row r="170" spans="1:6">
      <c r="A170" s="219" t="s">
        <v>681</v>
      </c>
      <c r="B170" s="220">
        <v>472818.67219999997</v>
      </c>
      <c r="C170" s="220">
        <v>2687844.9068</v>
      </c>
      <c r="D170" s="220">
        <v>2999872.1461999998</v>
      </c>
      <c r="E170" s="220">
        <v>10145719.152799999</v>
      </c>
      <c r="F170" s="220">
        <v>1906024.8367999999</v>
      </c>
    </row>
    <row r="171" spans="1:6" ht="15.6">
      <c r="A171" s="223" t="s">
        <v>677</v>
      </c>
      <c r="B171" s="222"/>
      <c r="C171" s="222"/>
      <c r="D171" s="222"/>
      <c r="E171" s="222"/>
      <c r="F171" s="222"/>
    </row>
    <row r="172" spans="1:6">
      <c r="A172" s="219" t="s">
        <v>682</v>
      </c>
      <c r="B172" s="221">
        <v>-1756218.1311000001</v>
      </c>
      <c r="C172" s="221">
        <v>-4098091.4811999998</v>
      </c>
      <c r="D172" s="221">
        <v>-4213414.1284999996</v>
      </c>
      <c r="E172" s="221">
        <v>-11757334.241800001</v>
      </c>
      <c r="F172" s="221">
        <v>-3175086.1455999999</v>
      </c>
    </row>
    <row r="173" spans="1:6">
      <c r="A173" s="219" t="s">
        <v>683</v>
      </c>
      <c r="B173" s="221">
        <v>-438679.68310000002</v>
      </c>
      <c r="C173" s="221">
        <v>-1196631.3921999999</v>
      </c>
      <c r="D173" s="221">
        <v>-1217531.2105</v>
      </c>
      <c r="E173" s="221">
        <v>-1078471.3552999999</v>
      </c>
      <c r="F173" s="221">
        <v>-908429.79330000002</v>
      </c>
    </row>
    <row r="174" spans="1:6">
      <c r="A174" s="219" t="s">
        <v>684</v>
      </c>
      <c r="B174" s="221">
        <v>-102009.7469</v>
      </c>
      <c r="C174" s="220">
        <v>4651973.1463000001</v>
      </c>
      <c r="D174" s="220">
        <v>740377.25219999999</v>
      </c>
      <c r="E174" s="221">
        <v>-628104.92339999997</v>
      </c>
      <c r="F174" s="220">
        <v>138815.68169999999</v>
      </c>
    </row>
    <row r="175" spans="1:6">
      <c r="A175" s="219" t="s">
        <v>685</v>
      </c>
      <c r="B175" s="221">
        <v>-1815762.7408</v>
      </c>
      <c r="C175" s="221">
        <v>-365473.55550000002</v>
      </c>
      <c r="D175" s="220">
        <v>178068.2726</v>
      </c>
      <c r="E175" s="220">
        <v>1325735.7276999999</v>
      </c>
      <c r="F175" s="221">
        <v>-640944.27119999996</v>
      </c>
    </row>
    <row r="176" spans="1:6">
      <c r="A176" s="219" t="s">
        <v>686</v>
      </c>
      <c r="B176" s="220">
        <v>60772.3266</v>
      </c>
      <c r="C176" s="220">
        <v>43033.960299999999</v>
      </c>
      <c r="D176" s="221">
        <v>-89765.214800000002</v>
      </c>
      <c r="E176" s="220">
        <v>64043.087500000001</v>
      </c>
      <c r="F176" s="220">
        <v>292321.41960000002</v>
      </c>
    </row>
    <row r="177" spans="1:6">
      <c r="A177" s="219" t="s">
        <v>687</v>
      </c>
      <c r="B177" s="220">
        <v>1223761.2999</v>
      </c>
      <c r="C177" s="220">
        <v>12688.6031</v>
      </c>
      <c r="D177" s="220">
        <v>479.40219999999999</v>
      </c>
      <c r="E177" s="221">
        <v>-100822.3052</v>
      </c>
      <c r="F177" s="220">
        <v>204020.59849999999</v>
      </c>
    </row>
    <row r="178" spans="1:6">
      <c r="A178" s="219" t="s">
        <v>688</v>
      </c>
      <c r="B178" s="221">
        <v>-10443685.0252</v>
      </c>
      <c r="C178" s="220">
        <v>4661457.2411000002</v>
      </c>
      <c r="D178" s="220">
        <v>2660582.1897999998</v>
      </c>
      <c r="E178" s="220">
        <v>1363061.1074000001</v>
      </c>
      <c r="F178" s="220">
        <v>2005150.8589000001</v>
      </c>
    </row>
    <row r="179" spans="1:6">
      <c r="A179" s="219" t="s">
        <v>677</v>
      </c>
      <c r="B179" s="221">
        <v>-12799003.0284</v>
      </c>
      <c r="C179" s="220">
        <v>6396801.4287</v>
      </c>
      <c r="D179" s="220">
        <v>1058668.7091999999</v>
      </c>
      <c r="E179" s="221">
        <v>-666173.75029999996</v>
      </c>
      <c r="F179" s="221">
        <v>-178126.81460000001</v>
      </c>
    </row>
    <row r="180" spans="1:6" ht="15.6">
      <c r="A180" s="223" t="s">
        <v>9</v>
      </c>
      <c r="B180" s="222"/>
      <c r="C180" s="222"/>
      <c r="D180" s="222"/>
      <c r="E180" s="222"/>
      <c r="F180" s="222"/>
    </row>
    <row r="181" spans="1:6">
      <c r="A181" s="219" t="s">
        <v>689</v>
      </c>
      <c r="B181" s="220">
        <v>1250133.0389</v>
      </c>
      <c r="C181" s="220">
        <v>6387192.8037</v>
      </c>
      <c r="D181" s="220">
        <v>1354165.7529</v>
      </c>
      <c r="E181" s="221">
        <v>-5724004.2747</v>
      </c>
      <c r="F181" s="220">
        <v>4609433.1568999998</v>
      </c>
    </row>
    <row r="182" spans="1:6" ht="15.6">
      <c r="A182" s="223" t="s">
        <v>690</v>
      </c>
      <c r="B182" s="222"/>
      <c r="C182" s="222"/>
      <c r="D182" s="222"/>
      <c r="E182" s="222"/>
      <c r="F182" s="222"/>
    </row>
    <row r="183" spans="1:6">
      <c r="A183" s="219" t="s">
        <v>691</v>
      </c>
      <c r="B183" s="220">
        <v>29978451.325100001</v>
      </c>
      <c r="C183" s="221">
        <v>-1932706.4105</v>
      </c>
      <c r="D183" s="221">
        <v>-4029471.1403999999</v>
      </c>
      <c r="E183" s="221">
        <v>-8321226.2426000005</v>
      </c>
      <c r="F183" s="221">
        <v>-47498593.127599999</v>
      </c>
    </row>
    <row r="184" spans="1:6">
      <c r="A184" s="219" t="s">
        <v>692</v>
      </c>
      <c r="B184" s="220">
        <v>31228584.364</v>
      </c>
      <c r="C184" s="220">
        <v>4454486.3931999998</v>
      </c>
      <c r="D184" s="221">
        <v>-2675305.3875000002</v>
      </c>
      <c r="E184" s="221">
        <v>-14045230.5173</v>
      </c>
      <c r="F184" s="221">
        <v>-42889159.970700003</v>
      </c>
    </row>
    <row r="185" spans="1:6">
      <c r="A185" s="219" t="s">
        <v>693</v>
      </c>
      <c r="B185" s="221">
        <v>-4440340.3728</v>
      </c>
      <c r="C185" s="221">
        <v>-1682464.2985</v>
      </c>
      <c r="D185" s="221">
        <v>-317388.77730000002</v>
      </c>
      <c r="E185" s="220">
        <v>1700414.4319</v>
      </c>
      <c r="F185" s="221">
        <v>-3036641.1993999998</v>
      </c>
    </row>
    <row r="186" spans="1:6">
      <c r="A186" s="219" t="s">
        <v>694</v>
      </c>
      <c r="B186" s="220">
        <v>26788243.9912</v>
      </c>
      <c r="C186" s="220">
        <v>2772022.0946999998</v>
      </c>
      <c r="D186" s="221">
        <v>-2992694.1647999999</v>
      </c>
      <c r="E186" s="221">
        <v>-12344816.0854</v>
      </c>
      <c r="F186" s="221">
        <v>-45925801.170100003</v>
      </c>
    </row>
    <row r="187" spans="1:6" ht="15.6">
      <c r="A187" s="223" t="s">
        <v>695</v>
      </c>
      <c r="B187" s="222"/>
      <c r="C187" s="222"/>
      <c r="D187" s="222"/>
      <c r="E187" s="222"/>
      <c r="F187" s="222"/>
    </row>
    <row r="188" spans="1:6">
      <c r="A188" s="219" t="s">
        <v>696</v>
      </c>
      <c r="B188" s="221">
        <v>-15889.5568</v>
      </c>
      <c r="C188" s="221">
        <v>-6209.55</v>
      </c>
      <c r="D188" s="221">
        <v>-7330.2746999999999</v>
      </c>
      <c r="E188" s="221">
        <v>-12391.9401</v>
      </c>
      <c r="F188" s="221">
        <v>-13657.6083</v>
      </c>
    </row>
    <row r="189" spans="1:6">
      <c r="A189" s="219" t="s">
        <v>697</v>
      </c>
      <c r="B189" s="220">
        <v>26772354.4344</v>
      </c>
      <c r="C189" s="220">
        <v>2765812.5447</v>
      </c>
      <c r="D189" s="221">
        <v>-3000024.4394999999</v>
      </c>
      <c r="E189" s="221">
        <v>-12357208.0255</v>
      </c>
      <c r="F189" s="221">
        <v>-45939458.778399996</v>
      </c>
    </row>
    <row r="190" spans="1:6">
      <c r="A190" s="219" t="s">
        <v>698</v>
      </c>
      <c r="B190" s="221">
        <v>-9024247.8155000005</v>
      </c>
      <c r="C190" s="220">
        <v>3406323.6115999999</v>
      </c>
      <c r="D190" s="220">
        <v>3878554.0120000001</v>
      </c>
      <c r="E190" s="221">
        <v>-568984.05240000004</v>
      </c>
      <c r="F190" s="220">
        <v>3033517.1351999999</v>
      </c>
    </row>
    <row r="191" spans="1:6">
      <c r="A191" s="219" t="s">
        <v>699</v>
      </c>
      <c r="B191" s="221">
        <v>-9116768.2478</v>
      </c>
      <c r="C191" s="221">
        <v>-2673566.7790999999</v>
      </c>
      <c r="D191" s="221">
        <v>-1324630.2167</v>
      </c>
      <c r="E191" s="220">
        <v>2194045.8308000001</v>
      </c>
      <c r="F191" s="220">
        <v>12010499.5353</v>
      </c>
    </row>
    <row r="192" spans="1:6">
      <c r="A192" s="219" t="s">
        <v>697</v>
      </c>
      <c r="B192" s="220">
        <v>8631338.3710999992</v>
      </c>
      <c r="C192" s="220">
        <v>3498569.3772</v>
      </c>
      <c r="D192" s="221">
        <v>-446100.64419999998</v>
      </c>
      <c r="E192" s="221">
        <v>-10732146.247099999</v>
      </c>
      <c r="F192" s="221">
        <v>-30895442.107900001</v>
      </c>
    </row>
    <row r="193" spans="1:6" ht="15.6">
      <c r="A193" s="223" t="s">
        <v>700</v>
      </c>
      <c r="B193" s="222"/>
      <c r="C193" s="222"/>
      <c r="D193" s="222"/>
      <c r="E193" s="222"/>
      <c r="F193" s="222"/>
    </row>
    <row r="194" spans="1:6">
      <c r="A194" s="219" t="s">
        <v>701</v>
      </c>
      <c r="B194" s="221">
        <v>-6622664.8262</v>
      </c>
      <c r="C194" s="221">
        <v>-549702.2426</v>
      </c>
      <c r="D194" s="221">
        <v>-731106.11109999998</v>
      </c>
      <c r="E194" s="221">
        <v>-1532882.0824</v>
      </c>
      <c r="F194" s="220">
        <v>28236916.726799998</v>
      </c>
    </row>
    <row r="195" spans="1:6">
      <c r="A195" s="219" t="s">
        <v>702</v>
      </c>
      <c r="B195" s="221">
        <v>-178459.2268</v>
      </c>
      <c r="C195" s="221">
        <v>-954992.39150000003</v>
      </c>
      <c r="D195" s="221">
        <v>-1359014.0092</v>
      </c>
      <c r="E195" s="221">
        <v>-654367.61060000001</v>
      </c>
      <c r="F195" s="221">
        <v>-352641.63569999998</v>
      </c>
    </row>
    <row r="196" spans="1:6">
      <c r="A196" s="219" t="s">
        <v>703</v>
      </c>
      <c r="B196" s="221">
        <v>-50476.984600000003</v>
      </c>
      <c r="C196" s="220">
        <v>75205.497600000002</v>
      </c>
      <c r="D196" s="220">
        <v>162498.4693</v>
      </c>
      <c r="E196" s="220">
        <v>409864.58760000003</v>
      </c>
      <c r="F196" s="221">
        <v>-823802.8922</v>
      </c>
    </row>
    <row r="197" spans="1:6">
      <c r="A197" s="219" t="s">
        <v>704</v>
      </c>
      <c r="B197" s="220">
        <v>654289.27859999996</v>
      </c>
      <c r="C197" s="220">
        <v>533431.35530000005</v>
      </c>
      <c r="D197" s="220">
        <v>645302.37569999998</v>
      </c>
      <c r="E197" s="220">
        <v>425680.39390000002</v>
      </c>
      <c r="F197" s="221">
        <v>-2359796.6957</v>
      </c>
    </row>
    <row r="198" spans="1:6">
      <c r="A198" s="219" t="s">
        <v>705</v>
      </c>
      <c r="B198" s="220">
        <v>4846.8535000000002</v>
      </c>
      <c r="C198" s="221">
        <v>-12600.005499999999</v>
      </c>
      <c r="D198" s="220">
        <v>179354.8303</v>
      </c>
      <c r="E198" s="221">
        <v>-18507.066699999999</v>
      </c>
      <c r="F198" s="221">
        <v>-161323.79</v>
      </c>
    </row>
    <row r="199" spans="1:6">
      <c r="A199" s="219" t="s">
        <v>706</v>
      </c>
      <c r="B199" s="220">
        <v>2788635.3352999999</v>
      </c>
      <c r="C199" s="221">
        <v>-290826.41690000001</v>
      </c>
      <c r="D199" s="220">
        <v>446476.54</v>
      </c>
      <c r="E199" s="221">
        <v>-1885051.8347</v>
      </c>
      <c r="F199" s="221">
        <v>-1858141.9166000001</v>
      </c>
    </row>
    <row r="200" spans="1:6">
      <c r="A200" s="219" t="s">
        <v>707</v>
      </c>
      <c r="B200" s="220">
        <v>248845.5857</v>
      </c>
      <c r="C200" s="220">
        <v>27202.421699999999</v>
      </c>
      <c r="D200" s="220">
        <v>34694.525600000001</v>
      </c>
      <c r="E200" s="220">
        <v>73753.6774</v>
      </c>
      <c r="F200" s="220">
        <v>98336.399300000005</v>
      </c>
    </row>
    <row r="201" spans="1:6">
      <c r="A201" s="219" t="s">
        <v>708</v>
      </c>
      <c r="B201" s="221">
        <v>-7347335.9978999998</v>
      </c>
      <c r="C201" s="221">
        <v>-2633115.4229000001</v>
      </c>
      <c r="D201" s="220">
        <v>1643347.5432</v>
      </c>
      <c r="E201" s="220">
        <v>2803923.6564000002</v>
      </c>
      <c r="F201" s="220">
        <v>8161213.0464000003</v>
      </c>
    </row>
    <row r="202" spans="1:6">
      <c r="A202" s="219" t="s">
        <v>709</v>
      </c>
      <c r="B202" s="220">
        <v>1543717.6817000001</v>
      </c>
      <c r="C202" s="220">
        <v>129904.1936</v>
      </c>
      <c r="D202" s="220">
        <v>248014.06390000001</v>
      </c>
      <c r="E202" s="221">
        <v>-24044.5422</v>
      </c>
      <c r="F202" s="220">
        <v>709051.05709999998</v>
      </c>
    </row>
    <row r="203" spans="1:6">
      <c r="A203" s="219" t="s">
        <v>710</v>
      </c>
      <c r="B203" s="220">
        <v>0</v>
      </c>
      <c r="C203" s="220">
        <v>0</v>
      </c>
      <c r="D203" s="220">
        <v>0</v>
      </c>
      <c r="E203" s="220">
        <v>0</v>
      </c>
      <c r="F203" s="221">
        <v>-126</v>
      </c>
    </row>
    <row r="204" spans="1:6">
      <c r="A204" s="219" t="s">
        <v>711</v>
      </c>
      <c r="B204" s="220">
        <v>79601.057000000001</v>
      </c>
      <c r="C204" s="220">
        <v>23219.865699999998</v>
      </c>
      <c r="D204" s="220">
        <v>11368.140600000001</v>
      </c>
      <c r="E204" s="221">
        <v>-42171.670299999998</v>
      </c>
      <c r="F204" s="221">
        <v>-253005.13870000001</v>
      </c>
    </row>
    <row r="205" spans="1:6">
      <c r="A205" s="219" t="s">
        <v>712</v>
      </c>
      <c r="B205" s="221">
        <v>-8879001.2436999995</v>
      </c>
      <c r="C205" s="221">
        <v>-3652273.1455000001</v>
      </c>
      <c r="D205" s="220">
        <v>1280936.3683</v>
      </c>
      <c r="E205" s="221">
        <v>-443802.49160000001</v>
      </c>
      <c r="F205" s="220">
        <v>31396679.160700001</v>
      </c>
    </row>
    <row r="206" spans="1:6">
      <c r="A206" s="219" t="s">
        <v>689</v>
      </c>
      <c r="B206" s="221">
        <v>-247662.8726</v>
      </c>
      <c r="C206" s="221">
        <v>-153703.7683</v>
      </c>
      <c r="D206" s="220">
        <v>834835.72409999999</v>
      </c>
      <c r="E206" s="221">
        <v>-11175948.738700001</v>
      </c>
      <c r="F206" s="220">
        <v>501237.0528</v>
      </c>
    </row>
    <row r="207" spans="1:6">
      <c r="A207" s="219" t="s">
        <v>713</v>
      </c>
      <c r="B207" s="220">
        <v>1884654.2293</v>
      </c>
      <c r="C207" s="220">
        <v>2019427.4994999999</v>
      </c>
      <c r="D207" s="220">
        <v>1994583.6924000001</v>
      </c>
      <c r="E207" s="221">
        <v>-8994453.8515000008</v>
      </c>
      <c r="F207" s="220">
        <v>871027.88190000004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28282"/>
  </sheetPr>
  <dimension ref="A1:AW92"/>
  <sheetViews>
    <sheetView zoomScale="70" zoomScaleNormal="70" workbookViewId="0">
      <selection activeCell="I90" sqref="I90:M92"/>
    </sheetView>
  </sheetViews>
  <sheetFormatPr defaultColWidth="8.77734375" defaultRowHeight="15.6"/>
  <cols>
    <col min="1" max="1" width="23" style="27" customWidth="1"/>
    <col min="2" max="2" width="16.109375" style="27" bestFit="1" customWidth="1"/>
    <col min="3" max="5" width="12.77734375" style="27" bestFit="1" customWidth="1"/>
    <col min="6" max="6" width="7.109375" style="27" customWidth="1"/>
    <col min="7" max="7" width="8.33203125" style="27" customWidth="1"/>
    <col min="8" max="8" width="22.77734375" style="27" bestFit="1" customWidth="1"/>
    <col min="9" max="13" width="16.109375" style="27" customWidth="1"/>
    <col min="14" max="16384" width="8.77734375" style="27"/>
  </cols>
  <sheetData>
    <row r="1" spans="1:13" ht="17.399999999999999">
      <c r="A1" s="303" t="s">
        <v>113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</row>
    <row r="2" spans="1:13" ht="18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</row>
    <row r="4" spans="1:13" s="74" customFormat="1" ht="27.6">
      <c r="A4" s="78" t="s">
        <v>85</v>
      </c>
    </row>
    <row r="5" spans="1:13" ht="16.2" thickBot="1"/>
    <row r="6" spans="1:13" ht="16.8" thickBot="1">
      <c r="A6" s="97"/>
      <c r="B6" s="98" t="s">
        <v>81</v>
      </c>
      <c r="C6" s="99" t="s">
        <v>82</v>
      </c>
      <c r="D6" s="100" t="s">
        <v>83</v>
      </c>
      <c r="E6" s="99" t="s">
        <v>84</v>
      </c>
      <c r="F6" s="101" t="s">
        <v>109</v>
      </c>
      <c r="G6" s="101"/>
      <c r="I6" s="27" t="s">
        <v>618</v>
      </c>
    </row>
    <row r="7" spans="1:13" ht="16.8" thickBot="1">
      <c r="A7" s="304" t="s">
        <v>523</v>
      </c>
      <c r="B7" s="305"/>
      <c r="C7" s="305"/>
      <c r="D7" s="305"/>
      <c r="E7" s="305"/>
      <c r="F7" s="305"/>
      <c r="G7" s="306"/>
      <c r="I7" s="27" t="s">
        <v>619</v>
      </c>
    </row>
    <row r="8" spans="1:13" ht="16.8" thickBot="1">
      <c r="A8" s="102">
        <v>2018</v>
      </c>
      <c r="B8" s="212">
        <f>'Spółka JSW'!F$59/'Spółka JSW'!F$35</f>
        <v>0.61364627234413605</v>
      </c>
      <c r="C8" s="213">
        <f>'Spółka JSW'!F$29/'Spółka JSW'!F$17</f>
        <v>0.22346824344989297</v>
      </c>
      <c r="D8" s="214">
        <f>('Spółka JSW'!F$29+'Spółka JSW'!F$101)/'Spółka JSW'!F$35</f>
        <v>0.15550065397471297</v>
      </c>
      <c r="E8" s="213">
        <f>(('Spółka JSW'!F$67+'Spółka JSW'!F$72+'Spółka JSW'!F$78)/'Spółka JSW'!F$29)*365</f>
        <v>930.65009124087589</v>
      </c>
      <c r="F8" s="103">
        <v>4</v>
      </c>
      <c r="G8" s="245" t="s">
        <v>714</v>
      </c>
      <c r="I8" s="27" t="s">
        <v>620</v>
      </c>
    </row>
    <row r="9" spans="1:13" ht="16.05" customHeight="1" thickBot="1">
      <c r="A9" s="102">
        <v>2019</v>
      </c>
      <c r="B9" s="212">
        <f>'Spółka JSW'!E$59/'Spółka JSW'!E$35</f>
        <v>0.59300970093257588</v>
      </c>
      <c r="C9" s="213">
        <f>'Spółka JSW'!E$29/'Spółka JSW'!E$17</f>
        <v>9.5481906870545905E-2</v>
      </c>
      <c r="D9" s="214">
        <f>('Spółka JSW'!E$29+'Spółka JSW'!E$101)/'Spółka JSW'!E$35</f>
        <v>5.2979954979097438E-2</v>
      </c>
      <c r="E9" s="213">
        <f>(('Spółka JSW'!E$67+'Spółka JSW'!E$72+'Spółka JSW'!E$78)/'Spółka JSW'!E$29)*365</f>
        <v>2810.3236714975847</v>
      </c>
      <c r="F9" s="104">
        <v>3</v>
      </c>
      <c r="G9" s="245" t="s">
        <v>714</v>
      </c>
      <c r="I9" s="27" t="s">
        <v>621</v>
      </c>
    </row>
    <row r="10" spans="1:13" ht="16.8" thickBot="1">
      <c r="A10" s="102">
        <v>2020</v>
      </c>
      <c r="B10" s="212">
        <f>'Spółka JSW'!D$59/'Spółka JSW'!D$35</f>
        <v>0.48680385073415433</v>
      </c>
      <c r="C10" s="213">
        <f>'Spółka JSW'!D$29/'Spółka JSW'!D$17</f>
        <v>-0.26926182237600921</v>
      </c>
      <c r="D10" s="214">
        <f>('Spółka JSW'!D$29+'Spółka JSW'!D$101)/'Spółka JSW'!D$35</f>
        <v>-0.12725119586984146</v>
      </c>
      <c r="E10" s="213">
        <f>(('Spółka JSW'!D$67+'Spółka JSW'!D$72+'Spółka JSW'!D$78)/'Spółka JSW'!D$29)*365</f>
        <v>-1563.4648747055044</v>
      </c>
      <c r="F10" s="104">
        <v>2</v>
      </c>
      <c r="G10" s="245" t="s">
        <v>715</v>
      </c>
      <c r="I10" s="27" t="s">
        <v>666</v>
      </c>
    </row>
    <row r="11" spans="1:13" ht="16.8" thickBot="1">
      <c r="A11" s="102">
        <v>2021</v>
      </c>
      <c r="B11" s="212">
        <f>'Spółka JSW'!C$59/'Spółka JSW'!C$35</f>
        <v>0.51985365059078548</v>
      </c>
      <c r="C11" s="213">
        <f>'Spółka JSW'!C$29/'Spółka JSW'!C$17</f>
        <v>0.10976470256183496</v>
      </c>
      <c r="D11" s="214">
        <f>('Spółka JSW'!C$29+'Spółka JSW'!C$101)/'Spółka JSW'!C$35</f>
        <v>6.0225037276497639E-2</v>
      </c>
      <c r="E11" s="213">
        <f>(('Spółka JSW'!C$67+'Spółka JSW'!C$72+'Spółka JSW'!C$78)/'Spółka JSW'!C$29)*365</f>
        <v>2473.1276249250022</v>
      </c>
      <c r="F11" s="104">
        <v>2</v>
      </c>
      <c r="G11" s="245" t="s">
        <v>715</v>
      </c>
    </row>
    <row r="12" spans="1:13" ht="16.8" thickBot="1">
      <c r="A12" s="102">
        <v>2022</v>
      </c>
      <c r="B12" s="212">
        <f>'Spółka JSW'!B$59/'Spółka JSW'!B$35</f>
        <v>0.5910855947572794</v>
      </c>
      <c r="C12" s="213">
        <f>'Spółka JSW'!B$29/'Spółka JSW'!B$17</f>
        <v>0.46485630121048593</v>
      </c>
      <c r="D12" s="214">
        <f>('Spółka JSW'!B$29+'Spółka JSW'!B$101)/'Spółka JSW'!B$35</f>
        <v>0.32108325823069306</v>
      </c>
      <c r="E12" s="213">
        <f>(('Spółka JSW'!B$67+'Spółka JSW'!B$72+'Spółka JSW'!B$78)/'Spółka JSW'!B$29)*365</f>
        <v>437.42156048309795</v>
      </c>
      <c r="F12" s="104">
        <v>4</v>
      </c>
      <c r="G12" s="245" t="s">
        <v>714</v>
      </c>
      <c r="I12" s="27" t="s">
        <v>670</v>
      </c>
    </row>
    <row r="13" spans="1:13" ht="16.8" thickBot="1">
      <c r="A13" s="304" t="s">
        <v>305</v>
      </c>
      <c r="B13" s="305"/>
      <c r="C13" s="305"/>
      <c r="D13" s="305"/>
      <c r="E13" s="305"/>
      <c r="F13" s="305"/>
      <c r="G13" s="306"/>
    </row>
    <row r="14" spans="1:13" ht="16.8" thickBot="1">
      <c r="A14" s="102">
        <v>2018</v>
      </c>
      <c r="B14" s="212">
        <f>'Bogdanka S.A.'!F$60/'Bogdanka S.A.'!F$38</f>
        <v>0.75002612276402492</v>
      </c>
      <c r="C14" s="213">
        <f>('Bogdanka S.A.'!F$31+'Bogdanka S.A.'!F$22)/'Bogdanka S.A.'!F$17</f>
        <v>3.6956265572779423E-2</v>
      </c>
      <c r="D14" s="214">
        <f>('Bogdanka S.A.'!F$31+'Bogdanka S.A.'!F$104)/'Bogdanka S.A.'!F$38</f>
        <v>1.5733149673141298E-2</v>
      </c>
      <c r="E14" s="213">
        <f>(('Bogdanka S.A.'!F$67+'Bogdanka S.A.'!F$73+'Bogdanka S.A.'!F$79+'Bogdanka S.A.'!F$80)/('Bogdanka S.A.'!F$31+'Bogdanka S.A.'!F$22))*365</f>
        <v>5973.0855668515087</v>
      </c>
      <c r="F14" s="104">
        <v>1</v>
      </c>
      <c r="G14" s="245" t="s">
        <v>715</v>
      </c>
      <c r="I14" s="126"/>
      <c r="J14" s="126"/>
      <c r="K14" s="126"/>
      <c r="L14" s="126"/>
      <c r="M14" s="126"/>
    </row>
    <row r="15" spans="1:13" ht="16.8" thickBot="1">
      <c r="A15" s="102">
        <v>2019</v>
      </c>
      <c r="B15" s="212">
        <f>'Bogdanka S.A.'!E$60/'Bogdanka S.A.'!E$38</f>
        <v>0.75920736777548259</v>
      </c>
      <c r="C15" s="213">
        <f>('Bogdanka S.A.'!E$31+'Bogdanka S.A.'!E$22)/'Bogdanka S.A.'!E$17</f>
        <v>0.17544040139749503</v>
      </c>
      <c r="D15" s="214">
        <f>('Bogdanka S.A.'!E$31+'Bogdanka S.A.'!E$104)/'Bogdanka S.A.'!E$38</f>
        <v>8.8311153251385555E-2</v>
      </c>
      <c r="E15" s="213">
        <f>(('Bogdanka S.A.'!E$67+'Bogdanka S.A.'!E$73+'Bogdanka S.A.'!E$79+'Bogdanka S.A.'!E$80)/('Bogdanka S.A.'!E$31+'Bogdanka S.A.'!E$22))*365</f>
        <v>1011.0485345082625</v>
      </c>
      <c r="F15" s="104">
        <v>3</v>
      </c>
      <c r="G15" s="245" t="s">
        <v>714</v>
      </c>
      <c r="I15" s="127"/>
      <c r="J15" s="127"/>
      <c r="K15" s="127"/>
      <c r="L15" s="127"/>
      <c r="M15" s="127"/>
    </row>
    <row r="16" spans="1:13" ht="16.8" thickBot="1">
      <c r="A16" s="102">
        <v>2020</v>
      </c>
      <c r="B16" s="212">
        <f>'Bogdanka S.A.'!D$60/'Bogdanka S.A.'!D$38</f>
        <v>0.75420083318419939</v>
      </c>
      <c r="C16" s="213">
        <f>('Bogdanka S.A.'!D$31+'Bogdanka S.A.'!D$22)/'Bogdanka S.A.'!D$17</f>
        <v>-0.14900072004355386</v>
      </c>
      <c r="D16" s="214">
        <f>('Bogdanka S.A.'!D$31+'Bogdanka S.A.'!D$104)/'Bogdanka S.A.'!D$38</f>
        <v>2.0605389893133281E-2</v>
      </c>
      <c r="E16" s="213">
        <f>(('Bogdanka S.A.'!D$67+'Bogdanka S.A.'!D$73+'Bogdanka S.A.'!D$79+'Bogdanka S.A.'!D$80)/('Bogdanka S.A.'!D$31+'Bogdanka S.A.'!D$22))*365</f>
        <v>-1456.2827260806789</v>
      </c>
      <c r="F16" s="104">
        <v>2</v>
      </c>
      <c r="G16" s="245" t="s">
        <v>715</v>
      </c>
      <c r="I16" s="244"/>
      <c r="J16" s="244"/>
      <c r="K16" s="244"/>
      <c r="L16" s="244"/>
      <c r="M16" s="244"/>
    </row>
    <row r="17" spans="1:19" ht="16.8" thickBot="1">
      <c r="A17" s="102">
        <v>2021</v>
      </c>
      <c r="B17" s="212">
        <f>'Bogdanka S.A.'!C$60/'Bogdanka S.A.'!C$38</f>
        <v>0.76428655282681324</v>
      </c>
      <c r="C17" s="213">
        <f>('Bogdanka S.A.'!C$31+'Bogdanka S.A.'!C$22)/'Bogdanka S.A.'!C$17</f>
        <v>-2.9951334300462196E-2</v>
      </c>
      <c r="D17" s="214">
        <f>('Bogdanka S.A.'!C$31+'Bogdanka S.A.'!C$104)/'Bogdanka S.A.'!C$38</f>
        <v>7.5731320251363018E-2</v>
      </c>
      <c r="E17" s="213">
        <f>(('Bogdanka S.A.'!C$67+'Bogdanka S.A.'!C$73+'Bogdanka S.A.'!C$79+'Bogdanka S.A.'!C$80)/('Bogdanka S.A.'!C$31+'Bogdanka S.A.'!C$22))*365</f>
        <v>-5827.9023696549002</v>
      </c>
      <c r="F17" s="104">
        <v>2</v>
      </c>
      <c r="G17" s="245" t="s">
        <v>715</v>
      </c>
    </row>
    <row r="18" spans="1:19" ht="16.8" thickBot="1">
      <c r="A18" s="102">
        <v>2022</v>
      </c>
      <c r="B18" s="212">
        <f>'Bogdanka S.A.'!B$60/'Bogdanka S.A.'!B$38</f>
        <v>0.7694309824477884</v>
      </c>
      <c r="C18" s="213">
        <f>('Bogdanka S.A.'!B$31+'Bogdanka S.A.'!B$22)/'Bogdanka S.A.'!B$17</f>
        <v>-7.2924055202174806E-2</v>
      </c>
      <c r="D18" s="214">
        <f>('Bogdanka S.A.'!B$31+'Bogdanka S.A.'!B$104)/'Bogdanka S.A.'!B$38</f>
        <v>4.495934491997753E-2</v>
      </c>
      <c r="E18" s="213">
        <f>(('Bogdanka S.A.'!B$67+'Bogdanka S.A.'!B$73+'Bogdanka S.A.'!B$79+'Bogdanka S.A.'!B$80)/('Bogdanka S.A.'!B$31+'Bogdanka S.A.'!B$22))*365</f>
        <v>-2295.2297680506072</v>
      </c>
      <c r="F18" s="104">
        <v>2</v>
      </c>
      <c r="G18" s="245" t="s">
        <v>715</v>
      </c>
      <c r="I18" s="27" t="s">
        <v>539</v>
      </c>
      <c r="S18" s="184" t="s">
        <v>543</v>
      </c>
    </row>
    <row r="19" spans="1:19" ht="16.8" thickBot="1">
      <c r="A19" s="304" t="s">
        <v>110</v>
      </c>
      <c r="B19" s="305"/>
      <c r="C19" s="305"/>
      <c r="D19" s="305"/>
      <c r="E19" s="305"/>
      <c r="F19" s="305"/>
      <c r="G19" s="306"/>
      <c r="I19" s="27" t="s">
        <v>540</v>
      </c>
    </row>
    <row r="20" spans="1:19" ht="16.8" thickBot="1">
      <c r="A20" s="102">
        <v>2018</v>
      </c>
      <c r="B20" s="212">
        <f>sektor!F$121/sektor!F$43</f>
        <v>0.49014358434410465</v>
      </c>
      <c r="C20" s="213">
        <f>(sektor!F$82+sektor!F$101)/sektor!F$79</f>
        <v>0.25907148459787099</v>
      </c>
      <c r="D20" s="214">
        <f>(sektor!F$82+735036)/sektor!F$43</f>
        <v>8.8839755463880593E-2</v>
      </c>
      <c r="E20" s="213">
        <f>((sektor!F$53+sektor!F$61)/(sektor!F$82+sektor!F$101))*365</f>
        <v>1730.0627288233147</v>
      </c>
      <c r="F20" s="104">
        <v>3</v>
      </c>
      <c r="G20" s="245" t="s">
        <v>714</v>
      </c>
      <c r="I20" s="27" t="s">
        <v>541</v>
      </c>
      <c r="S20" s="27" t="s">
        <v>543</v>
      </c>
    </row>
    <row r="21" spans="1:19" ht="16.8" thickBot="1">
      <c r="A21" s="102">
        <v>2019</v>
      </c>
      <c r="B21" s="212">
        <f>sektor!E$121/sektor!E$43</f>
        <v>0.36402802350308289</v>
      </c>
      <c r="C21" s="213">
        <f>(sektor!E$82+sektor!E$101)/sektor!E$79</f>
        <v>0.16697555318928028</v>
      </c>
      <c r="D21" s="214">
        <f>(sektor!F$82+208436)/sektor!F$43</f>
        <v>8.0429448962736641E-2</v>
      </c>
      <c r="E21" s="213">
        <f>((sektor!E$53+sektor!E$61)/(sektor!E$82+sektor!E$101))*365</f>
        <v>2618.0419733937119</v>
      </c>
      <c r="F21" s="104">
        <v>3</v>
      </c>
      <c r="G21" s="245" t="s">
        <v>714</v>
      </c>
      <c r="I21" s="27" t="s">
        <v>542</v>
      </c>
      <c r="S21" s="27" t="s">
        <v>543</v>
      </c>
    </row>
    <row r="22" spans="1:19" ht="16.8" thickBot="1">
      <c r="A22" s="102">
        <v>2020</v>
      </c>
      <c r="B22" s="212">
        <f>sektor!D$121/sektor!D$43</f>
        <v>0.2741615975792126</v>
      </c>
      <c r="C22" s="213">
        <f>(sektor!D$82+sektor!D$101)/sektor!D$79</f>
        <v>9.7703684460295148E-2</v>
      </c>
      <c r="D22" s="214">
        <f>(sektor!F$82+49136)/sektor!F$43</f>
        <v>7.7885275347787469E-2</v>
      </c>
      <c r="E22" s="213">
        <f>((sektor!D$53+sektor!D$61)/(sektor!D$82+sektor!D$101))*365</f>
        <v>4881.4532440423463</v>
      </c>
      <c r="F22" s="104">
        <v>2</v>
      </c>
      <c r="G22" s="245" t="s">
        <v>715</v>
      </c>
    </row>
    <row r="23" spans="1:19" ht="16.8" thickBot="1">
      <c r="A23" s="102">
        <v>2021</v>
      </c>
      <c r="B23" s="212">
        <f>sektor!C$121/sektor!C$43</f>
        <v>0.26359228805801416</v>
      </c>
      <c r="C23" s="213">
        <f>(sektor!C$82+sektor!C$101)/sektor!C$79</f>
        <v>0.134168157246284</v>
      </c>
      <c r="D23" s="214">
        <f>(sektor!F$82+40236)/sektor!F$43</f>
        <v>7.7743133821277441E-2</v>
      </c>
      <c r="E23" s="213">
        <f>((sektor!C$53+sektor!C$61)/(sektor!C$82+sektor!C$101))*365</f>
        <v>3804.4514659569672</v>
      </c>
      <c r="F23" s="104">
        <v>3</v>
      </c>
      <c r="G23" s="245" t="s">
        <v>714</v>
      </c>
    </row>
    <row r="24" spans="1:19" ht="19.05" customHeight="1" thickBot="1">
      <c r="A24" s="102">
        <v>2022</v>
      </c>
      <c r="B24" s="212">
        <f>sektor!B$121/sektor!B$43</f>
        <v>0.59707197500213771</v>
      </c>
      <c r="C24" s="213">
        <f>(sektor!B$82+sektor!B$101)/sektor!B$79</f>
        <v>0.49258738089848997</v>
      </c>
      <c r="D24" s="214">
        <f>(sektor!F$82+55036)/sektor!F$43</f>
        <v>7.7979504000193003E-2</v>
      </c>
      <c r="E24" s="213">
        <f>((sektor!B$53+sektor!B$61)/(sektor!B$82+sektor!B$101))*365</f>
        <v>407.04285227082022</v>
      </c>
      <c r="F24" s="104">
        <v>3</v>
      </c>
      <c r="G24" s="245" t="s">
        <v>714</v>
      </c>
    </row>
    <row r="26" spans="1:19" ht="28.2" thickBot="1">
      <c r="A26" s="78" t="s">
        <v>86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O26" s="27" t="s">
        <v>537</v>
      </c>
    </row>
    <row r="27" spans="1:19" ht="16.2" thickBot="1">
      <c r="A27" s="8" t="s">
        <v>87</v>
      </c>
      <c r="B27" s="105">
        <v>2018</v>
      </c>
      <c r="C27" s="106">
        <v>2019</v>
      </c>
      <c r="D27" s="107">
        <v>2020</v>
      </c>
      <c r="E27" s="106">
        <v>2021</v>
      </c>
      <c r="F27" s="105">
        <v>2022</v>
      </c>
      <c r="H27" s="8" t="s">
        <v>88</v>
      </c>
      <c r="I27" s="105">
        <v>2018</v>
      </c>
      <c r="J27" s="106">
        <v>2019</v>
      </c>
      <c r="K27" s="107">
        <v>2020</v>
      </c>
      <c r="L27" s="106">
        <v>2021</v>
      </c>
      <c r="M27" s="105">
        <v>2022</v>
      </c>
      <c r="O27" s="27" t="s">
        <v>538</v>
      </c>
    </row>
    <row r="28" spans="1:19" ht="16.2" thickBot="1">
      <c r="A28" s="108" t="s">
        <v>523</v>
      </c>
      <c r="B28" s="75">
        <f>1.5*('Spółka JSW'!F$29/'Spółka JSW'!F$66) + 0.08*('Spółka JSW'!F$35/'Spółka JSW'!F$66) + 10*('Spółka JSW'!F$25/'Spółka JSW'!F$35) + 5*('Spółka JSW'!F$25/'Spółka JSW'!F$17) + 0.3*('Spółka JSW'!F49/'Spółka JSW'!F17) + 0.1*('Spółka JSW'!F17/'Spółka JSW'!F35)</f>
        <v>3.7037406109211863</v>
      </c>
      <c r="C28" s="215">
        <f>1.5*('Spółka JSW'!E$29/'Spółka JSW'!E$66) + 0.08*('Spółka JSW'!E$35/'Spółka JSW'!E$66) + 10*('Spółka JSW'!E$25/'Spółka JSW'!E$35) + 5*('Spółka JSW'!E$25/'Spółka JSW'!E$17) + 0.3*('Spółka JSW'!E49/'Spółka JSW'!E17) + 0.1*('Spółka JSW'!E17/'Spółka JSW'!E35)</f>
        <v>1.6270921823843432</v>
      </c>
      <c r="D28" s="216">
        <f>1.5*('Spółka JSW'!D$29/'Spółka JSW'!D$66) + 0.08*('Spółka JSW'!D$35/'Spółka JSW'!D$66) + 10*('Spółka JSW'!D$25/'Spółka JSW'!D$35) + 5*('Spółka JSW'!D$25/'Spółka JSW'!D$17) + 0.3*('Spółka JSW'!D49/'Spółka JSW'!D17) + 0.1*('Spółka JSW'!D17/'Spółka JSW'!D35)</f>
        <v>-2.5912804798832467</v>
      </c>
      <c r="E28" s="215">
        <f>1.5*('Spółka JSW'!C$29/'Spółka JSW'!C$66) + 0.08*('Spółka JSW'!C$35/'Spółka JSW'!C$66) + 10*('Spółka JSW'!C$25/'Spółka JSW'!C$35) + 5*('Spółka JSW'!C$25/'Spółka JSW'!C$17) + 0.3*('Spółka JSW'!C49/'Spółka JSW'!C17) + 0.1*('Spółka JSW'!C17/'Spółka JSW'!C35)</f>
        <v>1.8646996471828354</v>
      </c>
      <c r="F28" s="75">
        <f>1.5*('Spółka JSW'!B$29/'Spółka JSW'!B$66) + 0.08*('Spółka JSW'!B$35/'Spółka JSW'!B$66) + 10*('Spółka JSW'!B$25/'Spółka JSW'!B$35) + 5*('Spółka JSW'!B$25/'Spółka JSW'!B$17) + 0.3*('Spółka JSW'!B49/'Spółka JSW'!B17) + 0.1*('Spółka JSW'!B17/'Spółka JSW'!B35)</f>
        <v>7.3364769659374831</v>
      </c>
      <c r="H28" s="108" t="s">
        <v>523</v>
      </c>
      <c r="I28" s="265" t="s">
        <v>716</v>
      </c>
      <c r="J28" s="266" t="s">
        <v>717</v>
      </c>
      <c r="K28" s="267" t="s">
        <v>718</v>
      </c>
      <c r="L28" s="266" t="s">
        <v>717</v>
      </c>
      <c r="M28" s="265" t="s">
        <v>716</v>
      </c>
      <c r="O28" s="27" t="s">
        <v>616</v>
      </c>
    </row>
    <row r="29" spans="1:19" ht="16.95" customHeight="1" thickBot="1">
      <c r="A29" s="108" t="s">
        <v>305</v>
      </c>
      <c r="B29" s="75">
        <f>1.5*(('Bogdanka S.A.'!F$31+'Bogdanka S.A.'!F$22)/'Bogdanka S.A.'!F$66) + 0.08*('Bogdanka S.A.'!F$38/'Bogdanka S.A.'!F$66) + 10*('Bogdanka S.A.'!F$26/'Bogdanka S.A.'!F$38) + 5*('Bogdanka S.A.'!F$26/'Bogdanka S.A.'!F$17) + 0.3*('Bogdanka S.A.'!F51/'Bogdanka S.A.'!F17) + 0.1*('Bogdanka S.A.'!F17/'Bogdanka S.A.'!F38)</f>
        <v>0.81221661203683171</v>
      </c>
      <c r="C29" s="76">
        <f>1.5*(('Bogdanka S.A.'!E$31+'Bogdanka S.A.'!E$22)/'Bogdanka S.A.'!E$66) + 0.08*('Bogdanka S.A.'!E$38/'Bogdanka S.A.'!E$66) + 10*('Bogdanka S.A.'!E$26/'Bogdanka S.A.'!E$38) + 5*('Bogdanka S.A.'!E$26/'Bogdanka S.A.'!E$17) + 0.3*('Bogdanka S.A.'!E51/'Bogdanka S.A.'!E17) + 0.1*('Bogdanka S.A.'!E17/'Bogdanka S.A.'!E38)</f>
        <v>2.7038425211249497</v>
      </c>
      <c r="D29" s="77">
        <f>1.5*(('Bogdanka S.A.'!D$31+'Bogdanka S.A.'!D$22)/'Bogdanka S.A.'!D$66) + 0.08*('Bogdanka S.A.'!D$38/'Bogdanka S.A.'!D$66) + 10*('Bogdanka S.A.'!D$26/'Bogdanka S.A.'!D$38) + 5*('Bogdanka S.A.'!D$26/'Bogdanka S.A.'!D$17) + 0.3*('Bogdanka S.A.'!D51/'Bogdanka S.A.'!D17) + 0.1*('Bogdanka S.A.'!D17/'Bogdanka S.A.'!D38)</f>
        <v>0.48246816950053456</v>
      </c>
      <c r="E29" s="76">
        <f>1.5*(('Bogdanka S.A.'!C$31+'Bogdanka S.A.'!C$22)/'Bogdanka S.A.'!C$66) + 0.08*('Bogdanka S.A.'!C$38/'Bogdanka S.A.'!C$66) + 10*('Bogdanka S.A.'!C$26/'Bogdanka S.A.'!C$38) + 5*('Bogdanka S.A.'!C$26/'Bogdanka S.A.'!C$17) + 0.3*('Bogdanka S.A.'!C51/'Bogdanka S.A.'!C17) + 0.1*('Bogdanka S.A.'!C17/'Bogdanka S.A.'!C38)</f>
        <v>1.8598235353975612</v>
      </c>
      <c r="F29" s="75">
        <f>1.5*(('Bogdanka S.A.'!B$31+'Bogdanka S.A.'!B$22)/'Bogdanka S.A.'!B$66) + 0.08*('Bogdanka S.A.'!B$38/'Bogdanka S.A.'!B$66) + 10*('Bogdanka S.A.'!B$26/'Bogdanka S.A.'!B$38) + 5*('Bogdanka S.A.'!B$26/'Bogdanka S.A.'!B$17) + 0.3*('Bogdanka S.A.'!B51/'Bogdanka S.A.'!B17) + 0.1*('Bogdanka S.A.'!B17/'Bogdanka S.A.'!B38)</f>
        <v>1.0046725913234678</v>
      </c>
      <c r="H29" s="108" t="s">
        <v>305</v>
      </c>
      <c r="I29" s="265" t="s">
        <v>719</v>
      </c>
      <c r="J29" s="266" t="s">
        <v>720</v>
      </c>
      <c r="K29" s="267" t="s">
        <v>721</v>
      </c>
      <c r="L29" s="266" t="s">
        <v>717</v>
      </c>
      <c r="M29" s="265" t="s">
        <v>717</v>
      </c>
      <c r="O29" s="27" t="s">
        <v>617</v>
      </c>
    </row>
    <row r="30" spans="1:19" s="74" customFormat="1" ht="16.2" thickBot="1">
      <c r="A30" s="108" t="s">
        <v>55</v>
      </c>
      <c r="B30" s="75">
        <f>1.5*((sektor!F82+sektor!F101)/sektor!F63) + 0.08*(sektor!F43/sektor!F63) + 10*(sektor!F94/sektor!F43) + 5*(sektor!F94/sektor!F79) + 0.3*(sektor!F20/sektor!F79) + 0.1*(sektor!F79/sektor!F43)</f>
        <v>1.3609815044706652</v>
      </c>
      <c r="C30" s="76">
        <f>1.5*((sektor!E82+sektor!G101)/sektor!E63) + 0.08*(sektor!E43/sektor!E63) + 10*(sektor!E94/sektor!E43) + 5*(sektor!E94/sektor!E79) + 0.3*(sektor!E20/sektor!E79) + 0.1*(sektor!E79/sektor!E43)</f>
        <v>-2.8765823817646119</v>
      </c>
      <c r="D30" s="77">
        <f>1.5*((sektor!D82+sektor!D101)/sektor!D63) + 0.08*(sektor!D43/sektor!D63) + 10*(sektor!D94/sektor!D43) + 5*(sektor!D94/sektor!D79) + 0.3*(sektor!D20/sektor!D79) + 0.1*(sektor!D79/sektor!D43)</f>
        <v>-0.98183373008231067</v>
      </c>
      <c r="E30" s="76">
        <f>1.5*((sektor!C82+sektor!C101)/sektor!C63) + 0.08*(sektor!C43/sektor!C63) + 10*(sektor!C94/sektor!C43) + 5*(sektor!C94/sektor!C79) + 0.3*(sektor!C20/sektor!C79) + 0.1*(sektor!C79/sektor!C43)</f>
        <v>1.0764597307062098</v>
      </c>
      <c r="F30" s="75">
        <f>1.5*((sektor!B82+sektor!B101)/sektor!B63) + 0.08*(sektor!B43/sektor!B63) + 10*(sektor!B94/sektor!B43) + 5*(sektor!B94/sektor!B79) + 0.3*(sektor!B20/sektor!B79) + 0.1*(sektor!B79/sektor!B43)</f>
        <v>6.5449666119224608</v>
      </c>
      <c r="G30" s="27"/>
      <c r="H30" s="108" t="s">
        <v>55</v>
      </c>
      <c r="I30" s="265" t="s">
        <v>722</v>
      </c>
      <c r="J30" s="266" t="s">
        <v>718</v>
      </c>
      <c r="K30" s="267" t="s">
        <v>723</v>
      </c>
      <c r="L30" s="266" t="s">
        <v>717</v>
      </c>
      <c r="M30" s="265" t="s">
        <v>716</v>
      </c>
      <c r="O30" s="74" t="s">
        <v>544</v>
      </c>
    </row>
    <row r="31" spans="1:19">
      <c r="O31" s="27" t="s">
        <v>545</v>
      </c>
    </row>
    <row r="32" spans="1:19">
      <c r="O32" s="27" t="s">
        <v>663</v>
      </c>
    </row>
    <row r="47" spans="1:20" ht="28.2" thickBot="1">
      <c r="A47" s="78" t="s">
        <v>89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O47" s="229" t="s">
        <v>657</v>
      </c>
      <c r="P47" s="229"/>
      <c r="Q47" s="229"/>
      <c r="R47" s="229"/>
      <c r="S47" s="229"/>
      <c r="T47" s="229"/>
    </row>
    <row r="48" spans="1:20" ht="16.2" thickBot="1">
      <c r="A48" s="8" t="s">
        <v>87</v>
      </c>
      <c r="B48" s="105">
        <v>2018</v>
      </c>
      <c r="C48" s="106">
        <v>2019</v>
      </c>
      <c r="D48" s="107">
        <v>2020</v>
      </c>
      <c r="E48" s="106">
        <v>2021</v>
      </c>
      <c r="F48" s="105">
        <v>2022</v>
      </c>
      <c r="H48" s="8" t="s">
        <v>88</v>
      </c>
      <c r="I48" s="105">
        <v>2018</v>
      </c>
      <c r="J48" s="106">
        <v>2019</v>
      </c>
      <c r="K48" s="107">
        <v>2020</v>
      </c>
      <c r="L48" s="106">
        <v>2021</v>
      </c>
      <c r="M48" s="105">
        <v>2022</v>
      </c>
      <c r="O48" s="27" t="s">
        <v>653</v>
      </c>
    </row>
    <row r="49" spans="1:49" ht="16.2" thickBot="1">
      <c r="A49" s="108" t="s">
        <v>523</v>
      </c>
      <c r="B49" s="225">
        <f>3.562*('Spółka JSW'!F31/'Spółka JSW'!F35) + 1.588*(('Spółka JSW'!F48 - 'Spółka JSW'!F49)/'Spółka JSW'!F72) + 4.288*(('Spółka JSW'!F59+'Spółka JSW'!F67)/'Spółka JSW'!F35) + 6.719*(('Spółka JSW'!F17+'Spółka JSW'!F18)/'Spółka JSW'!F17) - 2.368</f>
        <v>4.4411100177540579</v>
      </c>
      <c r="C49" s="226">
        <f>3.562*('Spółka JSW'!E31/'Spółka JSW'!E35) + 1.588*(('Spółka JSW'!E48 - 'Spółka JSW'!E49)/'Spółka JSW'!E72) + 4.288*(('Spółka JSW'!E59+'Spółka JSW'!E67)/'Spółka JSW'!E35) + 6.719*(('Spółka JSW'!E17+'Spółka JSW'!E18)/'Spółka JSW'!E17) - 2.368</f>
        <v>3.3274514376969901</v>
      </c>
      <c r="D49" s="227">
        <f>3.562*('Spółka JSW'!D31/'Spółka JSW'!D35) + 1.588*(('Spółka JSW'!D48 - 'Spółka JSW'!D49)/'Spółka JSW'!D72) + 4.288*(('Spółka JSW'!D59+'Spółka JSW'!D67)/'Spółka JSW'!D35) + 6.719*(('Spółka JSW'!D17+'Spółka JSW'!D18)/'Spółka JSW'!D17) - 2.368</f>
        <v>1.2597524228071686</v>
      </c>
      <c r="E49" s="226">
        <f>3.562*('Spółka JSW'!C31/'Spółka JSW'!C35) + 1.588*(('Spółka JSW'!C48 - 'Spółka JSW'!C49)/'Spółka JSW'!C72) + 4.288*(('Spółka JSW'!C59+'Spółka JSW'!C67)/'Spółka JSW'!C35) + 6.719*(('Spółka JSW'!C17+'Spółka JSW'!C18)/'Spółka JSW'!C17) - 2.368</f>
        <v>4.075337334993149</v>
      </c>
      <c r="F49" s="225">
        <f>3.562*('Spółka JSW'!B31/'Spółka JSW'!B35) + 1.588*(('Spółka JSW'!B48 - 'Spółka JSW'!B49)/'Spółka JSW'!B72) + 4.288*(('Spółka JSW'!B59+'Spółka JSW'!B67)/'Spółka JSW'!B35) + 6.719*(('Spółka JSW'!B17+'Spółka JSW'!B18)/'Spółka JSW'!B17) - 2.368</f>
        <v>6.6437091316795076</v>
      </c>
      <c r="H49" s="108" t="s">
        <v>523</v>
      </c>
      <c r="I49" s="265" t="s">
        <v>720</v>
      </c>
      <c r="J49" s="266" t="s">
        <v>717</v>
      </c>
      <c r="K49" s="267" t="s">
        <v>721</v>
      </c>
      <c r="L49" s="266" t="s">
        <v>720</v>
      </c>
      <c r="M49" s="265" t="s">
        <v>720</v>
      </c>
      <c r="O49" s="27" t="s">
        <v>654</v>
      </c>
    </row>
    <row r="50" spans="1:49" ht="16.2" thickBot="1">
      <c r="A50" s="108" t="s">
        <v>305</v>
      </c>
      <c r="B50" s="225">
        <f>3.562*('Bogdanka S.A.'!F34/'Bogdanka S.A.'!F38)+1.588*(('Bogdanka S.A.'!F50-'Bogdanka S.A.'!F51)/'Bogdanka S.A.'!F73)+4.288*(('Bogdanka S.A.'!F60+'Bogdanka S.A.'!F67)/'Bogdanka S.A.'!F38)+6.719*(('Bogdanka S.A.'!F17+'Bogdanka S.A.'!F18)/'Bogdanka S.A.'!F17)- 2.368</f>
        <v>3.5145978845163701</v>
      </c>
      <c r="C50" s="226">
        <f>3.562*('Bogdanka S.A.'!E34/'Bogdanka S.A.'!E38)+1.588*(('Bogdanka S.A.'!E50-'Bogdanka S.A.'!E51)/'Bogdanka S.A.'!E73)+4.288*(('Bogdanka S.A.'!E60+'Bogdanka S.A.'!E67)/'Bogdanka S.A.'!E38)+6.719*(('Bogdanka S.A.'!E17+'Bogdanka S.A.'!E18)/'Bogdanka S.A.'!E17) - 2.368</f>
        <v>6.1041704154518666</v>
      </c>
      <c r="D50" s="227">
        <f>3.562*('Bogdanka S.A.'!D34/'Bogdanka S.A.'!D38)+1.588*(('Bogdanka S.A.'!D50-'Bogdanka S.A.'!D51)/'Bogdanka S.A.'!D73)+4.288*(('Bogdanka S.A.'!D60+'Bogdanka S.A.'!D67)/'Bogdanka S.A.'!D38)+6.719*(('Bogdanka S.A.'!D17+'Bogdanka S.A.'!D18)/'Bogdanka S.A.'!D17) - 2.368</f>
        <v>4.8354352077474072</v>
      </c>
      <c r="E50" s="226">
        <f>3.562*('Bogdanka S.A.'!C34/'Bogdanka S.A.'!C38)+1.588*(('Bogdanka S.A.'!C50-'Bogdanka S.A.'!C51)/'Bogdanka S.A.'!C73)+4.288*(('Bogdanka S.A.'!C60+'Bogdanka S.A.'!C67)/'Bogdanka S.A.'!C38)+6.719*(('Bogdanka S.A.'!C17+'Bogdanka S.A.'!C18)/'Bogdanka S.A.'!C17) - 2.368</f>
        <v>6.0591705597710757</v>
      </c>
      <c r="F50" s="225">
        <f>3.562*('Bogdanka S.A.'!B34/'Bogdanka S.A.'!B38)+1.588*(('Bogdanka S.A.'!B50-'Bogdanka S.A.'!B51)/'Bogdanka S.A.'!B73)+4.288*(('Bogdanka S.A.'!B60+'Bogdanka S.A.'!B67)/'Bogdanka S.A.'!B38)+6.719*(('Bogdanka S.A.'!B17+'Bogdanka S.A.'!B18)/'Bogdanka S.A.'!B17) - 2.368</f>
        <v>5.3938727251157328</v>
      </c>
      <c r="H50" s="108" t="s">
        <v>305</v>
      </c>
      <c r="I50" s="265" t="s">
        <v>717</v>
      </c>
      <c r="J50" s="266" t="s">
        <v>716</v>
      </c>
      <c r="K50" s="267" t="s">
        <v>716</v>
      </c>
      <c r="L50" s="267" t="s">
        <v>716</v>
      </c>
      <c r="M50" s="267" t="s">
        <v>716</v>
      </c>
      <c r="O50" s="228" t="s">
        <v>655</v>
      </c>
    </row>
    <row r="51" spans="1:49" s="74" customFormat="1" ht="16.2" thickBot="1">
      <c r="A51" s="108" t="s">
        <v>55</v>
      </c>
      <c r="B51" s="75">
        <f>3.562*(sektor!F99/sektor!F43)+1.588*((sektor!F28-sektor!F20)/sektor!F53)+4.288*((sektor!F121+sektor!F61)/sektor!F43)+6.719*((sektor!F79-sektor!F80)/sektor!F79)-2.368</f>
        <v>3.6778406077941086</v>
      </c>
      <c r="C51" s="76">
        <f>3.562*(sektor!E99/sektor!E43)+1.588*((sektor!F28-sektor!E20)/sektor!E53)+4.288*((sektor!E121+sektor!E61)/sektor!E43)+6.719*((sektor!E79-sektor!E80)/sektor!E79)-2.368</f>
        <v>0.56924816520036448</v>
      </c>
      <c r="D51" s="77">
        <f>3.562*(sektor!D99/sektor!D43)+1.588*((sektor!D28-sektor!D20)/sektor!D53)+4.288*((sektor!D121+sektor!D61)/sektor!D43)+6.719*((sektor!D79-sektor!D80)/sektor!D79)-2.368</f>
        <v>1.1315232017423464</v>
      </c>
      <c r="E51" s="76">
        <f>3.562*(sektor!C99/sektor!C43)+1.588*((sektor!C28-sektor!C20)/sektor!C53)+4.288*((sektor!C121+sektor!C61)/sektor!C43)+6.719*((sektor!C79-sektor!C80)/sektor!C79)-2.368</f>
        <v>1.49277699851408</v>
      </c>
      <c r="F51" s="75">
        <f>3.562*(sektor!B99/sektor!B43)+1.588*((sektor!B28-sektor!B20)/sektor!B53)+4.288*((sektor!B121+sektor!B61)/sektor!B43)+6.719*((sektor!B79-sektor!B80)/sektor!B79)-2.368</f>
        <v>6.2918026038128527</v>
      </c>
      <c r="G51" s="27"/>
      <c r="H51" s="108" t="s">
        <v>55</v>
      </c>
      <c r="I51" s="265" t="s">
        <v>717</v>
      </c>
      <c r="J51" s="266" t="s">
        <v>723</v>
      </c>
      <c r="K51" s="267" t="s">
        <v>721</v>
      </c>
      <c r="L51" s="266" t="s">
        <v>721</v>
      </c>
      <c r="M51" s="265" t="s">
        <v>720</v>
      </c>
      <c r="O51" s="74" t="s">
        <v>656</v>
      </c>
    </row>
    <row r="53" spans="1:49">
      <c r="O53" s="27" t="s">
        <v>664</v>
      </c>
      <c r="AW53"/>
    </row>
    <row r="54" spans="1:49">
      <c r="AW54" s="233"/>
    </row>
    <row r="55" spans="1:49">
      <c r="AW55" s="234"/>
    </row>
    <row r="56" spans="1:49">
      <c r="AW56" s="235"/>
    </row>
    <row r="57" spans="1:49">
      <c r="AW57" s="234"/>
    </row>
    <row r="58" spans="1:49">
      <c r="AW58" s="235"/>
    </row>
    <row r="59" spans="1:49">
      <c r="AW59" s="234"/>
    </row>
    <row r="60" spans="1:49">
      <c r="AW60" s="234"/>
    </row>
    <row r="61" spans="1:49">
      <c r="AW61" s="235"/>
    </row>
    <row r="62" spans="1:49">
      <c r="AW62" s="235"/>
    </row>
    <row r="63" spans="1:49">
      <c r="AW63" s="236"/>
    </row>
    <row r="64" spans="1:49">
      <c r="AW64" s="237"/>
    </row>
    <row r="67" spans="1:20">
      <c r="O67" s="27" t="s">
        <v>665</v>
      </c>
    </row>
    <row r="68" spans="1:20" ht="28.2" thickBot="1">
      <c r="A68" s="78" t="s">
        <v>90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O68" s="232" t="s">
        <v>662</v>
      </c>
      <c r="P68" s="229"/>
      <c r="Q68" s="229"/>
      <c r="R68" s="229"/>
      <c r="S68" s="229"/>
      <c r="T68" s="229"/>
    </row>
    <row r="69" spans="1:20" ht="16.2" thickBot="1">
      <c r="A69" s="8" t="s">
        <v>91</v>
      </c>
      <c r="B69" s="105">
        <v>2018</v>
      </c>
      <c r="C69" s="106">
        <v>2019</v>
      </c>
      <c r="D69" s="107">
        <v>2020</v>
      </c>
      <c r="E69" s="106">
        <v>2021</v>
      </c>
      <c r="F69" s="105">
        <v>2022</v>
      </c>
      <c r="H69" s="8" t="s">
        <v>92</v>
      </c>
      <c r="I69" s="105">
        <v>2018</v>
      </c>
      <c r="J69" s="106">
        <v>2019</v>
      </c>
      <c r="K69" s="107">
        <v>2020</v>
      </c>
      <c r="L69" s="106">
        <v>2021</v>
      </c>
      <c r="M69" s="105">
        <v>2022</v>
      </c>
      <c r="O69" s="230"/>
    </row>
    <row r="70" spans="1:20" ht="16.2" thickBot="1">
      <c r="A70" s="108" t="s">
        <v>523</v>
      </c>
      <c r="B70" s="75">
        <f>3.26*('Spółka JSW'!F25/'Spółka JSW'!F35) + 2.16*( 'Spółka JSW'!F25/'Spółka JSW'!F17) + 0.3*('Spółka JSW'!F48/'Spółka JSW'!F66) + 0.69* (('Spółka JSW'!F48-'Spółka JSW'!F72)/'Spółka JSW'!F35)</f>
        <v>1.217374486520336</v>
      </c>
      <c r="C70" s="76">
        <f>3.26*('Spółka JSW'!E25/'Spółka JSW'!E35) + 2.16*( 'Spółka JSW'!E25/'Spółka JSW'!E17) + 0.3*('Spółka JSW'!E48/'Spółka JSW'!E66) + 0.69* (('Spółka JSW'!E48-'Spółka JSW'!E72)/'Spółka JSW'!E35)</f>
        <v>0.58321125632502768</v>
      </c>
      <c r="D70" s="77">
        <f>3.26*('Spółka JSW'!D25/'Spółka JSW'!D35) + 2.16*( 'Spółka JSW'!D25/'Spółka JSW'!D17) + 0.3*('Spółka JSW'!D48/'Spółka JSW'!D66) + 0.69* (('Spółka JSW'!D48-'Spółka JSW'!D72)/'Spółka JSW'!D35)</f>
        <v>-0.81739095391369543</v>
      </c>
      <c r="E70" s="76">
        <f>3.26*('Spółka JSW'!C25/'Spółka JSW'!C35) + 2.16*( 'Spółka JSW'!C25/'Spółka JSW'!C17) + 0.3*('Spółka JSW'!C48/'Spółka JSW'!C66) + 0.69* (('Spółka JSW'!C48-'Spółka JSW'!C72)/'Spółka JSW'!C35)</f>
        <v>0.66853492952321958</v>
      </c>
      <c r="F70" s="75">
        <f>3.26*('Spółka JSW'!B25/'Spółka JSW'!B35) + 2.16*( 'Spółka JSW'!B25/'Spółka JSW'!B17) + 0.3*('Spółka JSW'!B48/'Spółka JSW'!B66) + 0.69* (('Spółka JSW'!B48-'Spółka JSW'!B72)/'Spółka JSW'!B35)</f>
        <v>2.3439398809470804</v>
      </c>
      <c r="H70" s="108" t="s">
        <v>523</v>
      </c>
      <c r="I70" s="265" t="s">
        <v>724</v>
      </c>
      <c r="J70" s="266" t="s">
        <v>721</v>
      </c>
      <c r="K70" s="267" t="s">
        <v>723</v>
      </c>
      <c r="L70" s="266" t="s">
        <v>721</v>
      </c>
      <c r="M70" s="265" t="s">
        <v>720</v>
      </c>
      <c r="O70" s="230" t="s">
        <v>658</v>
      </c>
    </row>
    <row r="71" spans="1:20" ht="16.2" thickBot="1">
      <c r="A71" s="108" t="s">
        <v>305</v>
      </c>
      <c r="B71" s="75">
        <f>3.26*(('Bogdanka S.A.'!F26+'Bogdanka S.A.'!F22)/'Bogdanka S.A.'!F38) + 2.16*(('Bogdanka S.A.'!F26+'Bogdanka S.A.'!F22)/'Bogdanka S.A.'!F17) + 0.3*('Bogdanka S.A.'!F50/'Bogdanka S.A.'!F66) + 0.69*(('Bogdanka S.A.'!F50-'Bogdanka S.A.'!F73)/'Bogdanka S.A.'!F38)</f>
        <v>0.274924016355797</v>
      </c>
      <c r="C71" s="76">
        <f>3.26*(('Bogdanka S.A.'!E26+'Bogdanka S.A.'!E22)/'Bogdanka S.A.'!E38) + 2.16*(('Bogdanka S.A.'!E26+'Bogdanka S.A.'!E22)/'Bogdanka S.A.'!E17) + 0.3*('Bogdanka S.A.'!E50/'Bogdanka S.A.'!E66) + 0.69*(('Bogdanka S.A.'!E50-'Bogdanka S.A.'!E73)/'Bogdanka S.A.'!E38)</f>
        <v>0.94063175936584831</v>
      </c>
      <c r="D71" s="77">
        <f>3.26*(('Bogdanka S.A.'!D26-'Bogdanka S.A.'!D22)/'Bogdanka S.A.'!D38) + 2.16*(('Bogdanka S.A.'!D26-'Bogdanka S.A.'!D22)/'Bogdanka S.A.'!D17) + 0.3*('Bogdanka S.A.'!D50/'Bogdanka S.A.'!D66) + 0.69*(('Bogdanka S.A.'!D50-'Bogdanka S.A.'!D73)/'Bogdanka S.A.'!D38)</f>
        <v>1.098009848104887</v>
      </c>
      <c r="E71" s="76">
        <f>3.26*(('Bogdanka S.A.'!C26-'Bogdanka S.A.'!C22)/'Bogdanka S.A.'!C38) + 2.16*(('Bogdanka S.A.'!C26-'Bogdanka S.A.'!C22)/'Bogdanka S.A.'!C17) + 0.3*('Bogdanka S.A.'!C50/'Bogdanka S.A.'!C66) + 0.69*(('Bogdanka S.A.'!C50-'Bogdanka S.A.'!C73)/'Bogdanka S.A.'!C38)</f>
        <v>1.6309415149438209</v>
      </c>
      <c r="F71" s="75">
        <f>3.26*(('Bogdanka S.A.'!B26-'Bogdanka S.A.'!B22)/'Bogdanka S.A.'!B38) + 2.16*(('Bogdanka S.A.'!B26-'Bogdanka S.A.'!B22)/'Bogdanka S.A.'!B17) + 0.3*('Bogdanka S.A.'!B50/'Bogdanka S.A.'!B66) + 0.69*(('Bogdanka S.A.'!B50-'Bogdanka S.A.'!B73)/'Bogdanka S.A.'!B38)</f>
        <v>1.2559909940738394</v>
      </c>
      <c r="H71" s="108" t="s">
        <v>305</v>
      </c>
      <c r="I71" s="265" t="s">
        <v>721</v>
      </c>
      <c r="J71" s="266" t="s">
        <v>721</v>
      </c>
      <c r="K71" s="267" t="s">
        <v>717</v>
      </c>
      <c r="L71" s="266" t="s">
        <v>717</v>
      </c>
      <c r="M71" s="265" t="s">
        <v>717</v>
      </c>
      <c r="O71" s="230" t="s">
        <v>659</v>
      </c>
    </row>
    <row r="72" spans="1:20" s="74" customFormat="1" ht="16.2" thickBot="1">
      <c r="A72" s="108" t="s">
        <v>55</v>
      </c>
      <c r="B72" s="75">
        <f>3.26*((sektor!F86-sektor!F101)/sektor!F43)+2.16*((sektor!F86-sektor!F101)/sektor!F79)+0.3*(sektor!F28/sektor!F63)+0.69*((sektor!F146/sektor!F43))</f>
        <v>0.17592445137954499</v>
      </c>
      <c r="C72" s="76">
        <f>3.26*((sektor!E86-sektor!E101)/sektor!E43)+2.16*((sektor!E86-sektor!E101)/sektor!E79)+0.3*(sektor!E28/sektor!E63)+0.69*((sektor!E146/sektor!E43))</f>
        <v>-2.2407068171159557</v>
      </c>
      <c r="D72" s="77">
        <f>3.26*((sektor!D86-sektor!D101)/sektor!D43)+2.16*((sektor!D86-sektor!D101)/sektor!D79)+0.3*(sektor!D28/sektor!D63)+0.69*((sektor!D146/sektor!D43))</f>
        <v>-0.68517638376039613</v>
      </c>
      <c r="E72" s="76">
        <f>3.26*((sektor!C86-sektor!C101)/sektor!C43)+2.16*((sektor!C86-sektor!C101)/sektor!C79)+0.3*(sektor!C28/sektor!C63)+0.69*((sektor!C146/sektor!C43))</f>
        <v>0.11362062550235062</v>
      </c>
      <c r="F72" s="75">
        <f>3.26*((sektor!B86-sektor!B101)/sektor!B43)+2.16*((sektor!B86-sektor!B101)/sektor!B79)+0.3*(sektor!B28/sektor!B63)+0.69*((sektor!B146/sektor!B43))</f>
        <v>1.9426230842197383</v>
      </c>
      <c r="G72" s="27"/>
      <c r="H72" s="108" t="s">
        <v>55</v>
      </c>
      <c r="I72" s="265" t="s">
        <v>721</v>
      </c>
      <c r="J72" s="266" t="s">
        <v>723</v>
      </c>
      <c r="K72" s="267" t="s">
        <v>723</v>
      </c>
      <c r="L72" s="266" t="s">
        <v>721</v>
      </c>
      <c r="M72" s="265" t="s">
        <v>717</v>
      </c>
      <c r="O72" s="230" t="s">
        <v>660</v>
      </c>
    </row>
    <row r="73" spans="1:20">
      <c r="O73" s="230" t="s">
        <v>661</v>
      </c>
    </row>
    <row r="74" spans="1:20">
      <c r="O74" s="230"/>
    </row>
    <row r="88" spans="1:14" ht="28.2" thickBot="1">
      <c r="A88" s="78" t="s">
        <v>93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/>
    </row>
    <row r="89" spans="1:14" ht="16.2" thickBot="1">
      <c r="A89" s="8" t="s">
        <v>94</v>
      </c>
      <c r="B89" s="105">
        <v>2018</v>
      </c>
      <c r="C89" s="106">
        <v>2019</v>
      </c>
      <c r="D89" s="107">
        <v>2020</v>
      </c>
      <c r="E89" s="106">
        <v>2021</v>
      </c>
      <c r="F89" s="105">
        <v>2022</v>
      </c>
      <c r="H89" s="8" t="s">
        <v>95</v>
      </c>
      <c r="I89" s="105">
        <v>2018</v>
      </c>
      <c r="J89" s="106">
        <v>2019</v>
      </c>
      <c r="K89" s="107">
        <v>2020</v>
      </c>
      <c r="L89" s="106">
        <v>2021</v>
      </c>
      <c r="M89" s="105">
        <v>2022</v>
      </c>
      <c r="N89"/>
    </row>
    <row r="90" spans="1:14" ht="23.4" thickBot="1">
      <c r="A90" s="108" t="s">
        <v>523</v>
      </c>
      <c r="B90" s="75">
        <f xml:space="preserve"> 6.525 * (('Spółka JSW'!F17 + 'Spółka JSW'!F18 + 'Spółka JSW'!F20 + 'Spółka JSW'!F21) / 'Spółka JSW'!F35) + 0.148*ABS(('Spółka JSW'!F18 + 'Spółka JSW'!F20 + 'Spółka JSW'!F21) / 'Spółka JSW'!F72) + 0.406*('Spółka JSW'!F48 / 'Spółka JSW'!F72) + 2.175*(('Spółka JSW'!F17 + 'Spółka JSW'!F18 + 'Spółka JSW'!F20 + 'Spółka JSW'!F21) / 'Spółka JSW'!F17) - 1.569</f>
        <v>0.49643627580619221</v>
      </c>
      <c r="C90" s="76">
        <f xml:space="preserve"> 6.525 * (('Spółka JSW'!E17 + 'Spółka JSW'!E18 + 'Spółka JSW'!E20 + 'Spółka JSW'!E21) / 'Spółka JSW'!E35) + 0.148*ABS(('Spółka JSW'!E18 + 'Spółka JSW'!E20 + 'Spółka JSW'!E21) / 'Spółka JSW'!E72) + 0.406*('Spółka JSW'!E48 / 'Spółka JSW'!E72) + 2.175*(('Spółka JSW'!E17 + 'Spółka JSW'!E18 + 'Spółka JSW'!E20 + 'Spółka JSW'!E21) / 'Spółka JSW'!E17) - 1.569</f>
        <v>-0.40258219222585923</v>
      </c>
      <c r="D90" s="77">
        <f xml:space="preserve"> 6.525 * (('Spółka JSW'!D17 + 'Spółka JSW'!D18 + 'Spółka JSW'!D20 + 'Spółka JSW'!D21) / 'Spółka JSW'!D35) + 0.148*ABS(('Spółka JSW'!D18 + 'Spółka JSW'!D20 + 'Spółka JSW'!D21) / 'Spółka JSW'!D72) + 0.406*('Spółka JSW'!D48 / 'Spółka JSW'!D72) + 2.175*(('Spółka JSW'!D17 + 'Spółka JSW'!D18 + 'Spółka JSW'!D20 + 'Spółka JSW'!D21) / 'Spółka JSW'!D17) - 1.569</f>
        <v>-1.8776521684968326</v>
      </c>
      <c r="E90" s="76">
        <f xml:space="preserve"> 6.525 * (('Spółka JSW'!C17 + 'Spółka JSW'!C18 + 'Spółka JSW'!C20 + 'Spółka JSW'!C21) / 'Spółka JSW'!C35) + 0.148*ABS(('Spółka JSW'!C18 + 'Spółka JSW'!C20 + 'Spółka JSW'!C21) / 'Spółka JSW'!C72) + 0.406*('Spółka JSW'!C48 / 'Spółka JSW'!C72) + 2.175*(('Spółka JSW'!C17 + 'Spółka JSW'!C18 + 'Spółka JSW'!C20 + 'Spółka JSW'!C21) / 'Spółka JSW'!C17) - 1.569</f>
        <v>0.18896054022687103</v>
      </c>
      <c r="F90" s="75">
        <f xml:space="preserve"> 6.525 * (('Spółka JSW'!B17 + 'Spółka JSW'!B18 + 'Spółka JSW'!B20 + 'Spółka JSW'!B21) / 'Spółka JSW'!B35) + 0.148*ABS(('Spółka JSW'!B18 + 'Spółka JSW'!B20 + 'Spółka JSW'!B21) / 'Spółka JSW'!B72) + 0.406*('Spółka JSW'!B48 / 'Spółka JSW'!B72) + 2.175*(('Spółka JSW'!B17 + 'Spółka JSW'!B18 + 'Spółka JSW'!B20 + 'Spółka JSW'!B21) / 'Spółka JSW'!B17) - 1.569</f>
        <v>2.3574164478047175</v>
      </c>
      <c r="H90" s="108" t="s">
        <v>523</v>
      </c>
      <c r="I90" s="265" t="s">
        <v>717</v>
      </c>
      <c r="J90" s="266" t="s">
        <v>723</v>
      </c>
      <c r="K90" s="267" t="s">
        <v>723</v>
      </c>
      <c r="L90" s="266" t="s">
        <v>717</v>
      </c>
      <c r="M90" s="265" t="s">
        <v>717</v>
      </c>
      <c r="N90" s="240" t="s">
        <v>671</v>
      </c>
    </row>
    <row r="91" spans="1:14" ht="16.2" thickBot="1">
      <c r="A91" s="108" t="s">
        <v>305</v>
      </c>
      <c r="B91" s="75">
        <f>6.525*(('Bogdanka S.A.'!F17+'Bogdanka S.A.'!F18+'Bogdanka S.A.'!F20+'Bogdanka S.A.'!F21+'Bogdanka S.A.'!F22)/'Bogdanka S.A.'!F38) + 0.148* ABS((('Bogdanka S.A.'!F18+'Bogdanka S.A.'!F20+'Bogdanka S.A.'!F21+'Bogdanka S.A.'!F22)/'Bogdanka S.A.'!F73)) + 0.406* ( 'Bogdanka S.A.'!F50/'Bogdanka S.A.'!F73) + 2.175*(('Bogdanka S.A.'!F17+'Bogdanka S.A.'!F18+'Bogdanka S.A.'!F20+'Bogdanka S.A.'!F21+'Bogdanka S.A.'!F22)/'Bogdanka S.A.'!F17) - 1.569</f>
        <v>-0.4880798984085386</v>
      </c>
      <c r="C91" s="76">
        <f>6.525*(('Bogdanka S.A.'!E17+'Bogdanka S.A.'!E18+'Bogdanka S.A.'!E20+'Bogdanka S.A.'!E21+'Bogdanka S.A.'!E22)/'Bogdanka S.A.'!E38) + 0.148* ABS((('Bogdanka S.A.'!E18+'Bogdanka S.A.'!E20+'Bogdanka S.A.'!E21+'Bogdanka S.A.'!E22)/'Bogdanka S.A.'!E73)) + 0.406* ( 'Bogdanka S.A.'!E50/'Bogdanka S.A.'!E73) + 2.175*(('Bogdanka S.A.'!E17+'Bogdanka S.A.'!E18+'Bogdanka S.A.'!E20+'Bogdanka S.A.'!E21+'Bogdanka S.A.'!E22)/'Bogdanka S.A.'!E17) - 1.569</f>
        <v>0.85986735171738671</v>
      </c>
      <c r="D91" s="77">
        <f>6.525*(('Bogdanka S.A.'!D17+'Bogdanka S.A.'!D18+'Bogdanka S.A.'!D20+'Bogdanka S.A.'!D21+'Bogdanka S.A.'!D22)/'Bogdanka S.A.'!D38) + 0.148* ABS((('Bogdanka S.A.'!D18+'Bogdanka S.A.'!D20+'Bogdanka S.A.'!D21+'Bogdanka S.A.'!D22)/'Bogdanka S.A.'!D73)) + 0.406* ( 'Bogdanka S.A.'!D50/'Bogdanka S.A.'!D73) + 2.175*(('Bogdanka S.A.'!D17+'Bogdanka S.A.'!D18+'Bogdanka S.A.'!D20+'Bogdanka S.A.'!D21+'Bogdanka S.A.'!D22)/'Bogdanka S.A.'!D17) - 1.569</f>
        <v>-0.74146692300735495</v>
      </c>
      <c r="E91" s="76">
        <f>6.525*(('Bogdanka S.A.'!C17+'Bogdanka S.A.'!C18+'Bogdanka S.A.'!C20+'Bogdanka S.A.'!C21+'Bogdanka S.A.'!C22)/'Bogdanka S.A.'!C38) + 0.148* ABS((('Bogdanka S.A.'!C18+'Bogdanka S.A.'!C20+'Bogdanka S.A.'!C21+'Bogdanka S.A.'!C22)/'Bogdanka S.A.'!C73)) + 0.406* ( 'Bogdanka S.A.'!C50/'Bogdanka S.A.'!C73) + 2.175*(('Bogdanka S.A.'!C17+'Bogdanka S.A.'!C18+'Bogdanka S.A.'!C20+'Bogdanka S.A.'!C21+'Bogdanka S.A.'!C22)/'Bogdanka S.A.'!C17) - 1.569</f>
        <v>-0.20501373636052866</v>
      </c>
      <c r="F91" s="75">
        <f>6.525*(('Bogdanka S.A.'!B17+'Bogdanka S.A.'!B18+'Bogdanka S.A.'!B20+'Bogdanka S.A.'!B21+'Bogdanka S.A.'!B22)/'Bogdanka S.A.'!B38) + 0.148* ABS((('Bogdanka S.A.'!B18+'Bogdanka S.A.'!B20+'Bogdanka S.A.'!B21+'Bogdanka S.A.'!B22)/'Bogdanka S.A.'!B73)) + 0.406* ( 'Bogdanka S.A.'!B50/'Bogdanka S.A.'!B73) + 2.175*(('Bogdanka S.A.'!B17+'Bogdanka S.A.'!B18+'Bogdanka S.A.'!B20+'Bogdanka S.A.'!B21+'Bogdanka S.A.'!B22)/'Bogdanka S.A.'!B17) - 1.569</f>
        <v>-0.27485457030380611</v>
      </c>
      <c r="H91" s="108" t="s">
        <v>305</v>
      </c>
      <c r="I91" s="265" t="s">
        <v>723</v>
      </c>
      <c r="J91" s="266" t="s">
        <v>717</v>
      </c>
      <c r="K91" s="267" t="s">
        <v>723</v>
      </c>
      <c r="L91" s="266" t="s">
        <v>723</v>
      </c>
      <c r="M91" s="265" t="s">
        <v>723</v>
      </c>
    </row>
    <row r="92" spans="1:14" s="74" customFormat="1" ht="16.2" thickBot="1">
      <c r="A92" s="108" t="s">
        <v>55</v>
      </c>
      <c r="B92" s="75">
        <f>6.525*(sektor!F86/sektor!F79) +0.148*((sektor!F80+sektor!F84+sektor!F83+sektor!F101)/sektor!F53) +0.406*(sektor!F28/sektor!F53) + 2.175*(sektor!F86/sektor!F79) - 1.569</f>
        <v>4.0926739550769975E-2</v>
      </c>
      <c r="C92" s="76">
        <f>6.525*(sektor!E86/sektor!E79) +0.148*((sektor!E80+sektor!E84+sektor!E83+sektor!E101)/sektor!E53) +0.406*(sektor!E28/sektor!E53) + 2.175*(sektor!E86/sektor!E79) - 1.569</f>
        <v>-2.8015996012300484</v>
      </c>
      <c r="D92" s="77">
        <f>6.525*(sektor!D86/sektor!D79) +0.148*((sektor!D80+sektor!D84+sektor!D83+sektor!D101)/sektor!D53) +0.406*(sektor!D28/sektor!D53) + 2.175*(sektor!D86/sektor!D79) - 1.569</f>
        <v>-1.6881264298529246</v>
      </c>
      <c r="E92" s="76">
        <f>6.525*(sektor!C86/sektor!C79) +0.148*((sektor!C80+sektor!C84+sektor!C83+sektor!C101)/sektor!C53) +0.406*(sektor!C28/sektor!C53) + 2.175*(sektor!C86/sektor!C79) - 1.569</f>
        <v>-0.23496912480996235</v>
      </c>
      <c r="F92" s="75">
        <f>6.525*(sektor!B86/sektor!B79) +0.148*((sektor!B80+sektor!B84+sektor!B83+sektor!B101)/sektor!B53) +0.406*(sektor!B28/sektor!B53) + 2.175*(sektor!B86/sektor!B79) - 1.569</f>
        <v>2.5745058684646036</v>
      </c>
      <c r="G92" s="27"/>
      <c r="H92" s="108" t="s">
        <v>55</v>
      </c>
      <c r="I92" s="265" t="s">
        <v>717</v>
      </c>
      <c r="J92" s="266" t="s">
        <v>723</v>
      </c>
      <c r="K92" s="268" t="s">
        <v>723</v>
      </c>
      <c r="L92" s="266" t="s">
        <v>723</v>
      </c>
      <c r="M92" s="265" t="s">
        <v>717</v>
      </c>
    </row>
  </sheetData>
  <mergeCells count="4">
    <mergeCell ref="A1:K1"/>
    <mergeCell ref="A7:G7"/>
    <mergeCell ref="A13:G13"/>
    <mergeCell ref="A19:G19"/>
  </mergeCells>
  <hyperlinks>
    <hyperlink ref="S18" r:id="rId1" xr:uid="{3EF184E6-BF37-5D4B-9984-9DDFBDF4C092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828282"/>
  </sheetPr>
  <dimension ref="A1:M117"/>
  <sheetViews>
    <sheetView zoomScale="50" zoomScaleNormal="50" workbookViewId="0">
      <selection activeCell="T17" sqref="T17"/>
    </sheetView>
  </sheetViews>
  <sheetFormatPr defaultColWidth="8.77734375" defaultRowHeight="15.6"/>
  <cols>
    <col min="1" max="1" width="22.77734375" style="27" customWidth="1"/>
    <col min="2" max="2" width="14.6640625" style="27" bestFit="1" customWidth="1"/>
    <col min="3" max="7" width="8.77734375" style="27"/>
    <col min="8" max="8" width="28" style="27" customWidth="1"/>
    <col min="9" max="13" width="12.109375" style="27" customWidth="1"/>
    <col min="14" max="16384" width="8.77734375" style="27"/>
  </cols>
  <sheetData>
    <row r="1" spans="1:13">
      <c r="A1" s="307" t="s">
        <v>725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</row>
    <row r="4" spans="1:13" s="74" customFormat="1" ht="28.2" thickBot="1">
      <c r="A4" s="78" t="s">
        <v>80</v>
      </c>
    </row>
    <row r="5" spans="1:13" ht="16.2" thickBot="1">
      <c r="A5" s="8"/>
      <c r="B5" s="105">
        <v>2018</v>
      </c>
      <c r="C5" s="106">
        <v>2019</v>
      </c>
      <c r="D5" s="107">
        <v>2020</v>
      </c>
      <c r="E5" s="106">
        <v>2021</v>
      </c>
      <c r="F5" s="105">
        <v>2022</v>
      </c>
    </row>
    <row r="6" spans="1:13" ht="16.2" thickBot="1">
      <c r="A6" s="108" t="s">
        <v>523</v>
      </c>
      <c r="B6" s="225">
        <f>-19-11*('Spółka JSW'!F66/'Spółka JSW'!F35) + 6*(('Spółka JSW'!F48-'Spółka JSW'!F49)/'Spółka JSW'!F72) + 40*('Spółka JSW'!F31/'Spółka JSW'!F35) + 19*ABS('Spółka JSW'!F17/('Spółka JSW'!F18+'Spółka JSW'!F20+'Spółka JSW'!F21+'Spółka JSW'!F24))</f>
        <v>6.8354103258874481</v>
      </c>
      <c r="C6" s="226">
        <f>-19-11*('Spółka JSW'!E66/'Spółka JSW'!E35) + 6*(('Spółka JSW'!E48-'Spółka JSW'!E49)/'Spółka JSW'!E72) + 40*('Spółka JSW'!E31/'Spółka JSW'!E35) + 19*ABS('Spółka JSW'!E17/('Spółka JSW'!E18+'Spółka JSW'!E20+'Spółka JSW'!E21+'Spółka JSW'!E24))</f>
        <v>2.3500698691763766</v>
      </c>
      <c r="D6" s="227">
        <f>-19-11*('Spółka JSW'!D66/'Spółka JSW'!D35) + 6*(('Spółka JSW'!D48-'Spółka JSW'!D49)/'Spółka JSW'!D72) + 40*('Spółka JSW'!D31/'Spółka JSW'!D35) + 19*ABS('Spółka JSW'!D17/('Spółka JSW'!D18+'Spółka JSW'!D20+'Spółka JSW'!D21+'Spółka JSW'!D24))</f>
        <v>-9.9345114186196426</v>
      </c>
      <c r="E6" s="226">
        <f>-19-11*('Spółka JSW'!C66/'Spółka JSW'!C35) + 6*(('Spółka JSW'!C48-'Spółka JSW'!C49)/'Spółka JSW'!C72) + 40*('Spółka JSW'!C31/'Spółka JSW'!C35) + 19*ABS('Spółka JSW'!C17/('Spółka JSW'!C18+'Spółka JSW'!C20+'Spółka JSW'!C21+'Spółka JSW'!C24))</f>
        <v>3.4370915598938225</v>
      </c>
      <c r="F6" s="225">
        <f>-19-11*('Spółka JSW'!B66/'Spółka JSW'!B35) + 6*(('Spółka JSW'!B48-'Spółka JSW'!B49)/'Spółka JSW'!B72) + 40*('Spółka JSW'!B31/'Spółka JSW'!B35) + 19*ABS('Spółka JSW'!B17/('Spółka JSW'!B18+'Spółka JSW'!B20+'Spółka JSW'!B21+'Spółka JSW'!B24))</f>
        <v>27.290027105473762</v>
      </c>
      <c r="H6" s="308"/>
    </row>
    <row r="7" spans="1:13" ht="16.2" thickBot="1">
      <c r="A7" s="108" t="s">
        <v>305</v>
      </c>
      <c r="B7" s="225">
        <f>-19-11*('Bogdanka S.A.'!F66/'Bogdanka S.A.'!F38) + 6*(('Bogdanka S.A.'!F50-'Bogdanka S.A.'!F51)/'Bogdanka S.A.'!F73) + 40*('Bogdanka S.A.'!F34/'Bogdanka S.A.'!F38) + 19*ABS(('Bogdanka S.A.'!F17/('Bogdanka S.A.'!F18+'Bogdanka S.A.'!F20+'Bogdanka S.A.'!F21+'Bogdanka S.A.'!F22+'Bogdanka S.A.'!F25)))</f>
        <v>3.2804459825878247</v>
      </c>
      <c r="C7" s="226">
        <f>-19-11*('Bogdanka S.A.'!E66/'Bogdanka S.A.'!E38) + 6*(('Bogdanka S.A.'!E50-'Bogdanka S.A.'!E51)/'Bogdanka S.A.'!E73) + 40*('Bogdanka S.A.'!E34/'Bogdanka S.A.'!E38) + 19*ABS(('Bogdanka S.A.'!E17/('Bogdanka S.A.'!E18+'Bogdanka S.A.'!E20+'Bogdanka S.A.'!E21+'Bogdanka S.A.'!E22+'Bogdanka S.A.'!E25)))</f>
        <v>14.262394509168075</v>
      </c>
      <c r="D7" s="227">
        <f>-19-11*('Bogdanka S.A.'!D66/'Bogdanka S.A.'!D38) + 6*(('Bogdanka S.A.'!D50-'Bogdanka S.A.'!D51)/'Bogdanka S.A.'!D73) + 40*('Bogdanka S.A.'!D34/'Bogdanka S.A.'!D38) + 19*ABS(('Bogdanka S.A.'!D17/('Bogdanka S.A.'!D18+'Bogdanka S.A.'!D20+'Bogdanka S.A.'!D21+'Bogdanka S.A.'!D22+'Bogdanka S.A.'!D25)))</f>
        <v>4.1151835691470211</v>
      </c>
      <c r="E7" s="226">
        <f>-19-11*('Bogdanka S.A.'!C66/'Bogdanka S.A.'!C38) + 6*(('Bogdanka S.A.'!C50-'Bogdanka S.A.'!C51)/'Bogdanka S.A.'!C73) + 40*('Bogdanka S.A.'!C34/'Bogdanka S.A.'!C38) + 19*ABS(('Bogdanka S.A.'!C17/('Bogdanka S.A.'!C18+'Bogdanka S.A.'!C20+'Bogdanka S.A.'!C21+'Bogdanka S.A.'!C22+'Bogdanka S.A.'!C25)))</f>
        <v>10.101282350872449</v>
      </c>
      <c r="F7" s="225">
        <f>-19-11*('Bogdanka S.A.'!B66/'Bogdanka S.A.'!B38) + 6*(('Bogdanka S.A.'!B50-'Bogdanka S.A.'!B51)/'Bogdanka S.A.'!B73) + 40*('Bogdanka S.A.'!B34/'Bogdanka S.A.'!B38) + 19*ABS(('Bogdanka S.A.'!B17/('Bogdanka S.A.'!B18+'Bogdanka S.A.'!B20+'Bogdanka S.A.'!B21+'Bogdanka S.A.'!B22+'Bogdanka S.A.'!B25)))</f>
        <v>7.3949677106126455</v>
      </c>
      <c r="H7" s="308"/>
    </row>
    <row r="8" spans="1:13" ht="16.2" thickBot="1">
      <c r="A8" s="108" t="s">
        <v>55</v>
      </c>
      <c r="B8" s="225">
        <f>-19-11*(sektor!F63/sektor!F43) + 6*((sektor!F28-sektor!F20)/sektor!F53) + 40*(sektor!F99/sektor!F43) + 19*(sektor!F79/(sektor!F80-sektor!F83-sektor!F84))</f>
        <v>9.7696486087553183</v>
      </c>
      <c r="C8" s="226">
        <f>-19-11*(sektor!E63/sektor!E43) + 6*((sektor!E28-sektor!E20)/sektor!E53) + 40*(sektor!E99/sektor!E43) + 19*(sektor!E79/(sektor!E80-sektor!E83-sektor!E84))</f>
        <v>-2.6900306771515403</v>
      </c>
      <c r="D8" s="227">
        <f>-19-11*(sektor!D63/sektor!D43) + 6*((sektor!D28-sektor!D20)/sektor!D53) + 40*(sektor!D99/sektor!D43) + 19*(sektor!D79/(sektor!D80-sektor!D83-sektor!D84))</f>
        <v>-4.2697159716866047</v>
      </c>
      <c r="E8" s="226">
        <f>-19-11*(sektor!C63/sektor!C43) + 6*((sektor!C28-sektor!C20)/sektor!C53) + 40*(sektor!C99/sektor!C43) + 19*(sektor!C79/(sektor!C80-sektor!C83-sektor!C84))</f>
        <v>1.585358491156061</v>
      </c>
      <c r="F8" s="225">
        <f>-19-11*(sektor!B63/sektor!B43) + 6*((sektor!B28-sektor!B20)/sektor!B53) + 40*(sektor!B99/sektor!B43) + 19*(sektor!B79/(sektor!B80-sektor!B83-sektor!B84))</f>
        <v>35.095324600557028</v>
      </c>
    </row>
    <row r="9" spans="1:13" ht="16.2" thickBot="1"/>
    <row r="10" spans="1:13" ht="31.8" thickBot="1">
      <c r="A10" s="50" t="s">
        <v>96</v>
      </c>
      <c r="B10" s="105">
        <v>2018</v>
      </c>
      <c r="C10" s="106">
        <v>2019</v>
      </c>
      <c r="D10" s="107">
        <v>2020</v>
      </c>
      <c r="E10" s="106">
        <v>2021</v>
      </c>
      <c r="F10" s="105">
        <v>2022</v>
      </c>
      <c r="H10" s="50" t="s">
        <v>99</v>
      </c>
      <c r="I10" s="105">
        <v>2018</v>
      </c>
      <c r="J10" s="106">
        <v>2019</v>
      </c>
      <c r="K10" s="107">
        <v>2020</v>
      </c>
      <c r="L10" s="106">
        <v>2021</v>
      </c>
      <c r="M10" s="105">
        <v>2022</v>
      </c>
    </row>
    <row r="11" spans="1:13" ht="16.2" thickBot="1">
      <c r="A11" s="108" t="s">
        <v>523</v>
      </c>
      <c r="B11" s="241">
        <f>1/(1+EXP(-B6))</f>
        <v>0.99892612832639605</v>
      </c>
      <c r="C11" s="242">
        <f t="shared" ref="C11:F11" si="0">1/(1+EXP(-C6))</f>
        <v>0.9129397809736044</v>
      </c>
      <c r="D11" s="243">
        <f t="shared" si="0"/>
        <v>4.8470272307179133E-5</v>
      </c>
      <c r="E11" s="242">
        <f t="shared" si="0"/>
        <v>0.96884384287705849</v>
      </c>
      <c r="F11" s="241">
        <f t="shared" si="0"/>
        <v>0.99999999999859357</v>
      </c>
      <c r="H11" s="108" t="s">
        <v>523</v>
      </c>
      <c r="I11" s="269" t="s">
        <v>717</v>
      </c>
      <c r="J11" s="270" t="s">
        <v>717</v>
      </c>
      <c r="K11" s="271" t="s">
        <v>723</v>
      </c>
      <c r="L11" s="270" t="s">
        <v>717</v>
      </c>
      <c r="M11" s="269" t="s">
        <v>717</v>
      </c>
    </row>
    <row r="12" spans="1:13" ht="16.2" thickBot="1">
      <c r="A12" s="108" t="s">
        <v>305</v>
      </c>
      <c r="B12" s="241">
        <f t="shared" ref="B12:F13" si="1">1/(1+EXP(-B7))</f>
        <v>0.96375186689568071</v>
      </c>
      <c r="C12" s="242">
        <f t="shared" si="1"/>
        <v>0.99999936038227821</v>
      </c>
      <c r="D12" s="243">
        <f t="shared" si="1"/>
        <v>0.98393921553577712</v>
      </c>
      <c r="E12" s="242">
        <f t="shared" si="1"/>
        <v>0.9999589747725548</v>
      </c>
      <c r="F12" s="241">
        <f t="shared" si="1"/>
        <v>0.99938604066306458</v>
      </c>
      <c r="H12" s="108" t="s">
        <v>305</v>
      </c>
      <c r="I12" s="269" t="s">
        <v>717</v>
      </c>
      <c r="J12" s="270" t="s">
        <v>717</v>
      </c>
      <c r="K12" s="271" t="s">
        <v>717</v>
      </c>
      <c r="L12" s="270" t="s">
        <v>717</v>
      </c>
      <c r="M12" s="269" t="s">
        <v>717</v>
      </c>
    </row>
    <row r="13" spans="1:13" ht="16.2" thickBot="1">
      <c r="A13" s="108" t="s">
        <v>55</v>
      </c>
      <c r="B13" s="241">
        <f t="shared" si="1"/>
        <v>0.999942842832931</v>
      </c>
      <c r="C13" s="242">
        <f t="shared" si="1"/>
        <v>6.3564192290411548E-2</v>
      </c>
      <c r="D13" s="243">
        <f t="shared" si="1"/>
        <v>1.3792851498669427E-2</v>
      </c>
      <c r="E13" s="242">
        <f t="shared" si="1"/>
        <v>0.82996207282463164</v>
      </c>
      <c r="F13" s="241">
        <f t="shared" si="1"/>
        <v>0.99999999999999933</v>
      </c>
      <c r="H13" s="108" t="s">
        <v>55</v>
      </c>
      <c r="I13" s="269" t="s">
        <v>717</v>
      </c>
      <c r="J13" s="270" t="s">
        <v>723</v>
      </c>
      <c r="K13" s="271" t="s">
        <v>723</v>
      </c>
      <c r="L13" s="270" t="s">
        <v>717</v>
      </c>
      <c r="M13" s="269" t="s">
        <v>717</v>
      </c>
    </row>
    <row r="30" spans="1:10" s="74" customFormat="1" ht="28.2" thickBot="1">
      <c r="A30" s="78" t="s">
        <v>97</v>
      </c>
    </row>
    <row r="31" spans="1:10" ht="16.2" thickBot="1">
      <c r="A31" s="8"/>
      <c r="B31" s="105">
        <v>2018</v>
      </c>
      <c r="C31" s="106">
        <v>2019</v>
      </c>
      <c r="D31" s="107">
        <v>2020</v>
      </c>
      <c r="E31" s="106">
        <v>2021</v>
      </c>
      <c r="F31" s="105">
        <v>2022</v>
      </c>
      <c r="J31" s="184" t="s">
        <v>669</v>
      </c>
    </row>
    <row r="32" spans="1:10" ht="16.2" thickBot="1">
      <c r="A32" s="108" t="s">
        <v>523</v>
      </c>
      <c r="B32" s="225">
        <f>1/(1+EXP(-(1.3508 + 7.5153*(('Spółka JSW'!F17+'Spółka JSW'!F18+'Spółka JSW'!F20+'Spółka JSW'!F21)/'Spółka JSW'!F35) - 6.1903*('Spółka JSW'!F66/'Spółka JSW'!F35))))</f>
        <v>0.50611998572882499</v>
      </c>
      <c r="C32" s="226">
        <f>1/(1+EXP(-(1.3508 + 7.5153*(('Spółka JSW'!E17+'Spółka JSW'!E18+'Spółka JSW'!E20+'Spółka JSW'!E21)/'Spółka JSW'!E35) - 6.1903*('Spółka JSW'!E66/'Spółka JSW'!E35))))</f>
        <v>0.29943636382336952</v>
      </c>
      <c r="D32" s="227">
        <f>1/(1+EXP(-(1.3508 + 7.5153*(('Spółka JSW'!D17+'Spółka JSW'!D18+'Spółka JSW'!D20+'Spółka JSW'!D21)/'Spółka JSW'!D35) - 6.1903*('Spółka JSW'!D66/'Spółka JSW'!D35))))</f>
        <v>7.4483504093788247E-2</v>
      </c>
      <c r="E32" s="226">
        <f>1/(1+EXP(-(1.3508 + 7.5153*(('Spółka JSW'!C17+'Spółka JSW'!C18+'Spółka JSW'!C20+'Spółka JSW'!C21)/'Spółka JSW'!C35) - 6.1903*('Spółka JSW'!C66/'Spółka JSW'!C35))))</f>
        <v>0.29887135868290504</v>
      </c>
      <c r="F32" s="225">
        <f>1/(1+EXP(-(1.3508 + 7.5153*(('Spółka JSW'!B17+'Spółka JSW'!B18+'Spółka JSW'!B20+'Spółka JSW'!B21)/'Spółka JSW'!B35) - 6.1903*('Spółka JSW'!B66/'Spółka JSW'!B35))))</f>
        <v>0.81105077699177419</v>
      </c>
      <c r="H32" s="238" t="s">
        <v>667</v>
      </c>
    </row>
    <row r="33" spans="1:13" ht="16.2" thickBot="1">
      <c r="A33" s="108" t="s">
        <v>305</v>
      </c>
      <c r="B33" s="225">
        <f>1/(1+EXP(-(1.3508 + 7.5153 *(('Bogdanka S.A.'!F17+'Bogdanka S.A.'!F18+'Bogdanka S.A.'!F21+'Bogdanka S.A.'!F20+'Bogdanka S.A.'!F22)/'Bogdanka S.A.'!F38) - 6.1903*('Bogdanka S.A.'!F66/'Bogdanka S.A.'!F38))))</f>
        <v>0.4643829960127851</v>
      </c>
      <c r="C33" s="226">
        <f>1/(1+EXP(-(1.3508 + 7.5153 *(('Bogdanka S.A.'!E17+'Bogdanka S.A.'!E18+'Bogdanka S.A.'!E21+'Bogdanka S.A.'!E20+'Bogdanka S.A.'!E22)/'Bogdanka S.A.'!E38) - 6.1903*('Bogdanka S.A.'!E66/'Bogdanka S.A.'!E38))))</f>
        <v>0.6209638976328874</v>
      </c>
      <c r="D33" s="227">
        <f>1/(1+EXP(-(1.3508 + 7.5153 *(('Bogdanka S.A.'!D17+'Bogdanka S.A.'!D18+'Bogdanka S.A.'!D21+'Bogdanka S.A.'!D20+'Bogdanka S.A.'!D22)/'Bogdanka S.A.'!D38) - 6.1903*('Bogdanka S.A.'!D66/'Bogdanka S.A.'!D38))))</f>
        <v>0.34727203109083093</v>
      </c>
      <c r="E33" s="226">
        <f>1/(1+EXP(-(1.3508 + 7.5153 *(('Bogdanka S.A.'!C17+'Bogdanka S.A.'!C18+'Bogdanka S.A.'!C21+'Bogdanka S.A.'!C20+'Bogdanka S.A.'!C22)/'Bogdanka S.A.'!C38) - 6.1903*('Bogdanka S.A.'!C66/'Bogdanka S.A.'!C38))))</f>
        <v>0.44844617542699389</v>
      </c>
      <c r="F33" s="225">
        <f>1/(1+EXP(-(1.3508 + 7.5153 *(('Bogdanka S.A.'!B17+'Bogdanka S.A.'!B18+'Bogdanka S.A.'!B21+'Bogdanka S.A.'!B20+'Bogdanka S.A.'!B22)/'Bogdanka S.A.'!B38) - 6.1903*('Bogdanka S.A.'!B66/'Bogdanka S.A.'!B38))))</f>
        <v>0.40815245035266551</v>
      </c>
      <c r="H33" s="239" t="s">
        <v>668</v>
      </c>
      <c r="J33" s="184" t="s">
        <v>669</v>
      </c>
    </row>
    <row r="34" spans="1:13" ht="16.2" thickBot="1">
      <c r="A34" s="108" t="s">
        <v>55</v>
      </c>
      <c r="B34" s="225">
        <f>1/(1+EXP(-(1.3508 + 7.5153 *(sektor!F86/sektor!F43)- 6.1903*(sektor!F61/sektor!F43))))</f>
        <v>0.39702565928116229</v>
      </c>
      <c r="C34" s="226">
        <f>1/(1+EXP(-(1.3508 + 7.5153 *(sektor!E86/sektor!E43)- 6.1903*(sektor!E61/sektor!E43))))</f>
        <v>8.2687544810245844E-2</v>
      </c>
      <c r="D34" s="227">
        <f>1/(1+EXP(-(1.3508 + 7.5153 *(sektor!D86/sektor!D43)- 6.1903*(sektor!D61/sektor!D43))))</f>
        <v>0.16381704975571379</v>
      </c>
      <c r="E34" s="226">
        <f>1/(1+EXP(-(1.3508 + 7.5153 *(sektor!C86/sektor!C43)- 6.1903*(sektor!C61/sektor!C43))))</f>
        <v>0.47736406068089748</v>
      </c>
      <c r="F34" s="225">
        <f>1/(1+EXP(-(1.3508 + 7.5153 *(sektor!B86/sektor!B43)- 6.1903*(sektor!B61/sektor!B43))))</f>
        <v>0.93607087208833684</v>
      </c>
    </row>
    <row r="35" spans="1:13" ht="16.2" thickBot="1"/>
    <row r="36" spans="1:13" ht="31.8" thickBot="1">
      <c r="A36" s="50" t="s">
        <v>96</v>
      </c>
      <c r="B36" s="105">
        <v>2018</v>
      </c>
      <c r="C36" s="106">
        <v>2019</v>
      </c>
      <c r="D36" s="107">
        <v>2020</v>
      </c>
      <c r="E36" s="106">
        <v>2021</v>
      </c>
      <c r="F36" s="105">
        <v>2022</v>
      </c>
      <c r="H36" s="50" t="s">
        <v>99</v>
      </c>
      <c r="I36" s="105">
        <v>2018</v>
      </c>
      <c r="J36" s="106">
        <v>2019</v>
      </c>
      <c r="K36" s="107">
        <v>2020</v>
      </c>
      <c r="L36" s="106">
        <v>2021</v>
      </c>
      <c r="M36" s="105">
        <v>2022</v>
      </c>
    </row>
    <row r="37" spans="1:13" ht="16.2" thickBot="1">
      <c r="A37" s="108" t="s">
        <v>523</v>
      </c>
      <c r="B37" s="241">
        <f>1/(1+EXP(-B32))</f>
        <v>0.62389646901916196</v>
      </c>
      <c r="C37" s="242">
        <f t="shared" ref="C37:F37" si="2">1/(1+EXP(-C32))</f>
        <v>0.57430472548564326</v>
      </c>
      <c r="D37" s="243">
        <f t="shared" si="2"/>
        <v>0.51861227206719929</v>
      </c>
      <c r="E37" s="242">
        <f t="shared" si="2"/>
        <v>0.57416658790682495</v>
      </c>
      <c r="F37" s="241">
        <f t="shared" si="2"/>
        <v>0.6923333732975554</v>
      </c>
      <c r="H37" s="108" t="s">
        <v>523</v>
      </c>
      <c r="I37" s="269" t="s">
        <v>717</v>
      </c>
      <c r="J37" s="270" t="s">
        <v>717</v>
      </c>
      <c r="K37" s="271" t="s">
        <v>717</v>
      </c>
      <c r="L37" s="270" t="s">
        <v>717</v>
      </c>
      <c r="M37" s="269" t="s">
        <v>717</v>
      </c>
    </row>
    <row r="38" spans="1:13" ht="16.2" thickBot="1">
      <c r="A38" s="108" t="s">
        <v>305</v>
      </c>
      <c r="B38" s="241">
        <f t="shared" ref="B38:F39" si="3">1/(1+EXP(-B33))</f>
        <v>0.61405342817574882</v>
      </c>
      <c r="C38" s="242">
        <f t="shared" si="3"/>
        <v>0.65043774028683243</v>
      </c>
      <c r="D38" s="243">
        <f t="shared" si="3"/>
        <v>0.58595589762478284</v>
      </c>
      <c r="E38" s="242">
        <f t="shared" si="3"/>
        <v>0.61026973478713764</v>
      </c>
      <c r="F38" s="241">
        <f t="shared" si="3"/>
        <v>0.60064478847390501</v>
      </c>
      <c r="H38" s="108" t="s">
        <v>305</v>
      </c>
      <c r="I38" s="269" t="s">
        <v>717</v>
      </c>
      <c r="J38" s="270" t="s">
        <v>717</v>
      </c>
      <c r="K38" s="271" t="s">
        <v>717</v>
      </c>
      <c r="L38" s="270" t="s">
        <v>717</v>
      </c>
      <c r="M38" s="269" t="s">
        <v>717</v>
      </c>
    </row>
    <row r="39" spans="1:13" ht="16.2" thickBot="1">
      <c r="A39" s="108" t="s">
        <v>55</v>
      </c>
      <c r="B39" s="241">
        <f t="shared" si="3"/>
        <v>0.5979728334966673</v>
      </c>
      <c r="C39" s="242">
        <f t="shared" si="3"/>
        <v>0.5206601160465324</v>
      </c>
      <c r="D39" s="243">
        <f t="shared" si="3"/>
        <v>0.54086292008741566</v>
      </c>
      <c r="E39" s="242">
        <f t="shared" si="3"/>
        <v>0.61712524319408235</v>
      </c>
      <c r="F39" s="241">
        <f t="shared" si="3"/>
        <v>0.71830530907831036</v>
      </c>
      <c r="H39" s="108" t="s">
        <v>55</v>
      </c>
      <c r="I39" s="269" t="s">
        <v>717</v>
      </c>
      <c r="J39" s="270" t="s">
        <v>717</v>
      </c>
      <c r="K39" s="271" t="s">
        <v>717</v>
      </c>
      <c r="L39" s="270" t="s">
        <v>717</v>
      </c>
      <c r="M39" s="269" t="s">
        <v>717</v>
      </c>
    </row>
    <row r="56" spans="1:13" ht="28.2" thickBot="1">
      <c r="A56" s="78" t="s">
        <v>98</v>
      </c>
      <c r="B56" s="74"/>
      <c r="C56" s="74"/>
      <c r="D56" s="74"/>
      <c r="E56" s="74"/>
      <c r="F56" s="74"/>
      <c r="G56" s="74"/>
      <c r="H56" s="74"/>
    </row>
    <row r="57" spans="1:13" ht="16.2" thickBot="1">
      <c r="A57" s="8"/>
      <c r="B57" s="105">
        <v>2018</v>
      </c>
      <c r="C57" s="106">
        <v>2019</v>
      </c>
      <c r="D57" s="107">
        <v>2020</v>
      </c>
      <c r="E57" s="106">
        <v>2021</v>
      </c>
      <c r="F57" s="105">
        <v>2022</v>
      </c>
      <c r="I57" s="27" t="s">
        <v>669</v>
      </c>
    </row>
    <row r="58" spans="1:13" ht="16.2" thickBot="1">
      <c r="A58" s="108" t="s">
        <v>523</v>
      </c>
      <c r="B58" s="225">
        <f>1/(1+EXP(-(0.3133 + 8.7592*(('Spółka JSW'!F17+'Spółka JSW'!F18+'Spółka JSW'!F20+'Spółka JSW'!F21)/'Spółka JSW'!F35) - 8.0069*('Spółka JSW'!F49/'Spółka JSW'!F17))))</f>
        <v>0.73476808714674524</v>
      </c>
      <c r="C58" s="226">
        <f>1/(1+EXP(-(0.3133 + 8.7592*(('Spółka JSW'!E17+'Spółka JSW'!E18+'Spółka JSW'!E20+'Spółka JSW'!E21)/'Spółka JSW'!E35) - 8.0069*('Spółka JSW'!E49/'Spółka JSW'!E17))))</f>
        <v>0.41109180673825668</v>
      </c>
      <c r="D58" s="227">
        <f>1/(1+EXP(-(0.3133 + 8.7592*(('Spółka JSW'!D17+'Spółka JSW'!D18+'Spółka JSW'!D20+'Spółka JSW'!D21)/'Spółka JSW'!D35) - 8.0069*('Spółka JSW'!D49/'Spółka JSW'!D17))))</f>
        <v>0.18072010116121012</v>
      </c>
      <c r="E58" s="226">
        <f>1/(1+EXP(-(0.3133 + 8.7592*(('Spółka JSW'!C17+'Spółka JSW'!C18+'Spółka JSW'!C20+'Spółka JSW'!C21)/'Spółka JSW'!C35) - 8.0069*('Spółka JSW'!C49/'Spółka JSW'!C17))))</f>
        <v>0.67211960381975488</v>
      </c>
      <c r="F58" s="225">
        <f>1/(1+EXP(-(0.3133 + 8.7592*(('Spółka JSW'!B17+'Spółka JSW'!B18+'Spółka JSW'!B20+'Spółka JSW'!B21)/'Spółka JSW'!B35) - 8.0069*('Spółka JSW'!B49/'Spółka JSW'!B17))))</f>
        <v>0.95233378260731461</v>
      </c>
    </row>
    <row r="59" spans="1:13" ht="16.2" thickBot="1">
      <c r="A59" s="108" t="s">
        <v>305</v>
      </c>
      <c r="B59" s="225">
        <f>1/(1+EXP(-(0.3133 + 8.7592*(('Bogdanka S.A.'!F17+'Bogdanka S.A.'!F18+'Bogdanka S.A.'!F21+'Bogdanka S.A.'!F20+'Bogdanka S.A.'!F22)/'Bogdanka S.A.'!F38) - 8.0069*('Bogdanka S.A.'!F51/'Bogdanka S.A.'!F17))))</f>
        <v>0.49901765116564245</v>
      </c>
      <c r="C59" s="226">
        <f>1/(1+EXP(-(0.3133 + 8.7592*(('Bogdanka S.A.'!E17+'Bogdanka S.A.'!E18+'Bogdanka S.A.'!E21+'Bogdanka S.A.'!E20+'Bogdanka S.A.'!E22)/'Bogdanka S.A.'!E38) - 8.0069*('Bogdanka S.A.'!E51/'Bogdanka S.A.'!E17))))</f>
        <v>0.66032465088463033</v>
      </c>
      <c r="D59" s="227">
        <f>1/(1+EXP(-(0.3133 + 8.7592*(('Bogdanka S.A.'!D17+'Bogdanka S.A.'!D18+'Bogdanka S.A.'!D21+'Bogdanka S.A.'!D20+'Bogdanka S.A.'!D22)/'Bogdanka S.A.'!D38) - 8.0069*('Bogdanka S.A.'!D51/'Bogdanka S.A.'!D17))))</f>
        <v>0.34896515253823451</v>
      </c>
      <c r="E59" s="226">
        <f>1/(1+EXP(-(0.3133 + 8.7592*(('Bogdanka S.A.'!C17+'Bogdanka S.A.'!C18+'Bogdanka S.A.'!C21+'Bogdanka S.A.'!C20+'Bogdanka S.A.'!C22)/'Bogdanka S.A.'!C38) - 8.0069*('Bogdanka S.A.'!C51/'Bogdanka S.A.'!C17))))</f>
        <v>0.46544690038736924</v>
      </c>
      <c r="F59" s="225">
        <f>1/(1+EXP(-(0.3133 + 8.7592*(('Bogdanka S.A.'!B17+'Bogdanka S.A.'!B18+'Bogdanka S.A.'!B21+'Bogdanka S.A.'!B20+'Bogdanka S.A.'!B22)/'Bogdanka S.A.'!B38) - 8.0069*('Bogdanka S.A.'!B51/'Bogdanka S.A.'!B17))))</f>
        <v>0.33842740129873805</v>
      </c>
      <c r="I59" s="238" t="s">
        <v>672</v>
      </c>
    </row>
    <row r="60" spans="1:13" ht="16.2" thickBot="1">
      <c r="A60" s="108" t="s">
        <v>55</v>
      </c>
      <c r="B60" s="225">
        <f>1/(1+EXP(-(1.3508 + 7.5153 *(sektor!F86/sektor!F43)- 6.1903*(sektor!F20/sektor!F79))))</f>
        <v>0.76799128848253084</v>
      </c>
      <c r="C60" s="226">
        <f>1/(1+EXP(-(1.3508 + 7.5153 *(sektor!E86/sektor!E43)- 6.1903*(sektor!E20/sektor!E79))))</f>
        <v>0.451981417456918</v>
      </c>
      <c r="D60" s="227">
        <f>1/(1+EXP(-(1.3508 + 7.5153 *(sektor!D86/sektor!D43)- 6.1903*(sektor!D20/sektor!D79))))</f>
        <v>0.63500734961643401</v>
      </c>
      <c r="E60" s="226">
        <f>1/(1+EXP(-(1.3508 + 7.5153 *(sektor!C86/sektor!C43)- 6.1903*(sektor!C20/sektor!C79))))</f>
        <v>0.80911927777038173</v>
      </c>
      <c r="F60" s="225">
        <f>1/(1+EXP(-(1.3508 + 7.5153 *(sektor!B86/sektor!B43)- 6.1903*(sektor!B20/sektor!B79))))</f>
        <v>0.96145745638767399</v>
      </c>
      <c r="I60" s="239" t="s">
        <v>673</v>
      </c>
    </row>
    <row r="61" spans="1:13" ht="16.2" thickBot="1"/>
    <row r="62" spans="1:13" ht="31.8" thickBot="1">
      <c r="A62" s="50" t="s">
        <v>96</v>
      </c>
      <c r="B62" s="105">
        <v>2018</v>
      </c>
      <c r="C62" s="106">
        <v>2019</v>
      </c>
      <c r="D62" s="107">
        <v>2020</v>
      </c>
      <c r="E62" s="106">
        <v>2021</v>
      </c>
      <c r="F62" s="105">
        <v>2022</v>
      </c>
      <c r="H62" s="50" t="s">
        <v>99</v>
      </c>
      <c r="I62" s="105">
        <v>2018</v>
      </c>
      <c r="J62" s="106">
        <v>2019</v>
      </c>
      <c r="K62" s="107">
        <v>2020</v>
      </c>
      <c r="L62" s="106">
        <v>2021</v>
      </c>
      <c r="M62" s="105">
        <v>2022</v>
      </c>
    </row>
    <row r="63" spans="1:13" ht="16.2" thickBot="1">
      <c r="A63" s="108" t="s">
        <v>523</v>
      </c>
      <c r="B63" s="241">
        <f>1/(1+EXP(-B58))</f>
        <v>0.67585072313651329</v>
      </c>
      <c r="C63" s="242">
        <f t="shared" ref="C63:F63" si="4">1/(1+EXP(-C58))</f>
        <v>0.60134964470603902</v>
      </c>
      <c r="D63" s="243">
        <f t="shared" si="4"/>
        <v>0.54505746151874956</v>
      </c>
      <c r="E63" s="242">
        <f t="shared" si="4"/>
        <v>0.66197761136486755</v>
      </c>
      <c r="F63" s="241">
        <f t="shared" si="4"/>
        <v>0.72158427827265414</v>
      </c>
      <c r="H63" s="108" t="s">
        <v>523</v>
      </c>
      <c r="I63" s="269" t="s">
        <v>717</v>
      </c>
      <c r="J63" s="270" t="s">
        <v>717</v>
      </c>
      <c r="K63" s="271" t="s">
        <v>717</v>
      </c>
      <c r="L63" s="270" t="s">
        <v>717</v>
      </c>
      <c r="M63" s="269" t="s">
        <v>717</v>
      </c>
    </row>
    <row r="64" spans="1:13" ht="16.2" thickBot="1">
      <c r="A64" s="108" t="s">
        <v>305</v>
      </c>
      <c r="B64" s="241">
        <f t="shared" ref="B64:F65" si="5">1/(1+EXP(-B59))</f>
        <v>0.62222844782291242</v>
      </c>
      <c r="C64" s="242">
        <f t="shared" si="5"/>
        <v>0.65933331299814502</v>
      </c>
      <c r="D64" s="243">
        <f t="shared" si="5"/>
        <v>0.58636660863003542</v>
      </c>
      <c r="E64" s="242">
        <f t="shared" si="5"/>
        <v>0.61430553419020983</v>
      </c>
      <c r="F64" s="241">
        <f t="shared" si="5"/>
        <v>0.58380846940476916</v>
      </c>
      <c r="H64" s="108" t="s">
        <v>112</v>
      </c>
      <c r="I64" s="269" t="s">
        <v>717</v>
      </c>
      <c r="J64" s="270" t="s">
        <v>717</v>
      </c>
      <c r="K64" s="271" t="s">
        <v>717</v>
      </c>
      <c r="L64" s="270" t="s">
        <v>717</v>
      </c>
      <c r="M64" s="269" t="s">
        <v>717</v>
      </c>
    </row>
    <row r="65" spans="1:13" ht="16.2" thickBot="1">
      <c r="A65" s="108" t="s">
        <v>55</v>
      </c>
      <c r="B65" s="241">
        <f t="shared" si="5"/>
        <v>0.683086209000769</v>
      </c>
      <c r="C65" s="242">
        <f t="shared" si="5"/>
        <v>0.61111023029583267</v>
      </c>
      <c r="D65" s="243">
        <f t="shared" si="5"/>
        <v>0.65362399485210476</v>
      </c>
      <c r="E65" s="242">
        <f t="shared" si="5"/>
        <v>0.69192179598608428</v>
      </c>
      <c r="F65" s="241">
        <f t="shared" si="5"/>
        <v>0.72341351726094472</v>
      </c>
      <c r="H65" s="108" t="s">
        <v>55</v>
      </c>
      <c r="I65" s="269" t="s">
        <v>717</v>
      </c>
      <c r="J65" s="270" t="s">
        <v>717</v>
      </c>
      <c r="K65" s="271" t="s">
        <v>717</v>
      </c>
      <c r="L65" s="270" t="s">
        <v>717</v>
      </c>
      <c r="M65" s="269" t="s">
        <v>717</v>
      </c>
    </row>
    <row r="82" spans="1:13" ht="28.2" thickBot="1">
      <c r="A82" s="78" t="s">
        <v>100</v>
      </c>
      <c r="B82" s="74"/>
      <c r="C82" s="74"/>
      <c r="D82" s="74"/>
      <c r="E82" s="74"/>
      <c r="F82" s="74"/>
      <c r="G82" s="74"/>
      <c r="H82" s="74"/>
    </row>
    <row r="83" spans="1:13" ht="16.2" thickBot="1">
      <c r="A83" s="8"/>
      <c r="B83" s="105">
        <v>2018</v>
      </c>
      <c r="C83" s="106">
        <v>2019</v>
      </c>
      <c r="D83" s="107">
        <v>2020</v>
      </c>
      <c r="E83" s="106">
        <v>2021</v>
      </c>
      <c r="F83" s="105">
        <v>2022</v>
      </c>
    </row>
    <row r="84" spans="1:13" ht="16.2" thickBot="1">
      <c r="A84" s="108" t="s">
        <v>523</v>
      </c>
      <c r="B84" s="225">
        <f>1/(1+EXP(-(4.3515 + 22.8748*('Spółka JSW'!F29/'Spółka JSW'!F17)- 5.5926*('Spółka JSW'!F66/'Spółka JSW'!F35) - 26.1083*('Spółka JSW'!F49/'Spółka JSW'!F17))))</f>
        <v>0.99615420522224818</v>
      </c>
      <c r="C84" s="226">
        <f>1/(1+EXP(-(4.3515 + 22.8748*('Spółka JSW'!E29/'Spółka JSW'!E17)- 5.5926*('Spółka JSW'!E66/'Spółka JSW'!E35) - 26.1083*('Spółka JSW'!E49/'Spółka JSW'!E17))))</f>
        <v>0.70161106926484929</v>
      </c>
      <c r="D84" s="227">
        <f>1/(1+EXP(-(4.3515 + 22.8748*('Spółka JSW'!D29/'Spółka JSW'!D17)- 5.5926*('Spółka JSW'!D66/'Spółka JSW'!D35) - 26.1083*('Spółka JSW'!D49/'Spółka JSW'!D17))))</f>
        <v>3.3820769223124767E-4</v>
      </c>
      <c r="E84" s="226">
        <f>1/(1+EXP(-(4.3515 + 22.8748*('Spółka JSW'!C29/'Spółka JSW'!C17)- 5.5926*('Spółka JSW'!C66/'Spółka JSW'!C35) - 26.1083*('Spółka JSW'!C49/'Spółka JSW'!C17))))</f>
        <v>0.9291918311572438</v>
      </c>
      <c r="F84" s="225">
        <f>1/(1+EXP(-(4.3515 + 22.8748*('Spółka JSW'!B29/'Spółka JSW'!B17)- 5.5926*('Spółka JSW'!B66/'Spółka JSW'!B35) - 26.1083*('Spółka JSW'!B49/'Spółka JSW'!B17))))</f>
        <v>0.99998900776812216</v>
      </c>
      <c r="I84" s="27" t="s">
        <v>669</v>
      </c>
    </row>
    <row r="85" spans="1:13" ht="16.2" thickBot="1">
      <c r="A85" s="108" t="s">
        <v>305</v>
      </c>
      <c r="B85" s="225">
        <f>1/(1+EXP(-(4.3515+ 22.8748*('Bogdanka S.A.'!F31/'Bogdanka S.A.'!F17) - 5.5926*('Bogdanka S.A.'!F66/'Bogdanka S.A.'!F38)- 26.1083*('Bogdanka S.A.'!F51/'Bogdanka S.A.'!F17))))</f>
        <v>0.92821640118502524</v>
      </c>
      <c r="C85" s="226">
        <f>1/(1+EXP(-(4.3515+ 22.8748*('Bogdanka S.A.'!E31/'Bogdanka S.A.'!E17) - 5.5926*('Bogdanka S.A.'!E66/'Bogdanka S.A.'!E38)- 26.1083*('Bogdanka S.A.'!E51/'Bogdanka S.A.'!E17))))</f>
        <v>0.9968484182559858</v>
      </c>
      <c r="D85" s="227">
        <f>1/(1+EXP(-(4.3515+ 22.8748*('Bogdanka S.A.'!D31/'Bogdanka S.A.'!D17) - 5.5926*('Bogdanka S.A.'!D66/'Bogdanka S.A.'!D38)- 26.1083*('Bogdanka S.A.'!D51/'Bogdanka S.A.'!D17))))</f>
        <v>0.94485536999823883</v>
      </c>
      <c r="E85" s="226">
        <f>1/(1+EXP(-(4.3515+ 22.8748*('Bogdanka S.A.'!C31/'Bogdanka S.A.'!C17) - 5.5926*('Bogdanka S.A.'!C66/'Bogdanka S.A.'!C38)- 26.1083*('Bogdanka S.A.'!C51/'Bogdanka S.A.'!C17))))</f>
        <v>0.99550109385249075</v>
      </c>
      <c r="F85" s="225">
        <f>1/(1+EXP(-(4.3515+ 22.8748*('Bogdanka S.A.'!F31/'Bogdanka S.A.'!B17) - 5.5926*('Bogdanka S.A.'!B66/'Bogdanka S.A.'!B38)- 26.1083*('Bogdanka S.A.'!B51/'Bogdanka S.A.'!B17))))</f>
        <v>0.82949028631825461</v>
      </c>
    </row>
    <row r="86" spans="1:13" ht="16.2" thickBot="1">
      <c r="A86" s="108" t="s">
        <v>55</v>
      </c>
      <c r="B86" s="225">
        <f>1/(1+EXP(-(4.3515 + 22.8748 *(sektor!F82/sektor!F79)-  5.5926*(sektor!F61/sektor!F43)- 26.1083*(sektor!F20/sektor!F79))))</f>
        <v>0.99143268803214735</v>
      </c>
      <c r="C86" s="226">
        <f>1/(1+EXP(-(4.3515 + 22.8748 *(sektor!E82/sektor!E79)-  5.5926*(sektor!E61/sektor!E43)- 26.1083*(sektor!E20/sektor!E79))))</f>
        <v>2.2846372372949342E-2</v>
      </c>
      <c r="D86" s="227">
        <f>1/(1+EXP(-(4.3515 + 22.8748 *(sektor!D82/sektor!D79)-  5.5926*(sektor!D61/sektor!D43)- 26.1083*(sektor!D20/sektor!D79))))</f>
        <v>0.55181231542306886</v>
      </c>
      <c r="E86" s="226">
        <f>1/(1+EXP(-(4.3515 + 22.8748 *(sektor!C82/sektor!C79)-  5.5926*(sektor!C61/sektor!C43)- 26.1083*(sektor!C20/sektor!C79))))</f>
        <v>0.94473245525049176</v>
      </c>
      <c r="F86" s="225">
        <f>1/(1+EXP(-(4.3515 + 22.8748 *(sektor!B82/sektor!B79)-  5.5926*(sektor!B61/sektor!B43)- 26.1083*(sektor!B20/sektor!B79))))</f>
        <v>0.99999790065507044</v>
      </c>
    </row>
    <row r="87" spans="1:13" ht="16.2" thickBot="1"/>
    <row r="88" spans="1:13" ht="31.8" thickBot="1">
      <c r="A88" s="50" t="s">
        <v>96</v>
      </c>
      <c r="B88" s="105">
        <v>2018</v>
      </c>
      <c r="C88" s="106">
        <v>2019</v>
      </c>
      <c r="D88" s="107">
        <v>2020</v>
      </c>
      <c r="E88" s="106">
        <v>2021</v>
      </c>
      <c r="F88" s="105">
        <v>2022</v>
      </c>
      <c r="H88" s="50" t="s">
        <v>99</v>
      </c>
      <c r="I88" s="105">
        <v>2018</v>
      </c>
      <c r="J88" s="106">
        <v>2019</v>
      </c>
      <c r="K88" s="107">
        <v>2020</v>
      </c>
      <c r="L88" s="106">
        <v>2021</v>
      </c>
      <c r="M88" s="105">
        <v>2022</v>
      </c>
    </row>
    <row r="89" spans="1:13" ht="16.2" thickBot="1">
      <c r="A89" s="108" t="s">
        <v>523</v>
      </c>
      <c r="B89" s="241">
        <f>1/(1+EXP(-B84))</f>
        <v>0.73030177792062345</v>
      </c>
      <c r="C89" s="242">
        <f t="shared" ref="C89:F89" si="6">1/(1+EXP(-C84))</f>
        <v>0.66854487012668062</v>
      </c>
      <c r="D89" s="243">
        <f t="shared" si="6"/>
        <v>0.50008455192225187</v>
      </c>
      <c r="E89" s="242">
        <f t="shared" si="6"/>
        <v>0.71691129679534915</v>
      </c>
      <c r="F89" s="241">
        <f t="shared" si="6"/>
        <v>0.7310564174205556</v>
      </c>
      <c r="H89" s="108" t="s">
        <v>523</v>
      </c>
      <c r="I89" s="269" t="s">
        <v>717</v>
      </c>
      <c r="J89" s="270" t="s">
        <v>717</v>
      </c>
      <c r="K89" s="271" t="s">
        <v>717</v>
      </c>
      <c r="L89" s="270" t="s">
        <v>717</v>
      </c>
      <c r="M89" s="269" t="s">
        <v>717</v>
      </c>
    </row>
    <row r="90" spans="1:13" ht="16.2" thickBot="1">
      <c r="A90" s="108" t="s">
        <v>305</v>
      </c>
      <c r="B90" s="241">
        <f t="shared" ref="B90:F91" si="7">1/(1+EXP(-B85))</f>
        <v>0.71671329190208921</v>
      </c>
      <c r="C90" s="242">
        <f t="shared" si="7"/>
        <v>0.73043848901454045</v>
      </c>
      <c r="D90" s="243">
        <f t="shared" si="7"/>
        <v>0.72007937537221733</v>
      </c>
      <c r="E90" s="242">
        <f t="shared" si="7"/>
        <v>0.73017312104557908</v>
      </c>
      <c r="F90" s="241">
        <f t="shared" si="7"/>
        <v>0.69624714276062882</v>
      </c>
      <c r="H90" s="108" t="s">
        <v>305</v>
      </c>
      <c r="I90" s="269" t="s">
        <v>717</v>
      </c>
      <c r="J90" s="270" t="s">
        <v>717</v>
      </c>
      <c r="K90" s="271" t="s">
        <v>717</v>
      </c>
      <c r="L90" s="270" t="s">
        <v>717</v>
      </c>
      <c r="M90" s="269" t="s">
        <v>717</v>
      </c>
    </row>
    <row r="91" spans="1:13" ht="16.2" thickBot="1">
      <c r="A91" s="108" t="s">
        <v>55</v>
      </c>
      <c r="B91" s="241">
        <f t="shared" si="7"/>
        <v>0.72937081216498212</v>
      </c>
      <c r="C91" s="242">
        <f t="shared" si="7"/>
        <v>0.50571134467249912</v>
      </c>
      <c r="D91" s="243">
        <f t="shared" si="7"/>
        <v>0.63455595973587209</v>
      </c>
      <c r="E91" s="242">
        <f t="shared" si="7"/>
        <v>0.72005459938247951</v>
      </c>
      <c r="F91" s="241">
        <f t="shared" si="7"/>
        <v>0.73105816587353956</v>
      </c>
      <c r="H91" s="108" t="s">
        <v>55</v>
      </c>
      <c r="I91" s="269" t="s">
        <v>717</v>
      </c>
      <c r="J91" s="270" t="s">
        <v>717</v>
      </c>
      <c r="K91" s="271" t="s">
        <v>717</v>
      </c>
      <c r="L91" s="270" t="s">
        <v>717</v>
      </c>
      <c r="M91" s="269" t="s">
        <v>717</v>
      </c>
    </row>
    <row r="95" spans="1:13">
      <c r="I95" s="27" t="s">
        <v>669</v>
      </c>
    </row>
    <row r="108" spans="1:9" ht="28.2" thickBot="1">
      <c r="A108" s="78" t="s">
        <v>101</v>
      </c>
      <c r="B108" s="74"/>
      <c r="C108" s="74"/>
      <c r="D108" s="74"/>
      <c r="E108" s="74"/>
      <c r="F108" s="74"/>
      <c r="G108" s="74"/>
      <c r="H108" s="74"/>
    </row>
    <row r="109" spans="1:9" ht="16.2" thickBot="1">
      <c r="A109" s="8"/>
      <c r="B109" s="105">
        <v>2018</v>
      </c>
      <c r="C109" s="106">
        <v>2019</v>
      </c>
      <c r="D109" s="107">
        <v>2020</v>
      </c>
      <c r="E109" s="106">
        <v>2021</v>
      </c>
      <c r="F109" s="105">
        <v>2022</v>
      </c>
    </row>
    <row r="110" spans="1:9" ht="16.2" thickBot="1">
      <c r="A110" s="108" t="s">
        <v>523</v>
      </c>
      <c r="B110" s="225">
        <f>1/(1+EXP(-(-4.7238 + 16.1075*('Spółka JSW'!F29/'Spółka JSW'!F17) + 0.5761*ABS(('Spółka JSW'!F18/'Spółka JSW'!F72)))))</f>
        <v>0.49458281206178617</v>
      </c>
      <c r="C110" s="226">
        <f>1/(1+EXP(-(-4.7238 + 16.1075*('Spółka JSW'!E29/'Spółka JSW'!E17) + 0.5761*ABS(('Spółka JSW'!E18/'Spółka JSW'!E72)))))</f>
        <v>0.11707402359548442</v>
      </c>
      <c r="D110" s="227">
        <f>1/(1+EXP(-(-4.7238 + 16.1075*('Spółka JSW'!D29/'Spółka JSW'!D17) + 0.5761*ABS(('Spółka JSW'!D18/'Spółka JSW'!D72)))))</f>
        <v>3.7797581196313091E-4</v>
      </c>
      <c r="E110" s="226">
        <f>1/(1+EXP(-(-4.7238 + 16.1075*('Spółka JSW'!C29/'Spółka JSW'!C17) + 0.5761*ABS(('Spółka JSW'!C18/'Spółka JSW'!C72)))))</f>
        <v>0.14762495933094022</v>
      </c>
      <c r="F110" s="225">
        <f>1/(1+EXP(-(-4.7238 + 16.1075*('Spółka JSW'!B29/'Spółka JSW'!B17) + 0.5761*ABS('Spółka JSW'!B18/'Spółka JSW'!B72))))</f>
        <v>0.96998138548951163</v>
      </c>
      <c r="I110" s="184" t="s">
        <v>669</v>
      </c>
    </row>
    <row r="111" spans="1:9" ht="16.2" thickBot="1">
      <c r="A111" s="108" t="s">
        <v>305</v>
      </c>
      <c r="B111" s="225">
        <f>1/(1+EXP(-(-4.7238+16.1075*('Bogdanka S.A.'!F31/'Bogdanka S.A.'!F17) + 0.5761*ABS(('Bogdanka S.A.'!F18/'Bogdanka S.A.'!F73)))))</f>
        <v>0.11044709495501737</v>
      </c>
      <c r="C111" s="226">
        <f>1/(1+EXP(-(-4.7238+16.1075*('Bogdanka S.A.'!E31/'Bogdanka S.A.'!E17) + 0.5761*ABS(('Bogdanka S.A.'!E18/'Bogdanka S.A.'!E73)))))</f>
        <v>0.65401796102714593</v>
      </c>
      <c r="D111" s="227">
        <f>1/(1+EXP(-(-4.7238+16.1075*('Bogdanka S.A.'!D31/'Bogdanka S.A.'!D17) + 0.5761*ABS(('Bogdanka S.A.'!D18/'Bogdanka S.A.'!D73)))))</f>
        <v>0.20024057087747107</v>
      </c>
      <c r="E111" s="226">
        <f>1/(1+EXP(-(-4.7238+16.1075*('Bogdanka S.A.'!C31/'Bogdanka S.A.'!C17) + 0.5761*ABS(('Bogdanka S.A.'!C18/'Bogdanka S.A.'!C73)))))</f>
        <v>0.43995328181900095</v>
      </c>
      <c r="F111" s="225">
        <f>1/(1+EXP(-(-4.7238+16.1075*('Bogdanka S.A.'!B31/'Bogdanka S.A.'!B17) + 0.5761*ABS(('Bogdanka S.A.'!B18/'Bogdanka S.A.'!B73)))))</f>
        <v>0.3408041453707164</v>
      </c>
    </row>
    <row r="112" spans="1:9" ht="16.2" thickBot="1">
      <c r="A112" s="108" t="s">
        <v>55</v>
      </c>
      <c r="B112" s="225">
        <f>1/(1+EXP(-(-4.7238 + 16.1075*(sektor!F82/sektor!F79) + 0.5761*ABS((sektor!F80/sektor!F53)))))</f>
        <v>0.35179183289826949</v>
      </c>
      <c r="C112" s="226">
        <f>1/(1+EXP(-(-4.7238 + 16.1075*(sektor!E82/sektor!E79) + 0.5761*ABS((sektor!E80/sektor!E53)))))</f>
        <v>4.3822278585606044E-3</v>
      </c>
      <c r="D112" s="227">
        <f>1/(1+EXP(-(-4.7238 + 16.1075*(sektor!D82/sektor!D79) + 0.5761*ABS((sektor!D80/sektor!D53)))))</f>
        <v>2.9371854779127855E-2</v>
      </c>
      <c r="E112" s="226">
        <f>1/(1+EXP(-(-4.7238 + 16.1075*(sektor!C82/sektor!C79) + 0.5761*ABS((sektor!C80/sektor!C53)))))</f>
        <v>4.418702232290278E-2</v>
      </c>
      <c r="F112" s="225">
        <f>1/(1+EXP(-(-4.7238 + 16.1075*(sektor!B82/sektor!B79) + 0.5761*ABS((sektor!B80/sektor!B53)))))</f>
        <v>0.97676348988449091</v>
      </c>
    </row>
    <row r="113" spans="1:13" ht="16.2" thickBot="1"/>
    <row r="114" spans="1:13" ht="31.8" thickBot="1">
      <c r="A114" s="50" t="s">
        <v>96</v>
      </c>
      <c r="B114" s="105">
        <v>2018</v>
      </c>
      <c r="C114" s="106">
        <v>2019</v>
      </c>
      <c r="D114" s="107">
        <v>2020</v>
      </c>
      <c r="E114" s="106">
        <v>2021</v>
      </c>
      <c r="F114" s="105">
        <v>2022</v>
      </c>
      <c r="H114" s="50" t="s">
        <v>99</v>
      </c>
      <c r="I114" s="105">
        <v>2018</v>
      </c>
      <c r="J114" s="106">
        <v>2019</v>
      </c>
      <c r="K114" s="107">
        <v>2020</v>
      </c>
      <c r="L114" s="106">
        <v>2021</v>
      </c>
      <c r="M114" s="105">
        <v>2022</v>
      </c>
    </row>
    <row r="115" spans="1:13" ht="16.2" thickBot="1">
      <c r="A115" s="108" t="s">
        <v>523</v>
      </c>
      <c r="B115" s="241">
        <f>1/(1+EXP(-B110))</f>
        <v>0.6211854299547479</v>
      </c>
      <c r="C115" s="242">
        <f t="shared" ref="C115:F115" si="8">1/(1+EXP(-C110))</f>
        <v>0.52923512134669382</v>
      </c>
      <c r="D115" s="243">
        <f t="shared" si="8"/>
        <v>0.50009449395186578</v>
      </c>
      <c r="E115" s="242">
        <f t="shared" si="8"/>
        <v>0.5368393603775895</v>
      </c>
      <c r="F115" s="241">
        <f t="shared" si="8"/>
        <v>0.72511578750748928</v>
      </c>
      <c r="H115" s="108" t="s">
        <v>523</v>
      </c>
      <c r="I115" s="269" t="s">
        <v>717</v>
      </c>
      <c r="J115" s="270" t="s">
        <v>717</v>
      </c>
      <c r="K115" s="271" t="s">
        <v>723</v>
      </c>
      <c r="L115" s="270" t="s">
        <v>717</v>
      </c>
      <c r="M115" s="269" t="s">
        <v>717</v>
      </c>
    </row>
    <row r="116" spans="1:13" ht="16.2" thickBot="1">
      <c r="A116" s="108" t="s">
        <v>305</v>
      </c>
      <c r="B116" s="241">
        <f>1/(1+EXP(-B111))</f>
        <v>0.52758373927790636</v>
      </c>
      <c r="C116" s="242">
        <f t="shared" ref="C116:F116" si="9">1/(1+EXP(-C111))</f>
        <v>0.65791532894534166</v>
      </c>
      <c r="D116" s="243">
        <f t="shared" si="9"/>
        <v>0.54989354187742023</v>
      </c>
      <c r="E116" s="242">
        <f t="shared" si="9"/>
        <v>0.60824789868287443</v>
      </c>
      <c r="F116" s="241">
        <f t="shared" si="9"/>
        <v>0.58438584622600465</v>
      </c>
      <c r="H116" s="108" t="s">
        <v>305</v>
      </c>
      <c r="I116" s="269" t="s">
        <v>717</v>
      </c>
      <c r="J116" s="270" t="s">
        <v>717</v>
      </c>
      <c r="K116" s="271" t="s">
        <v>717</v>
      </c>
      <c r="L116" s="270" t="s">
        <v>717</v>
      </c>
      <c r="M116" s="269" t="s">
        <v>717</v>
      </c>
    </row>
    <row r="117" spans="1:13" ht="16.2" thickBot="1">
      <c r="A117" s="108" t="s">
        <v>55</v>
      </c>
      <c r="B117" s="241">
        <f>1/(1+EXP(-B112))</f>
        <v>0.58705202618318508</v>
      </c>
      <c r="C117" s="242">
        <f t="shared" ref="C117:F117" si="10">1/(1+EXP(-C112))</f>
        <v>0.50109555521139437</v>
      </c>
      <c r="D117" s="243">
        <f t="shared" si="10"/>
        <v>0.50734243583884042</v>
      </c>
      <c r="E117" s="242">
        <f t="shared" si="10"/>
        <v>0.5110449585389043</v>
      </c>
      <c r="F117" s="241">
        <f t="shared" si="10"/>
        <v>0.72646555016725611</v>
      </c>
      <c r="H117" s="108" t="s">
        <v>55</v>
      </c>
      <c r="I117" s="269" t="s">
        <v>717</v>
      </c>
      <c r="J117" s="270" t="s">
        <v>717</v>
      </c>
      <c r="K117" s="271" t="s">
        <v>717</v>
      </c>
      <c r="L117" s="270" t="s">
        <v>717</v>
      </c>
      <c r="M117" s="269" t="s">
        <v>717</v>
      </c>
    </row>
  </sheetData>
  <mergeCells count="2">
    <mergeCell ref="A1:L1"/>
    <mergeCell ref="H6:H7"/>
  </mergeCells>
  <hyperlinks>
    <hyperlink ref="J31" r:id="rId1" xr:uid="{FC7A47DC-2F78-0141-A208-E173D920FC1D}"/>
    <hyperlink ref="I110" r:id="rId2" xr:uid="{AB195003-70B3-7E4E-A154-2E9D5E23AD79}"/>
    <hyperlink ref="J33" r:id="rId3" xr:uid="{06E8C4E9-9003-9846-AB3D-07E53EF1A4F5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053A-C5DB-4E4E-95D4-967566A3EBD8}">
  <sheetPr>
    <tabColor rgb="FF828282"/>
  </sheetPr>
  <dimension ref="A1:O242"/>
  <sheetViews>
    <sheetView showGridLines="0" topLeftCell="A25" zoomScale="107" workbookViewId="0">
      <selection activeCell="B104" sqref="B104:F104"/>
    </sheetView>
  </sheetViews>
  <sheetFormatPr defaultColWidth="8.77734375" defaultRowHeight="14.4"/>
  <cols>
    <col min="1" max="1" width="50" customWidth="1"/>
    <col min="2" max="6" width="20" customWidth="1"/>
    <col min="10" max="10" width="25.44140625" customWidth="1"/>
  </cols>
  <sheetData>
    <row r="1" spans="1:7">
      <c r="A1" s="273"/>
      <c r="B1" s="273"/>
      <c r="C1" s="273"/>
    </row>
    <row r="2" spans="1:7">
      <c r="A2" s="273"/>
      <c r="B2" s="273"/>
      <c r="C2" s="273"/>
      <c r="D2" s="274" t="s">
        <v>0</v>
      </c>
      <c r="E2" s="274"/>
      <c r="F2" s="274"/>
      <c r="G2" s="274"/>
    </row>
    <row r="3" spans="1:7">
      <c r="A3" s="273"/>
      <c r="B3" s="273"/>
      <c r="C3" s="273"/>
      <c r="D3" s="274" t="s">
        <v>287</v>
      </c>
      <c r="E3" s="274"/>
      <c r="F3" s="274"/>
      <c r="G3" s="274"/>
    </row>
    <row r="4" spans="1:7">
      <c r="A4" s="273"/>
      <c r="B4" s="273"/>
      <c r="C4" s="273"/>
      <c r="D4" s="274" t="s">
        <v>286</v>
      </c>
      <c r="E4" s="274"/>
      <c r="F4" s="274"/>
      <c r="G4" s="274"/>
    </row>
    <row r="5" spans="1:7">
      <c r="A5" s="273"/>
      <c r="B5" s="273"/>
      <c r="C5" s="273"/>
      <c r="D5" s="274" t="s">
        <v>1</v>
      </c>
      <c r="E5" s="274"/>
      <c r="F5" s="274"/>
      <c r="G5" s="274"/>
    </row>
    <row r="7" spans="1:7" ht="19.95" customHeight="1">
      <c r="A7" s="272" t="s">
        <v>302</v>
      </c>
      <c r="B7" s="273"/>
      <c r="C7" s="273"/>
      <c r="D7" s="273"/>
      <c r="E7" s="273"/>
      <c r="F7" s="273"/>
      <c r="G7" s="273"/>
    </row>
    <row r="8" spans="1:7">
      <c r="A8" t="s">
        <v>284</v>
      </c>
    </row>
    <row r="10" spans="1:7">
      <c r="A10" s="125" t="s">
        <v>204</v>
      </c>
      <c r="B10" s="124" t="s">
        <v>203</v>
      </c>
      <c r="C10" s="124" t="s">
        <v>203</v>
      </c>
      <c r="D10" s="124" t="s">
        <v>203</v>
      </c>
      <c r="E10" s="124" t="s">
        <v>203</v>
      </c>
      <c r="F10" s="124" t="s">
        <v>203</v>
      </c>
    </row>
    <row r="11" spans="1:7">
      <c r="A11" s="123" t="s">
        <v>196</v>
      </c>
      <c r="B11" s="122" t="s">
        <v>195</v>
      </c>
      <c r="C11" s="122" t="s">
        <v>194</v>
      </c>
      <c r="D11" s="122" t="s">
        <v>193</v>
      </c>
      <c r="E11" s="122" t="s">
        <v>192</v>
      </c>
      <c r="F11" s="122" t="s">
        <v>191</v>
      </c>
    </row>
    <row r="12" spans="1:7">
      <c r="A12" s="125" t="s">
        <v>283</v>
      </c>
      <c r="B12" s="124" t="s">
        <v>282</v>
      </c>
      <c r="C12" s="124" t="s">
        <v>282</v>
      </c>
      <c r="D12" s="124" t="s">
        <v>282</v>
      </c>
      <c r="E12" s="124" t="s">
        <v>282</v>
      </c>
      <c r="F12" s="124" t="s">
        <v>282</v>
      </c>
    </row>
    <row r="15" spans="1:7">
      <c r="A15" s="130" t="s">
        <v>2</v>
      </c>
      <c r="B15" s="130">
        <v>2022</v>
      </c>
      <c r="C15" s="130">
        <v>2021</v>
      </c>
      <c r="D15" s="130">
        <v>2020</v>
      </c>
      <c r="E15" s="130">
        <v>2019</v>
      </c>
      <c r="F15" s="130">
        <v>2018</v>
      </c>
    </row>
    <row r="16" spans="1:7">
      <c r="A16" s="125" t="s">
        <v>281</v>
      </c>
      <c r="B16" s="127">
        <v>2455055</v>
      </c>
      <c r="C16" s="127">
        <v>2376503</v>
      </c>
      <c r="D16" s="127">
        <v>1829849</v>
      </c>
      <c r="E16" s="127">
        <v>2163128</v>
      </c>
      <c r="F16" s="127">
        <v>1791604</v>
      </c>
    </row>
    <row r="17" spans="1:6">
      <c r="A17" s="123" t="s">
        <v>280</v>
      </c>
      <c r="B17" s="126">
        <v>2451715</v>
      </c>
      <c r="C17" s="126">
        <v>2371280</v>
      </c>
      <c r="D17" s="126">
        <v>1822112</v>
      </c>
      <c r="E17" s="126">
        <v>2157861</v>
      </c>
      <c r="F17" s="126">
        <v>1756671</v>
      </c>
    </row>
    <row r="18" spans="1:6">
      <c r="A18" s="125" t="s">
        <v>155</v>
      </c>
      <c r="B18" s="127">
        <v>-2043310</v>
      </c>
      <c r="C18" s="127">
        <v>-1828167</v>
      </c>
      <c r="D18" s="127">
        <v>-1573417</v>
      </c>
      <c r="E18" s="127">
        <v>-1646184</v>
      </c>
      <c r="F18" s="127">
        <v>-1583971</v>
      </c>
    </row>
    <row r="19" spans="1:6">
      <c r="A19" s="123" t="s">
        <v>279</v>
      </c>
      <c r="B19" s="126">
        <v>408405</v>
      </c>
      <c r="C19" s="126">
        <v>543113</v>
      </c>
      <c r="D19" s="126">
        <v>248695</v>
      </c>
      <c r="E19" s="126">
        <v>511677</v>
      </c>
      <c r="F19" s="126">
        <v>172700</v>
      </c>
    </row>
    <row r="20" spans="1:6">
      <c r="A20" s="125" t="s">
        <v>278</v>
      </c>
      <c r="B20" s="127">
        <v>-49196</v>
      </c>
      <c r="C20" s="127">
        <v>-39714</v>
      </c>
      <c r="D20" s="127">
        <v>-31669</v>
      </c>
      <c r="E20" s="127">
        <v>-37423</v>
      </c>
      <c r="F20" s="127">
        <v>-42996</v>
      </c>
    </row>
    <row r="21" spans="1:6">
      <c r="A21" s="123" t="s">
        <v>277</v>
      </c>
      <c r="B21" s="126">
        <v>-149963</v>
      </c>
      <c r="C21" s="126">
        <v>-134947</v>
      </c>
      <c r="D21" s="126">
        <v>-120307</v>
      </c>
      <c r="E21" s="126">
        <v>-115839</v>
      </c>
      <c r="F21" s="126">
        <v>-101492</v>
      </c>
    </row>
    <row r="22" spans="1:6">
      <c r="A22" s="125" t="s">
        <v>301</v>
      </c>
      <c r="B22" s="127">
        <v>-398471</v>
      </c>
      <c r="C22" s="127">
        <v>-430151</v>
      </c>
      <c r="D22" s="127">
        <v>-364686</v>
      </c>
      <c r="E22" s="129">
        <v>0</v>
      </c>
      <c r="F22" s="129">
        <v>0</v>
      </c>
    </row>
    <row r="23" spans="1:6">
      <c r="A23" s="123" t="s">
        <v>276</v>
      </c>
      <c r="B23" s="126">
        <v>-8927</v>
      </c>
      <c r="C23" s="126">
        <v>-1654</v>
      </c>
      <c r="D23" s="126">
        <v>-1478</v>
      </c>
      <c r="E23" s="126">
        <v>4055</v>
      </c>
      <c r="F23" s="126">
        <v>33815</v>
      </c>
    </row>
    <row r="24" spans="1:6">
      <c r="A24" s="125" t="s">
        <v>275</v>
      </c>
      <c r="B24" s="127">
        <v>3340</v>
      </c>
      <c r="C24" s="127">
        <v>5223</v>
      </c>
      <c r="D24" s="127">
        <v>7737</v>
      </c>
      <c r="E24" s="127">
        <v>5267</v>
      </c>
      <c r="F24" s="127">
        <v>34933</v>
      </c>
    </row>
    <row r="25" spans="1:6">
      <c r="A25" s="123" t="s">
        <v>274</v>
      </c>
      <c r="B25" s="126">
        <v>-12267</v>
      </c>
      <c r="C25" s="126">
        <v>-6877</v>
      </c>
      <c r="D25" s="126">
        <v>-9215</v>
      </c>
      <c r="E25" s="126">
        <v>-1212</v>
      </c>
      <c r="F25" s="126">
        <v>-1118</v>
      </c>
    </row>
    <row r="26" spans="1:6">
      <c r="A26" s="125" t="s">
        <v>273</v>
      </c>
      <c r="B26" s="127">
        <v>200319</v>
      </c>
      <c r="C26" s="127">
        <v>366798</v>
      </c>
      <c r="D26" s="127">
        <v>95241</v>
      </c>
      <c r="E26" s="127">
        <v>375222</v>
      </c>
      <c r="F26" s="127">
        <v>62027</v>
      </c>
    </row>
    <row r="27" spans="1:6">
      <c r="A27" s="123" t="s">
        <v>300</v>
      </c>
      <c r="B27" s="126">
        <v>598790</v>
      </c>
      <c r="C27" s="126">
        <v>796949</v>
      </c>
      <c r="D27" s="126">
        <v>459927</v>
      </c>
      <c r="E27" s="122" t="s">
        <v>299</v>
      </c>
      <c r="F27" s="122" t="s">
        <v>299</v>
      </c>
    </row>
    <row r="28" spans="1:6">
      <c r="A28" s="125" t="s">
        <v>272</v>
      </c>
      <c r="B28" s="127">
        <v>19363</v>
      </c>
      <c r="C28" s="127">
        <v>-7670</v>
      </c>
      <c r="D28" s="127">
        <v>-2051</v>
      </c>
      <c r="E28" s="127">
        <v>3354</v>
      </c>
      <c r="F28" s="127">
        <v>2893</v>
      </c>
    </row>
    <row r="29" spans="1:6">
      <c r="A29" s="123" t="s">
        <v>271</v>
      </c>
      <c r="B29" s="126">
        <v>32936</v>
      </c>
      <c r="C29" s="128">
        <v>675</v>
      </c>
      <c r="D29" s="126">
        <v>7537</v>
      </c>
      <c r="E29" s="126">
        <v>14733</v>
      </c>
      <c r="F29" s="126">
        <v>14542</v>
      </c>
    </row>
    <row r="30" spans="1:6">
      <c r="A30" s="125" t="s">
        <v>270</v>
      </c>
      <c r="B30" s="127">
        <v>-13573</v>
      </c>
      <c r="C30" s="127">
        <v>-8345</v>
      </c>
      <c r="D30" s="127">
        <v>-9588</v>
      </c>
      <c r="E30" s="127">
        <v>-11379</v>
      </c>
      <c r="F30" s="127">
        <v>-11649</v>
      </c>
    </row>
    <row r="31" spans="1:6">
      <c r="A31" s="123" t="s">
        <v>269</v>
      </c>
      <c r="B31" s="126">
        <v>219682</v>
      </c>
      <c r="C31" s="126">
        <v>359128</v>
      </c>
      <c r="D31" s="126">
        <v>93190</v>
      </c>
      <c r="E31" s="126">
        <v>378576</v>
      </c>
      <c r="F31" s="126">
        <v>64920</v>
      </c>
    </row>
    <row r="32" spans="1:6">
      <c r="A32" s="125" t="s">
        <v>3</v>
      </c>
      <c r="B32" s="127">
        <v>-44046</v>
      </c>
      <c r="C32" s="127">
        <v>-70862</v>
      </c>
      <c r="D32" s="127">
        <v>-20228</v>
      </c>
      <c r="E32" s="127">
        <v>-69830</v>
      </c>
      <c r="F32" s="127">
        <v>-11124</v>
      </c>
    </row>
    <row r="33" spans="1:15">
      <c r="A33" s="123" t="s">
        <v>4</v>
      </c>
      <c r="B33" s="126">
        <v>175636</v>
      </c>
      <c r="C33" s="126">
        <v>288266</v>
      </c>
      <c r="D33" s="126">
        <v>72962</v>
      </c>
      <c r="E33" s="128">
        <v>0</v>
      </c>
      <c r="F33" s="128">
        <v>0</v>
      </c>
    </row>
    <row r="34" spans="1:15">
      <c r="A34" s="125" t="s">
        <v>268</v>
      </c>
      <c r="B34" s="127">
        <v>175636</v>
      </c>
      <c r="C34" s="127">
        <v>288266</v>
      </c>
      <c r="D34" s="127">
        <v>72962</v>
      </c>
      <c r="E34" s="127">
        <v>308746</v>
      </c>
      <c r="F34" s="127">
        <v>53794</v>
      </c>
    </row>
    <row r="37" spans="1:15">
      <c r="A37" s="130" t="s">
        <v>5</v>
      </c>
      <c r="B37" s="130">
        <v>2022</v>
      </c>
      <c r="C37" s="130">
        <v>2021</v>
      </c>
      <c r="D37" s="130">
        <v>2020</v>
      </c>
      <c r="E37" s="130">
        <v>2019</v>
      </c>
      <c r="F37" s="130">
        <v>2018</v>
      </c>
    </row>
    <row r="38" spans="1:15">
      <c r="A38" s="125" t="s">
        <v>6</v>
      </c>
      <c r="B38" s="127">
        <v>4818709</v>
      </c>
      <c r="C38" s="127">
        <v>4702044</v>
      </c>
      <c r="D38" s="127">
        <v>4375263</v>
      </c>
      <c r="E38" s="127">
        <v>4252464</v>
      </c>
      <c r="F38" s="127">
        <v>3933351</v>
      </c>
    </row>
    <row r="39" spans="1:15">
      <c r="A39" s="123" t="s">
        <v>267</v>
      </c>
      <c r="B39" s="126">
        <v>3880528</v>
      </c>
      <c r="C39" s="126">
        <v>2676428</v>
      </c>
      <c r="D39" s="126">
        <v>3763945</v>
      </c>
      <c r="E39" s="126">
        <v>3509780</v>
      </c>
      <c r="F39" s="126">
        <v>3463822</v>
      </c>
    </row>
    <row r="40" spans="1:15">
      <c r="A40" s="125" t="s">
        <v>266</v>
      </c>
      <c r="B40" s="127">
        <v>3637525</v>
      </c>
      <c r="C40" s="127">
        <v>3440342</v>
      </c>
      <c r="D40" s="127">
        <v>3531565</v>
      </c>
      <c r="E40" s="127">
        <v>3282449</v>
      </c>
      <c r="F40" s="127">
        <v>3270293</v>
      </c>
      <c r="J40" s="125"/>
      <c r="K40" s="127"/>
      <c r="L40" s="127"/>
      <c r="M40" s="127"/>
      <c r="N40" s="127"/>
      <c r="O40" s="127"/>
    </row>
    <row r="41" spans="1:15">
      <c r="A41" s="123" t="s">
        <v>265</v>
      </c>
      <c r="B41" s="126">
        <v>59554</v>
      </c>
      <c r="C41" s="126">
        <v>55989</v>
      </c>
      <c r="D41" s="126">
        <v>59175</v>
      </c>
      <c r="E41" s="126">
        <v>63676</v>
      </c>
      <c r="F41" s="126">
        <v>58844</v>
      </c>
      <c r="J41" s="123"/>
      <c r="K41" s="126"/>
      <c r="L41" s="126"/>
      <c r="M41" s="126"/>
      <c r="N41" s="126"/>
      <c r="O41" s="126"/>
    </row>
    <row r="42" spans="1:15">
      <c r="A42" s="125" t="s">
        <v>263</v>
      </c>
      <c r="B42" s="127">
        <v>59554</v>
      </c>
      <c r="C42" s="127">
        <v>55989</v>
      </c>
      <c r="D42" s="127">
        <v>59175</v>
      </c>
      <c r="E42" s="127">
        <v>63676</v>
      </c>
      <c r="F42" s="127">
        <v>58844</v>
      </c>
    </row>
    <row r="43" spans="1:15">
      <c r="A43" s="123" t="s">
        <v>298</v>
      </c>
      <c r="B43" s="126">
        <v>8716</v>
      </c>
      <c r="C43" s="126">
        <v>1092</v>
      </c>
      <c r="D43" s="126">
        <v>1193</v>
      </c>
      <c r="E43" s="126">
        <v>6533</v>
      </c>
      <c r="F43" s="126">
        <v>1261</v>
      </c>
    </row>
    <row r="44" spans="1:15">
      <c r="A44" s="125" t="s">
        <v>262</v>
      </c>
      <c r="B44" s="127">
        <v>150626</v>
      </c>
      <c r="C44" s="127">
        <v>150557</v>
      </c>
      <c r="D44" s="127">
        <v>144635</v>
      </c>
      <c r="E44" s="127">
        <v>137138</v>
      </c>
      <c r="F44" s="127">
        <v>131591</v>
      </c>
    </row>
    <row r="45" spans="1:15">
      <c r="A45" s="123" t="s">
        <v>261</v>
      </c>
      <c r="B45" s="126">
        <v>2702</v>
      </c>
      <c r="C45" s="126">
        <v>2886</v>
      </c>
      <c r="D45" s="126">
        <v>3044</v>
      </c>
      <c r="E45" s="126">
        <v>3140</v>
      </c>
      <c r="F45" s="126">
        <v>3312</v>
      </c>
    </row>
    <row r="46" spans="1:15">
      <c r="A46" s="125" t="s">
        <v>259</v>
      </c>
      <c r="B46" s="127">
        <v>147924</v>
      </c>
      <c r="C46" s="127">
        <v>147671</v>
      </c>
      <c r="D46" s="127">
        <v>141591</v>
      </c>
      <c r="E46" s="127">
        <v>133998</v>
      </c>
      <c r="F46" s="127">
        <v>128279</v>
      </c>
    </row>
    <row r="47" spans="1:15">
      <c r="A47" s="123" t="s">
        <v>258</v>
      </c>
      <c r="B47" s="126">
        <v>2256</v>
      </c>
      <c r="C47" s="126">
        <v>2243</v>
      </c>
      <c r="D47" s="126">
        <v>2089</v>
      </c>
      <c r="E47" s="126">
        <v>1890</v>
      </c>
      <c r="F47" s="126">
        <v>1833</v>
      </c>
    </row>
    <row r="48" spans="1:15">
      <c r="A48" s="125" t="s">
        <v>257</v>
      </c>
      <c r="B48" s="127">
        <v>2256</v>
      </c>
      <c r="C48" s="127">
        <v>2243</v>
      </c>
      <c r="D48" s="127">
        <v>2089</v>
      </c>
      <c r="E48" s="127">
        <v>1890</v>
      </c>
      <c r="F48" s="127">
        <v>1833</v>
      </c>
    </row>
    <row r="49" spans="1:6">
      <c r="A49" s="123" t="s">
        <v>256</v>
      </c>
      <c r="B49" s="126">
        <v>21851</v>
      </c>
      <c r="C49" s="126">
        <v>26205</v>
      </c>
      <c r="D49" s="126">
        <v>25288</v>
      </c>
      <c r="E49" s="126">
        <v>18094</v>
      </c>
      <c r="F49" s="128">
        <v>0</v>
      </c>
    </row>
    <row r="50" spans="1:6">
      <c r="A50" s="125" t="s">
        <v>255</v>
      </c>
      <c r="B50" s="127">
        <v>938181</v>
      </c>
      <c r="C50" s="127">
        <v>1025616</v>
      </c>
      <c r="D50" s="127">
        <v>611318</v>
      </c>
      <c r="E50" s="127">
        <v>742684</v>
      </c>
      <c r="F50" s="127">
        <v>469529</v>
      </c>
    </row>
    <row r="51" spans="1:6">
      <c r="A51" s="123" t="s">
        <v>254</v>
      </c>
      <c r="B51" s="126">
        <v>195860</v>
      </c>
      <c r="C51" s="126">
        <v>99744</v>
      </c>
      <c r="D51" s="126">
        <v>91124</v>
      </c>
      <c r="E51" s="126">
        <v>104248</v>
      </c>
      <c r="F51" s="126">
        <v>83382</v>
      </c>
    </row>
    <row r="52" spans="1:6">
      <c r="A52" s="125" t="s">
        <v>253</v>
      </c>
      <c r="B52" s="127">
        <v>203658</v>
      </c>
      <c r="C52" s="127">
        <v>325697</v>
      </c>
      <c r="D52" s="127">
        <v>278584</v>
      </c>
      <c r="E52" s="127">
        <v>255696</v>
      </c>
      <c r="F52" s="127">
        <v>215287</v>
      </c>
    </row>
    <row r="53" spans="1:6">
      <c r="A53" s="123" t="s">
        <v>252</v>
      </c>
      <c r="B53" s="128">
        <v>0</v>
      </c>
      <c r="C53" s="126">
        <v>325697</v>
      </c>
      <c r="D53" s="126">
        <v>268260</v>
      </c>
      <c r="E53" s="126">
        <v>238951</v>
      </c>
      <c r="F53" s="126">
        <v>203452</v>
      </c>
    </row>
    <row r="54" spans="1:6">
      <c r="A54" s="125" t="s">
        <v>297</v>
      </c>
      <c r="B54" s="127">
        <v>203658</v>
      </c>
      <c r="C54" s="129">
        <v>0</v>
      </c>
      <c r="D54" s="127">
        <v>10324</v>
      </c>
      <c r="E54" s="127">
        <v>16745</v>
      </c>
      <c r="F54" s="127">
        <v>11835</v>
      </c>
    </row>
    <row r="55" spans="1:6">
      <c r="A55" s="123" t="s">
        <v>251</v>
      </c>
      <c r="B55" s="128">
        <v>0</v>
      </c>
      <c r="C55" s="128">
        <v>0</v>
      </c>
      <c r="D55" s="128">
        <v>0</v>
      </c>
      <c r="E55" s="128">
        <v>0</v>
      </c>
      <c r="F55" s="128">
        <v>67</v>
      </c>
    </row>
    <row r="56" spans="1:6">
      <c r="A56" s="125" t="s">
        <v>250</v>
      </c>
      <c r="B56" s="129">
        <v>0</v>
      </c>
      <c r="C56" s="129">
        <v>0</v>
      </c>
      <c r="D56" s="129">
        <v>0</v>
      </c>
      <c r="E56" s="129">
        <v>0</v>
      </c>
      <c r="F56" s="129">
        <v>67</v>
      </c>
    </row>
    <row r="57" spans="1:6">
      <c r="A57" s="123" t="s">
        <v>249</v>
      </c>
      <c r="B57" s="126">
        <v>475059</v>
      </c>
      <c r="C57" s="126">
        <v>600175</v>
      </c>
      <c r="D57" s="126">
        <v>241610</v>
      </c>
      <c r="E57" s="126">
        <v>382740</v>
      </c>
      <c r="F57" s="126">
        <v>170793</v>
      </c>
    </row>
    <row r="58" spans="1:6">
      <c r="A58" s="125" t="s">
        <v>248</v>
      </c>
      <c r="B58" s="127">
        <v>63604</v>
      </c>
      <c r="C58" s="129">
        <v>0</v>
      </c>
      <c r="D58" s="129">
        <v>0</v>
      </c>
      <c r="E58" s="129">
        <v>0</v>
      </c>
      <c r="F58" s="129">
        <v>0</v>
      </c>
    </row>
    <row r="59" spans="1:6">
      <c r="A59" s="123" t="s">
        <v>7</v>
      </c>
      <c r="B59" s="126">
        <v>4818709</v>
      </c>
      <c r="C59" s="126">
        <v>4702044</v>
      </c>
      <c r="D59" s="126">
        <v>4375263</v>
      </c>
      <c r="E59" s="126">
        <v>4252464</v>
      </c>
      <c r="F59" s="126">
        <v>3933351</v>
      </c>
    </row>
    <row r="60" spans="1:6">
      <c r="A60" s="125" t="s">
        <v>246</v>
      </c>
      <c r="B60" s="127">
        <v>3707664</v>
      </c>
      <c r="C60" s="127">
        <v>3593709</v>
      </c>
      <c r="D60" s="127">
        <v>3299827</v>
      </c>
      <c r="E60" s="127">
        <v>3228502</v>
      </c>
      <c r="F60" s="127">
        <v>2950116</v>
      </c>
    </row>
    <row r="61" spans="1:6">
      <c r="A61" s="123" t="s">
        <v>245</v>
      </c>
      <c r="B61" s="126">
        <v>3707664</v>
      </c>
      <c r="C61" s="126">
        <v>3593709</v>
      </c>
      <c r="D61" s="126">
        <v>3299827</v>
      </c>
      <c r="E61" s="126">
        <v>3228502</v>
      </c>
      <c r="F61" s="126">
        <v>2950116</v>
      </c>
    </row>
    <row r="62" spans="1:6">
      <c r="A62" s="125" t="s">
        <v>244</v>
      </c>
      <c r="B62" s="127">
        <v>301158</v>
      </c>
      <c r="C62" s="127">
        <v>301158</v>
      </c>
      <c r="D62" s="127">
        <v>301158</v>
      </c>
      <c r="E62" s="127">
        <v>301158</v>
      </c>
      <c r="F62" s="127">
        <v>301158</v>
      </c>
    </row>
    <row r="63" spans="1:6">
      <c r="A63" s="123" t="s">
        <v>242</v>
      </c>
      <c r="B63" s="126">
        <v>2897173</v>
      </c>
      <c r="C63" s="126">
        <v>2690612</v>
      </c>
      <c r="D63" s="126">
        <v>2620562</v>
      </c>
      <c r="E63" s="126">
        <v>2314378</v>
      </c>
      <c r="F63" s="126">
        <v>2288291</v>
      </c>
    </row>
    <row r="64" spans="1:6">
      <c r="A64" s="125" t="s">
        <v>241</v>
      </c>
      <c r="B64" s="127">
        <v>498774</v>
      </c>
      <c r="C64" s="127">
        <v>591671</v>
      </c>
      <c r="D64" s="127">
        <v>367665</v>
      </c>
      <c r="E64" s="127">
        <v>602607</v>
      </c>
      <c r="F64" s="127">
        <v>350490</v>
      </c>
    </row>
    <row r="65" spans="1:6">
      <c r="A65" s="123" t="s">
        <v>240</v>
      </c>
      <c r="B65" s="126">
        <v>10559</v>
      </c>
      <c r="C65" s="126">
        <v>10268</v>
      </c>
      <c r="D65" s="126">
        <v>10442</v>
      </c>
      <c r="E65" s="126">
        <v>10359</v>
      </c>
      <c r="F65" s="126">
        <v>10177</v>
      </c>
    </row>
    <row r="66" spans="1:6">
      <c r="A66" s="125" t="s">
        <v>239</v>
      </c>
      <c r="B66" s="127">
        <v>1111045</v>
      </c>
      <c r="C66" s="127">
        <v>1108335</v>
      </c>
      <c r="D66" s="127">
        <v>1075436</v>
      </c>
      <c r="E66" s="127">
        <v>1023962</v>
      </c>
      <c r="F66" s="127">
        <v>983235</v>
      </c>
    </row>
    <row r="67" spans="1:6">
      <c r="A67" s="123" t="s">
        <v>238</v>
      </c>
      <c r="B67" s="126">
        <v>661888</v>
      </c>
      <c r="C67" s="126">
        <v>592811</v>
      </c>
      <c r="D67" s="126">
        <v>715050</v>
      </c>
      <c r="E67" s="126">
        <v>649800</v>
      </c>
      <c r="F67" s="126">
        <v>536432</v>
      </c>
    </row>
    <row r="68" spans="1:6">
      <c r="A68" s="125" t="s">
        <v>237</v>
      </c>
      <c r="B68" s="127">
        <v>20100</v>
      </c>
      <c r="C68" s="127">
        <v>25444</v>
      </c>
      <c r="D68" s="127">
        <v>30772</v>
      </c>
      <c r="E68" s="127">
        <v>28360</v>
      </c>
      <c r="F68" s="127">
        <v>13930</v>
      </c>
    </row>
    <row r="69" spans="1:6">
      <c r="A69" s="123" t="s">
        <v>236</v>
      </c>
      <c r="B69" s="128">
        <v>0</v>
      </c>
      <c r="C69" s="126">
        <v>29575</v>
      </c>
      <c r="D69" s="126">
        <v>33093</v>
      </c>
      <c r="E69" s="126">
        <v>39879</v>
      </c>
      <c r="F69" s="126">
        <v>39675</v>
      </c>
    </row>
    <row r="70" spans="1:6">
      <c r="A70" s="125" t="s">
        <v>235</v>
      </c>
      <c r="B70" s="127">
        <v>274113</v>
      </c>
      <c r="C70" s="127">
        <v>238533</v>
      </c>
      <c r="D70" s="127">
        <v>260058</v>
      </c>
      <c r="E70" s="127">
        <v>238477</v>
      </c>
      <c r="F70" s="127">
        <v>213686</v>
      </c>
    </row>
    <row r="71" spans="1:6">
      <c r="A71" s="123" t="s">
        <v>228</v>
      </c>
      <c r="B71" s="126">
        <v>335410</v>
      </c>
      <c r="C71" s="126">
        <v>299259</v>
      </c>
      <c r="D71" s="126">
        <v>391127</v>
      </c>
      <c r="E71" s="126">
        <v>330860</v>
      </c>
      <c r="F71" s="126">
        <v>256554</v>
      </c>
    </row>
    <row r="72" spans="1:6">
      <c r="A72" s="125" t="s">
        <v>236</v>
      </c>
      <c r="B72" s="127">
        <v>32265</v>
      </c>
      <c r="C72" s="129">
        <v>0</v>
      </c>
      <c r="D72" s="129">
        <v>0</v>
      </c>
      <c r="E72" s="127">
        <v>12224</v>
      </c>
      <c r="F72" s="127">
        <v>12587</v>
      </c>
    </row>
    <row r="73" spans="1:6">
      <c r="A73" s="123" t="s">
        <v>234</v>
      </c>
      <c r="B73" s="126">
        <v>449157</v>
      </c>
      <c r="C73" s="126">
        <v>515524</v>
      </c>
      <c r="D73" s="126">
        <v>360386</v>
      </c>
      <c r="E73" s="126">
        <v>374162</v>
      </c>
      <c r="F73" s="126">
        <v>446803</v>
      </c>
    </row>
    <row r="74" spans="1:6">
      <c r="A74" s="125" t="s">
        <v>233</v>
      </c>
      <c r="B74" s="127">
        <v>8278</v>
      </c>
      <c r="C74" s="127">
        <v>9904</v>
      </c>
      <c r="D74" s="127">
        <v>6155</v>
      </c>
      <c r="E74" s="127">
        <v>4263</v>
      </c>
      <c r="F74" s="127">
        <v>3212</v>
      </c>
    </row>
    <row r="75" spans="1:6">
      <c r="A75" s="123" t="s">
        <v>232</v>
      </c>
      <c r="B75" s="128">
        <v>0</v>
      </c>
      <c r="C75" s="126">
        <v>4240</v>
      </c>
      <c r="D75" s="128">
        <v>0</v>
      </c>
      <c r="E75" s="128">
        <v>0</v>
      </c>
      <c r="F75" s="128">
        <v>0</v>
      </c>
    </row>
    <row r="76" spans="1:6">
      <c r="A76" s="125" t="s">
        <v>231</v>
      </c>
      <c r="B76" s="127">
        <v>49855</v>
      </c>
      <c r="C76" s="127">
        <v>464782</v>
      </c>
      <c r="D76" s="127">
        <v>345119</v>
      </c>
      <c r="E76" s="127">
        <v>344294</v>
      </c>
      <c r="F76" s="127">
        <v>363358</v>
      </c>
    </row>
    <row r="77" spans="1:6">
      <c r="A77" s="123" t="s">
        <v>230</v>
      </c>
      <c r="B77" s="128">
        <v>0</v>
      </c>
      <c r="C77" s="126">
        <v>423004</v>
      </c>
      <c r="D77" s="126">
        <v>308463</v>
      </c>
      <c r="E77" s="126">
        <v>311554</v>
      </c>
      <c r="F77" s="126">
        <v>330549</v>
      </c>
    </row>
    <row r="78" spans="1:6">
      <c r="A78" s="125" t="s">
        <v>229</v>
      </c>
      <c r="B78" s="127">
        <v>49855</v>
      </c>
      <c r="C78" s="127">
        <v>41778</v>
      </c>
      <c r="D78" s="127">
        <v>36656</v>
      </c>
      <c r="E78" s="127">
        <v>32740</v>
      </c>
      <c r="F78" s="127">
        <v>32809</v>
      </c>
    </row>
    <row r="79" spans="1:6">
      <c r="A79" s="123" t="s">
        <v>296</v>
      </c>
      <c r="B79" s="128">
        <v>488</v>
      </c>
      <c r="C79" s="128">
        <v>493</v>
      </c>
      <c r="D79" s="128">
        <v>469</v>
      </c>
      <c r="E79" s="128">
        <v>0</v>
      </c>
      <c r="F79" s="128">
        <v>0</v>
      </c>
    </row>
    <row r="80" spans="1:6">
      <c r="A80" s="125" t="s">
        <v>228</v>
      </c>
      <c r="B80" s="127">
        <v>12746</v>
      </c>
      <c r="C80" s="127">
        <v>25186</v>
      </c>
      <c r="D80" s="127">
        <v>7314</v>
      </c>
      <c r="E80" s="127">
        <v>24692</v>
      </c>
      <c r="F80" s="127">
        <v>79156</v>
      </c>
    </row>
    <row r="81" spans="1:6">
      <c r="A81" s="123" t="s">
        <v>227</v>
      </c>
      <c r="B81" s="126">
        <v>377790</v>
      </c>
      <c r="C81" s="126">
        <v>9704</v>
      </c>
      <c r="D81" s="126">
        <v>1329</v>
      </c>
      <c r="E81" s="128">
        <v>913</v>
      </c>
      <c r="F81" s="126">
        <v>1077</v>
      </c>
    </row>
    <row r="82" spans="1:6">
      <c r="A82" s="125" t="s">
        <v>226</v>
      </c>
      <c r="B82" s="129">
        <v>0</v>
      </c>
      <c r="C82" s="127">
        <v>1215</v>
      </c>
      <c r="D82" s="129">
        <v>0</v>
      </c>
      <c r="E82" s="129">
        <v>0</v>
      </c>
      <c r="F82" s="129">
        <v>0</v>
      </c>
    </row>
    <row r="85" spans="1:6">
      <c r="A85" s="130" t="s">
        <v>8</v>
      </c>
      <c r="B85" s="130">
        <v>2022</v>
      </c>
      <c r="C85" s="130">
        <v>2021</v>
      </c>
      <c r="D85" s="130">
        <v>2020</v>
      </c>
      <c r="E85" s="130">
        <v>2019</v>
      </c>
      <c r="F85" s="130">
        <v>2018</v>
      </c>
    </row>
    <row r="86" spans="1:6">
      <c r="A86" s="125" t="s">
        <v>9</v>
      </c>
      <c r="B86" s="127">
        <v>624375</v>
      </c>
      <c r="C86" s="127">
        <v>762812</v>
      </c>
      <c r="D86" s="127">
        <v>476960</v>
      </c>
      <c r="E86" s="127">
        <v>720977</v>
      </c>
      <c r="F86" s="127">
        <v>458874</v>
      </c>
    </row>
    <row r="87" spans="1:6">
      <c r="A87" s="123" t="s">
        <v>224</v>
      </c>
      <c r="B87" s="126">
        <v>175636</v>
      </c>
      <c r="C87" s="126">
        <v>288266</v>
      </c>
      <c r="D87" s="126">
        <v>72962</v>
      </c>
      <c r="E87" s="128">
        <v>0</v>
      </c>
      <c r="F87" s="128">
        <v>0</v>
      </c>
    </row>
    <row r="88" spans="1:6">
      <c r="A88" s="125" t="s">
        <v>223</v>
      </c>
      <c r="B88" s="127">
        <v>522259</v>
      </c>
      <c r="C88" s="127">
        <v>567028</v>
      </c>
      <c r="D88" s="127">
        <v>416981</v>
      </c>
      <c r="E88" s="127">
        <v>781694</v>
      </c>
      <c r="F88" s="127">
        <v>451018</v>
      </c>
    </row>
    <row r="89" spans="1:6">
      <c r="A89" s="123" t="s">
        <v>295</v>
      </c>
      <c r="B89" s="126">
        <v>398471</v>
      </c>
      <c r="C89" s="126">
        <v>430151</v>
      </c>
      <c r="D89" s="126">
        <v>364686</v>
      </c>
      <c r="E89" s="128">
        <v>0</v>
      </c>
      <c r="F89" s="128">
        <v>0</v>
      </c>
    </row>
    <row r="90" spans="1:6">
      <c r="A90" s="125" t="s">
        <v>222</v>
      </c>
      <c r="B90" s="127">
        <v>-30788</v>
      </c>
      <c r="C90" s="129">
        <v>935</v>
      </c>
      <c r="D90" s="127">
        <v>-2457</v>
      </c>
      <c r="E90" s="127">
        <v>-4060</v>
      </c>
      <c r="F90" s="127">
        <v>-9545</v>
      </c>
    </row>
    <row r="91" spans="1:6">
      <c r="A91" s="123" t="s">
        <v>221</v>
      </c>
      <c r="B91" s="126">
        <v>105536</v>
      </c>
      <c r="C91" s="126">
        <v>72983</v>
      </c>
      <c r="D91" s="126">
        <v>48530</v>
      </c>
      <c r="E91" s="126">
        <v>785754</v>
      </c>
      <c r="F91" s="126">
        <v>460563</v>
      </c>
    </row>
    <row r="92" spans="1:6">
      <c r="A92" s="125" t="s">
        <v>294</v>
      </c>
      <c r="B92" s="127">
        <v>-96116</v>
      </c>
      <c r="C92" s="127">
        <v>-8620</v>
      </c>
      <c r="D92" s="127">
        <v>13124</v>
      </c>
      <c r="E92" s="129">
        <v>0</v>
      </c>
      <c r="F92" s="129">
        <v>0</v>
      </c>
    </row>
    <row r="93" spans="1:6">
      <c r="A93" s="123" t="s">
        <v>293</v>
      </c>
      <c r="B93" s="126">
        <v>114415</v>
      </c>
      <c r="C93" s="126">
        <v>-57336</v>
      </c>
      <c r="D93" s="126">
        <v>-23969</v>
      </c>
      <c r="E93" s="128">
        <v>0</v>
      </c>
      <c r="F93" s="128">
        <v>0</v>
      </c>
    </row>
    <row r="94" spans="1:6">
      <c r="A94" s="125" t="s">
        <v>292</v>
      </c>
      <c r="B94" s="127">
        <v>19560</v>
      </c>
      <c r="C94" s="127">
        <v>57401</v>
      </c>
      <c r="D94" s="127">
        <v>-10343</v>
      </c>
      <c r="E94" s="129">
        <v>0</v>
      </c>
      <c r="F94" s="129">
        <v>0</v>
      </c>
    </row>
    <row r="95" spans="1:6">
      <c r="A95" s="123" t="s">
        <v>291</v>
      </c>
      <c r="B95" s="128">
        <v>0</v>
      </c>
      <c r="C95" s="126">
        <v>4240</v>
      </c>
      <c r="D95" s="128">
        <v>0</v>
      </c>
      <c r="E95" s="128">
        <v>0</v>
      </c>
      <c r="F95" s="128">
        <v>0</v>
      </c>
    </row>
    <row r="96" spans="1:6">
      <c r="A96" s="125" t="s">
        <v>220</v>
      </c>
      <c r="B96" s="127">
        <v>-73520</v>
      </c>
      <c r="C96" s="127">
        <v>-92482</v>
      </c>
      <c r="D96" s="127">
        <v>-12983</v>
      </c>
      <c r="E96" s="127">
        <v>-60717</v>
      </c>
      <c r="F96" s="127">
        <v>7856</v>
      </c>
    </row>
    <row r="97" spans="1:6">
      <c r="A97" s="123" t="s">
        <v>10</v>
      </c>
      <c r="B97" s="126">
        <v>-651383</v>
      </c>
      <c r="C97" s="126">
        <v>-394353</v>
      </c>
      <c r="D97" s="126">
        <v>-611029</v>
      </c>
      <c r="E97" s="126">
        <v>-476533</v>
      </c>
      <c r="F97" s="126">
        <v>-418232</v>
      </c>
    </row>
    <row r="98" spans="1:6">
      <c r="A98" s="125" t="s">
        <v>219</v>
      </c>
      <c r="B98" s="129">
        <v>409</v>
      </c>
      <c r="C98" s="129">
        <v>96</v>
      </c>
      <c r="D98" s="129">
        <v>136</v>
      </c>
      <c r="E98" s="127">
        <v>1025</v>
      </c>
      <c r="F98" s="127">
        <v>3613</v>
      </c>
    </row>
    <row r="99" spans="1:6">
      <c r="A99" s="123" t="s">
        <v>218</v>
      </c>
      <c r="B99" s="126">
        <v>-683198</v>
      </c>
      <c r="C99" s="126">
        <v>-388547</v>
      </c>
      <c r="D99" s="126">
        <v>-606130</v>
      </c>
      <c r="E99" s="126">
        <v>-477142</v>
      </c>
      <c r="F99" s="126">
        <v>-420520</v>
      </c>
    </row>
    <row r="100" spans="1:6">
      <c r="A100" s="125" t="s">
        <v>217</v>
      </c>
      <c r="B100" s="127">
        <v>252268</v>
      </c>
      <c r="C100" s="127">
        <v>68155</v>
      </c>
      <c r="D100" s="129">
        <v>0</v>
      </c>
      <c r="E100" s="129">
        <v>-68</v>
      </c>
      <c r="F100" s="127">
        <v>-153098</v>
      </c>
    </row>
    <row r="101" spans="1:6">
      <c r="A101" s="123" t="s">
        <v>216</v>
      </c>
      <c r="B101" s="128">
        <v>0</v>
      </c>
      <c r="C101" s="128">
        <v>0</v>
      </c>
      <c r="D101" s="128">
        <v>0</v>
      </c>
      <c r="E101" s="128">
        <v>135</v>
      </c>
      <c r="F101" s="126">
        <v>155167</v>
      </c>
    </row>
    <row r="102" spans="1:6">
      <c r="A102" s="125" t="s">
        <v>214</v>
      </c>
      <c r="B102" s="127">
        <v>-220862</v>
      </c>
      <c r="C102" s="127">
        <v>-74057</v>
      </c>
      <c r="D102" s="127">
        <v>-5035</v>
      </c>
      <c r="E102" s="129">
        <v>-483</v>
      </c>
      <c r="F102" s="127">
        <v>-3394</v>
      </c>
    </row>
    <row r="103" spans="1:6">
      <c r="A103" s="123" t="s">
        <v>11</v>
      </c>
      <c r="B103" s="126">
        <v>-98108</v>
      </c>
      <c r="C103" s="126">
        <v>-9894</v>
      </c>
      <c r="D103" s="126">
        <v>-7061</v>
      </c>
      <c r="E103" s="126">
        <v>-32497</v>
      </c>
      <c r="F103" s="126">
        <v>-304777</v>
      </c>
    </row>
    <row r="104" spans="1:6">
      <c r="A104" s="125" t="s">
        <v>211</v>
      </c>
      <c r="B104" s="127">
        <v>-3036</v>
      </c>
      <c r="C104" s="127">
        <v>-3036</v>
      </c>
      <c r="D104" s="127">
        <v>-3036</v>
      </c>
      <c r="E104" s="127">
        <v>-3036</v>
      </c>
      <c r="F104" s="127">
        <v>-3036</v>
      </c>
    </row>
    <row r="105" spans="1:6">
      <c r="A105" s="123" t="s">
        <v>210</v>
      </c>
      <c r="B105" s="126">
        <v>-9741</v>
      </c>
      <c r="C105" s="126">
        <v>-6363</v>
      </c>
      <c r="D105" s="126">
        <v>-3494</v>
      </c>
      <c r="E105" s="126">
        <v>-3415</v>
      </c>
      <c r="F105" s="128">
        <v>0</v>
      </c>
    </row>
    <row r="106" spans="1:6">
      <c r="A106" s="125" t="s">
        <v>209</v>
      </c>
      <c r="B106" s="127">
        <v>-85034</v>
      </c>
      <c r="C106" s="129">
        <v>-86</v>
      </c>
      <c r="D106" s="129">
        <v>0</v>
      </c>
      <c r="E106" s="127">
        <v>-25510</v>
      </c>
      <c r="F106" s="129">
        <v>0</v>
      </c>
    </row>
    <row r="107" spans="1:6">
      <c r="A107" s="123" t="s">
        <v>208</v>
      </c>
      <c r="B107" s="128">
        <v>-297</v>
      </c>
      <c r="C107" s="128">
        <v>-409</v>
      </c>
      <c r="D107" s="128">
        <v>-531</v>
      </c>
      <c r="E107" s="128">
        <v>-536</v>
      </c>
      <c r="F107" s="126">
        <v>-301741</v>
      </c>
    </row>
    <row r="108" spans="1:6">
      <c r="A108" s="125" t="s">
        <v>207</v>
      </c>
      <c r="B108" s="127">
        <v>-125116</v>
      </c>
      <c r="C108" s="127">
        <v>358565</v>
      </c>
      <c r="D108" s="127">
        <v>-141130</v>
      </c>
      <c r="E108" s="127">
        <v>211947</v>
      </c>
      <c r="F108" s="127">
        <v>-264135</v>
      </c>
    </row>
    <row r="109" spans="1:6">
      <c r="A109" s="123" t="s">
        <v>12</v>
      </c>
      <c r="B109" s="126">
        <v>600175</v>
      </c>
      <c r="C109" s="126">
        <v>241610</v>
      </c>
      <c r="D109" s="126">
        <v>382740</v>
      </c>
      <c r="E109" s="126">
        <v>170793</v>
      </c>
      <c r="F109" s="126">
        <v>434928</v>
      </c>
    </row>
    <row r="110" spans="1:6">
      <c r="A110" s="125" t="s">
        <v>13</v>
      </c>
      <c r="B110" s="127">
        <v>475059</v>
      </c>
      <c r="C110" s="127">
        <v>600175</v>
      </c>
      <c r="D110" s="127">
        <v>241610</v>
      </c>
      <c r="E110" s="127">
        <v>382740</v>
      </c>
      <c r="F110" s="127">
        <v>170793</v>
      </c>
    </row>
    <row r="111" spans="1:6">
      <c r="A111" s="123" t="s">
        <v>205</v>
      </c>
      <c r="B111" s="126">
        <v>-58823</v>
      </c>
      <c r="C111" s="126">
        <v>374265</v>
      </c>
      <c r="D111" s="126">
        <v>-129170</v>
      </c>
      <c r="E111" s="126">
        <v>243835</v>
      </c>
      <c r="F111" s="126">
        <v>38354</v>
      </c>
    </row>
    <row r="114" spans="1:7">
      <c r="A114" s="125" t="s">
        <v>204</v>
      </c>
      <c r="B114" s="124" t="s">
        <v>203</v>
      </c>
      <c r="C114" s="124" t="s">
        <v>203</v>
      </c>
      <c r="D114" s="124" t="s">
        <v>203</v>
      </c>
      <c r="E114" s="124" t="s">
        <v>203</v>
      </c>
      <c r="F114" s="124" t="s">
        <v>203</v>
      </c>
    </row>
    <row r="115" spans="1:7">
      <c r="A115" s="123" t="s">
        <v>202</v>
      </c>
      <c r="B115" s="122" t="s">
        <v>201</v>
      </c>
      <c r="C115" s="122" t="s">
        <v>200</v>
      </c>
      <c r="D115" s="122" t="s">
        <v>199</v>
      </c>
      <c r="E115" s="122" t="s">
        <v>198</v>
      </c>
      <c r="F115" s="122" t="s">
        <v>197</v>
      </c>
    </row>
    <row r="116" spans="1:7">
      <c r="A116" s="125" t="s">
        <v>196</v>
      </c>
      <c r="B116" s="124" t="s">
        <v>195</v>
      </c>
      <c r="C116" s="124" t="s">
        <v>194</v>
      </c>
      <c r="D116" s="124" t="s">
        <v>193</v>
      </c>
      <c r="E116" s="124" t="s">
        <v>192</v>
      </c>
      <c r="F116" s="124" t="s">
        <v>191</v>
      </c>
    </row>
    <row r="117" spans="1:7">
      <c r="A117" s="123" t="s">
        <v>190</v>
      </c>
      <c r="B117" s="122" t="s">
        <v>290</v>
      </c>
      <c r="C117" s="122" t="s">
        <v>290</v>
      </c>
      <c r="D117" s="122" t="s">
        <v>290</v>
      </c>
      <c r="E117" s="122" t="s">
        <v>290</v>
      </c>
      <c r="F117" s="122" t="s">
        <v>290</v>
      </c>
    </row>
    <row r="118" spans="1:7">
      <c r="A118" s="125" t="s">
        <v>188</v>
      </c>
      <c r="B118" s="124" t="s">
        <v>188</v>
      </c>
      <c r="C118" s="124" t="s">
        <v>188</v>
      </c>
      <c r="D118" s="124" t="s">
        <v>188</v>
      </c>
      <c r="E118" s="124" t="s">
        <v>188</v>
      </c>
      <c r="F118" s="124" t="s">
        <v>188</v>
      </c>
    </row>
    <row r="119" spans="1:7">
      <c r="A119" s="123" t="s">
        <v>187</v>
      </c>
      <c r="B119" s="122" t="s">
        <v>186</v>
      </c>
      <c r="C119" s="122" t="s">
        <v>186</v>
      </c>
      <c r="D119" s="122" t="s">
        <v>186</v>
      </c>
      <c r="E119" s="122" t="s">
        <v>186</v>
      </c>
      <c r="F119" s="122" t="s">
        <v>186</v>
      </c>
    </row>
    <row r="122" spans="1:7">
      <c r="A122" t="s">
        <v>185</v>
      </c>
    </row>
    <row r="123" spans="1:7">
      <c r="A123" t="s">
        <v>184</v>
      </c>
    </row>
    <row r="126" spans="1:7">
      <c r="A126" s="273"/>
      <c r="B126" s="273"/>
      <c r="C126" s="273"/>
    </row>
    <row r="127" spans="1:7">
      <c r="A127" s="273"/>
      <c r="B127" s="273"/>
      <c r="C127" s="273"/>
      <c r="D127" s="274" t="s">
        <v>0</v>
      </c>
      <c r="E127" s="274"/>
      <c r="F127" s="274"/>
      <c r="G127" s="274"/>
    </row>
    <row r="128" spans="1:7">
      <c r="A128" s="273"/>
      <c r="B128" s="273"/>
      <c r="C128" s="273"/>
      <c r="D128" s="274" t="s">
        <v>287</v>
      </c>
      <c r="E128" s="274"/>
      <c r="F128" s="274"/>
      <c r="G128" s="274"/>
    </row>
    <row r="129" spans="1:7">
      <c r="A129" s="273"/>
      <c r="B129" s="273"/>
      <c r="C129" s="273"/>
      <c r="D129" s="274" t="s">
        <v>286</v>
      </c>
      <c r="E129" s="274"/>
      <c r="F129" s="274"/>
      <c r="G129" s="274"/>
    </row>
    <row r="130" spans="1:7">
      <c r="A130" s="273"/>
      <c r="B130" s="273"/>
      <c r="C130" s="273"/>
      <c r="D130" s="274" t="s">
        <v>1</v>
      </c>
      <c r="E130" s="274"/>
      <c r="F130" s="274"/>
      <c r="G130" s="274"/>
    </row>
    <row r="132" spans="1:7">
      <c r="A132" s="272" t="s">
        <v>302</v>
      </c>
      <c r="B132" s="273"/>
      <c r="C132" s="273"/>
      <c r="D132" s="273"/>
      <c r="E132" s="273"/>
      <c r="F132" s="273"/>
      <c r="G132" s="273"/>
    </row>
    <row r="133" spans="1:7">
      <c r="A133" t="s">
        <v>284</v>
      </c>
    </row>
    <row r="135" spans="1:7">
      <c r="A135" s="125" t="s">
        <v>204</v>
      </c>
      <c r="B135" s="124" t="s">
        <v>203</v>
      </c>
      <c r="C135" s="124" t="s">
        <v>203</v>
      </c>
      <c r="D135" s="124" t="s">
        <v>203</v>
      </c>
      <c r="E135" s="124" t="s">
        <v>203</v>
      </c>
      <c r="F135" s="124" t="s">
        <v>203</v>
      </c>
    </row>
    <row r="136" spans="1:7">
      <c r="A136" s="123" t="s">
        <v>196</v>
      </c>
      <c r="B136" s="122" t="s">
        <v>195</v>
      </c>
      <c r="C136" s="122" t="s">
        <v>194</v>
      </c>
      <c r="D136" s="122" t="s">
        <v>193</v>
      </c>
      <c r="E136" s="122" t="s">
        <v>192</v>
      </c>
      <c r="F136" s="122" t="s">
        <v>191</v>
      </c>
    </row>
    <row r="137" spans="1:7">
      <c r="A137" s="125" t="s">
        <v>283</v>
      </c>
      <c r="B137" s="124" t="s">
        <v>282</v>
      </c>
      <c r="C137" s="124" t="s">
        <v>282</v>
      </c>
      <c r="D137" s="124" t="s">
        <v>282</v>
      </c>
      <c r="E137" s="124" t="s">
        <v>282</v>
      </c>
      <c r="F137" s="124" t="s">
        <v>282</v>
      </c>
    </row>
    <row r="140" spans="1:7">
      <c r="A140" s="130" t="s">
        <v>427</v>
      </c>
      <c r="B140" s="130">
        <v>2022</v>
      </c>
      <c r="C140" s="130">
        <v>2021</v>
      </c>
      <c r="D140" s="130">
        <v>2020</v>
      </c>
      <c r="E140" s="130">
        <v>2019</v>
      </c>
      <c r="F140" s="130">
        <v>2018</v>
      </c>
    </row>
    <row r="143" spans="1:7">
      <c r="A143" s="125" t="s">
        <v>426</v>
      </c>
      <c r="B143" s="185">
        <v>3.6400000000000002E-2</v>
      </c>
      <c r="C143" s="185">
        <v>6.13E-2</v>
      </c>
      <c r="D143" s="185">
        <v>1.67E-2</v>
      </c>
      <c r="E143" s="185">
        <v>7.2599999999999998E-2</v>
      </c>
      <c r="F143" s="185">
        <v>1.37E-2</v>
      </c>
    </row>
    <row r="144" spans="1:7">
      <c r="A144" s="123" t="s">
        <v>425</v>
      </c>
      <c r="B144" s="186">
        <v>3.6400000000000002E-2</v>
      </c>
      <c r="C144" s="186">
        <v>6.13E-2</v>
      </c>
      <c r="D144" s="186">
        <v>1.67E-2</v>
      </c>
      <c r="E144" s="186">
        <v>7.2599999999999998E-2</v>
      </c>
      <c r="F144" s="186">
        <v>1.37E-2</v>
      </c>
    </row>
    <row r="145" spans="1:6">
      <c r="A145" s="125" t="s">
        <v>424</v>
      </c>
      <c r="B145" s="185">
        <v>4.7399999999999998E-2</v>
      </c>
      <c r="C145" s="185">
        <v>8.0199999999999994E-2</v>
      </c>
      <c r="D145" s="185">
        <v>2.2100000000000002E-2</v>
      </c>
      <c r="E145" s="185">
        <v>9.5600000000000004E-2</v>
      </c>
      <c r="F145" s="185">
        <v>1.8200000000000001E-2</v>
      </c>
    </row>
    <row r="146" spans="1:6">
      <c r="A146" s="123" t="s">
        <v>423</v>
      </c>
      <c r="B146" s="186">
        <v>4.7399999999999998E-2</v>
      </c>
      <c r="C146" s="186">
        <v>8.0199999999999994E-2</v>
      </c>
      <c r="D146" s="186">
        <v>2.2100000000000002E-2</v>
      </c>
      <c r="E146" s="186">
        <v>9.5600000000000004E-2</v>
      </c>
      <c r="F146" s="186">
        <v>1.8200000000000001E-2</v>
      </c>
    </row>
    <row r="147" spans="1:6">
      <c r="A147" s="125" t="s">
        <v>422</v>
      </c>
      <c r="B147" s="185">
        <v>4.58E-2</v>
      </c>
      <c r="C147" s="185">
        <v>8.7599999999999997E-2</v>
      </c>
      <c r="D147" s="185">
        <v>2.3699999999999999E-2</v>
      </c>
      <c r="E147" s="185">
        <v>9.6699999999999994E-2</v>
      </c>
      <c r="F147" s="185">
        <v>1.78E-2</v>
      </c>
    </row>
    <row r="148" spans="1:6">
      <c r="A148" s="123" t="s">
        <v>421</v>
      </c>
      <c r="B148" s="186">
        <v>7.1599999999999997E-2</v>
      </c>
      <c r="C148" s="186">
        <v>0.1216</v>
      </c>
      <c r="D148" s="186">
        <v>0.04</v>
      </c>
      <c r="E148" s="186">
        <v>0.1431</v>
      </c>
      <c r="F148" s="186">
        <v>3.0599999999999999E-2</v>
      </c>
    </row>
    <row r="149" spans="1:6">
      <c r="A149" s="125" t="s">
        <v>420</v>
      </c>
      <c r="B149" s="185">
        <v>0.1666</v>
      </c>
      <c r="C149" s="185">
        <v>0.22900000000000001</v>
      </c>
      <c r="D149" s="185">
        <v>0.13650000000000001</v>
      </c>
      <c r="E149" s="185">
        <v>0.23710000000000001</v>
      </c>
      <c r="F149" s="185">
        <v>9.8299999999999998E-2</v>
      </c>
    </row>
    <row r="150" spans="1:6">
      <c r="A150" s="123" t="s">
        <v>419</v>
      </c>
      <c r="B150" s="186">
        <v>8.1699999999999995E-2</v>
      </c>
      <c r="C150" s="186">
        <v>0.1547</v>
      </c>
      <c r="D150" s="186">
        <v>5.2299999999999999E-2</v>
      </c>
      <c r="E150" s="186">
        <v>0.1739</v>
      </c>
      <c r="F150" s="186">
        <v>3.5299999999999998E-2</v>
      </c>
    </row>
    <row r="151" spans="1:6">
      <c r="A151" s="125" t="s">
        <v>430</v>
      </c>
      <c r="B151" s="185">
        <v>0.2442</v>
      </c>
      <c r="C151" s="185">
        <v>0.33610000000000001</v>
      </c>
      <c r="D151" s="185">
        <v>0.25240000000000001</v>
      </c>
      <c r="E151" s="124" t="s">
        <v>299</v>
      </c>
      <c r="F151" s="124" t="s">
        <v>299</v>
      </c>
    </row>
    <row r="152" spans="1:6">
      <c r="A152" s="123" t="s">
        <v>418</v>
      </c>
      <c r="B152" s="186">
        <v>4.1599999999999998E-2</v>
      </c>
      <c r="C152" s="186">
        <v>7.8E-2</v>
      </c>
      <c r="D152" s="186">
        <v>2.18E-2</v>
      </c>
      <c r="E152" s="186">
        <v>8.8200000000000001E-2</v>
      </c>
      <c r="F152" s="186">
        <v>1.5800000000000002E-2</v>
      </c>
    </row>
    <row r="155" spans="1:6">
      <c r="A155" s="125" t="s">
        <v>417</v>
      </c>
      <c r="B155" s="125" t="s">
        <v>431</v>
      </c>
      <c r="C155" s="125" t="s">
        <v>432</v>
      </c>
      <c r="D155" s="125" t="s">
        <v>433</v>
      </c>
      <c r="E155" s="125" t="s">
        <v>434</v>
      </c>
      <c r="F155" s="125" t="s">
        <v>435</v>
      </c>
    </row>
    <row r="156" spans="1:6">
      <c r="A156" s="123" t="s">
        <v>411</v>
      </c>
      <c r="B156" s="122" t="s">
        <v>299</v>
      </c>
      <c r="C156" s="123" t="s">
        <v>436</v>
      </c>
      <c r="D156" s="123" t="s">
        <v>437</v>
      </c>
      <c r="E156" s="123" t="s">
        <v>438</v>
      </c>
      <c r="F156" s="123" t="s">
        <v>439</v>
      </c>
    </row>
    <row r="157" spans="1:6">
      <c r="A157" s="125" t="s">
        <v>405</v>
      </c>
      <c r="B157" s="125" t="s">
        <v>440</v>
      </c>
      <c r="C157" s="125" t="s">
        <v>441</v>
      </c>
      <c r="D157" s="125" t="s">
        <v>442</v>
      </c>
      <c r="E157" s="125" t="s">
        <v>443</v>
      </c>
      <c r="F157" s="125" t="s">
        <v>444</v>
      </c>
    </row>
    <row r="158" spans="1:6">
      <c r="A158" s="123" t="s">
        <v>399</v>
      </c>
      <c r="B158" s="123" t="s">
        <v>357</v>
      </c>
      <c r="C158" s="123" t="s">
        <v>363</v>
      </c>
      <c r="D158" s="123" t="s">
        <v>445</v>
      </c>
      <c r="E158" s="123" t="s">
        <v>446</v>
      </c>
      <c r="F158" s="123" t="s">
        <v>447</v>
      </c>
    </row>
    <row r="159" spans="1:6">
      <c r="A159" s="125" t="s">
        <v>395</v>
      </c>
      <c r="B159" s="125" t="s">
        <v>447</v>
      </c>
      <c r="C159" s="125" t="s">
        <v>448</v>
      </c>
      <c r="D159" s="125" t="s">
        <v>449</v>
      </c>
      <c r="E159" s="125" t="s">
        <v>447</v>
      </c>
      <c r="F159" s="125" t="s">
        <v>355</v>
      </c>
    </row>
    <row r="160" spans="1:6">
      <c r="A160" s="123" t="s">
        <v>390</v>
      </c>
      <c r="B160" s="122" t="s">
        <v>299</v>
      </c>
      <c r="C160" s="123" t="s">
        <v>450</v>
      </c>
      <c r="D160" s="123" t="s">
        <v>451</v>
      </c>
      <c r="E160" s="123" t="s">
        <v>452</v>
      </c>
      <c r="F160" s="123" t="s">
        <v>453</v>
      </c>
    </row>
    <row r="161" spans="1:6">
      <c r="A161" s="125" t="s">
        <v>384</v>
      </c>
      <c r="B161" s="125" t="s">
        <v>454</v>
      </c>
      <c r="C161" s="125" t="s">
        <v>455</v>
      </c>
      <c r="D161" s="125" t="s">
        <v>456</v>
      </c>
      <c r="E161" s="125" t="s">
        <v>457</v>
      </c>
      <c r="F161" s="125" t="s">
        <v>458</v>
      </c>
    </row>
    <row r="164" spans="1:6">
      <c r="A164" s="123" t="s">
        <v>378</v>
      </c>
      <c r="B164" s="126">
        <v>3648110</v>
      </c>
      <c r="C164" s="126">
        <v>3537720</v>
      </c>
      <c r="D164" s="126">
        <v>3240652</v>
      </c>
      <c r="E164" s="126">
        <v>3164826</v>
      </c>
      <c r="F164" s="126">
        <v>2891272</v>
      </c>
    </row>
    <row r="165" spans="1:6">
      <c r="A165" s="125" t="s">
        <v>377</v>
      </c>
      <c r="B165" s="127">
        <v>-635986</v>
      </c>
      <c r="C165" s="127">
        <v>-508160</v>
      </c>
      <c r="D165" s="127">
        <v>-833826</v>
      </c>
      <c r="E165" s="127">
        <v>-641222</v>
      </c>
      <c r="F165" s="127">
        <v>-812442</v>
      </c>
    </row>
    <row r="166" spans="1:6">
      <c r="A166" s="123" t="s">
        <v>376</v>
      </c>
      <c r="B166" s="126">
        <v>28378</v>
      </c>
      <c r="C166" s="126">
        <v>39588</v>
      </c>
      <c r="D166" s="126">
        <v>36927</v>
      </c>
      <c r="E166" s="126">
        <v>32623</v>
      </c>
      <c r="F166" s="126">
        <v>17142</v>
      </c>
    </row>
    <row r="167" spans="1:6">
      <c r="A167" s="125" t="s">
        <v>375</v>
      </c>
      <c r="B167" s="127">
        <v>20100</v>
      </c>
      <c r="C167" s="127">
        <v>25444</v>
      </c>
      <c r="D167" s="127">
        <v>30772</v>
      </c>
      <c r="E167" s="127">
        <v>28360</v>
      </c>
      <c r="F167" s="127">
        <v>13930</v>
      </c>
    </row>
    <row r="168" spans="1:6">
      <c r="A168" s="123" t="s">
        <v>374</v>
      </c>
      <c r="B168" s="126">
        <v>8278</v>
      </c>
      <c r="C168" s="126">
        <v>14144</v>
      </c>
      <c r="D168" s="126">
        <v>6155</v>
      </c>
      <c r="E168" s="126">
        <v>4263</v>
      </c>
      <c r="F168" s="126">
        <v>3212</v>
      </c>
    </row>
    <row r="169" spans="1:6">
      <c r="A169" s="125" t="s">
        <v>373</v>
      </c>
      <c r="B169" s="127">
        <v>-446681</v>
      </c>
      <c r="C169" s="127">
        <v>-560587</v>
      </c>
      <c r="D169" s="127">
        <v>-204683</v>
      </c>
      <c r="E169" s="127">
        <v>-350117</v>
      </c>
      <c r="F169" s="127">
        <v>-153651</v>
      </c>
    </row>
    <row r="170" spans="1:6">
      <c r="A170" s="123" t="s">
        <v>372</v>
      </c>
      <c r="B170" s="126">
        <v>489024</v>
      </c>
      <c r="C170" s="126">
        <v>510092</v>
      </c>
      <c r="D170" s="126">
        <v>250932</v>
      </c>
      <c r="E170" s="126">
        <v>368522</v>
      </c>
      <c r="F170" s="126">
        <v>22726</v>
      </c>
    </row>
    <row r="171" spans="1:6">
      <c r="A171" s="125" t="s">
        <v>371</v>
      </c>
      <c r="B171" s="127">
        <v>4369552</v>
      </c>
      <c r="C171" s="127">
        <v>4186520</v>
      </c>
      <c r="D171" s="127">
        <v>4014877</v>
      </c>
      <c r="E171" s="127">
        <v>3878302</v>
      </c>
      <c r="F171" s="127">
        <v>3486548</v>
      </c>
    </row>
    <row r="174" spans="1:6">
      <c r="A174" s="123" t="s">
        <v>370</v>
      </c>
      <c r="B174" s="128">
        <v>4.8099999999999996</v>
      </c>
      <c r="C174" s="128">
        <v>5.04</v>
      </c>
      <c r="D174" s="128">
        <v>4.0199999999999996</v>
      </c>
      <c r="E174" s="128">
        <v>4.9400000000000004</v>
      </c>
      <c r="F174" s="128">
        <v>3.59</v>
      </c>
    </row>
    <row r="175" spans="1:6">
      <c r="A175" s="125" t="s">
        <v>369</v>
      </c>
      <c r="B175" s="125" t="s">
        <v>459</v>
      </c>
      <c r="C175" s="125" t="s">
        <v>460</v>
      </c>
      <c r="D175" s="125" t="s">
        <v>461</v>
      </c>
      <c r="E175" s="125" t="s">
        <v>462</v>
      </c>
      <c r="F175" s="125" t="s">
        <v>463</v>
      </c>
    </row>
    <row r="176" spans="1:6">
      <c r="A176" s="123" t="s">
        <v>364</v>
      </c>
      <c r="B176" s="123" t="s">
        <v>464</v>
      </c>
      <c r="C176" s="123" t="s">
        <v>465</v>
      </c>
      <c r="D176" s="123" t="s">
        <v>466</v>
      </c>
      <c r="E176" s="123" t="s">
        <v>467</v>
      </c>
      <c r="F176" s="123" t="s">
        <v>468</v>
      </c>
    </row>
    <row r="177" spans="1:6">
      <c r="A177" s="125" t="s">
        <v>358</v>
      </c>
      <c r="B177" s="125" t="s">
        <v>398</v>
      </c>
      <c r="C177" s="125" t="s">
        <v>469</v>
      </c>
      <c r="D177" s="125" t="s">
        <v>393</v>
      </c>
      <c r="E177" s="125" t="s">
        <v>368</v>
      </c>
      <c r="F177" s="125" t="s">
        <v>470</v>
      </c>
    </row>
    <row r="178" spans="1:6">
      <c r="A178" s="123" t="s">
        <v>358</v>
      </c>
      <c r="B178" s="123" t="s">
        <v>398</v>
      </c>
      <c r="C178" s="123" t="s">
        <v>469</v>
      </c>
      <c r="D178" s="123" t="s">
        <v>393</v>
      </c>
      <c r="E178" s="123" t="s">
        <v>368</v>
      </c>
      <c r="F178" s="123" t="s">
        <v>470</v>
      </c>
    </row>
    <row r="179" spans="1:6">
      <c r="A179" s="125" t="s">
        <v>353</v>
      </c>
      <c r="B179" s="125" t="s">
        <v>471</v>
      </c>
      <c r="C179" s="125" t="s">
        <v>472</v>
      </c>
      <c r="D179" s="125" t="s">
        <v>473</v>
      </c>
      <c r="E179" s="125" t="s">
        <v>474</v>
      </c>
      <c r="F179" s="125" t="s">
        <v>475</v>
      </c>
    </row>
    <row r="182" spans="1:6">
      <c r="A182" s="123" t="s">
        <v>347</v>
      </c>
      <c r="B182" s="186">
        <v>5.8999999999999999E-3</v>
      </c>
      <c r="C182" s="186">
        <v>8.3999999999999995E-3</v>
      </c>
      <c r="D182" s="186">
        <v>8.3999999999999995E-3</v>
      </c>
      <c r="E182" s="186">
        <v>7.7000000000000002E-3</v>
      </c>
      <c r="F182" s="186">
        <v>4.4000000000000003E-3</v>
      </c>
    </row>
    <row r="183" spans="1:6">
      <c r="A183" s="125" t="s">
        <v>346</v>
      </c>
      <c r="B183" s="185">
        <v>7.7000000000000002E-3</v>
      </c>
      <c r="C183" s="185">
        <v>1.0999999999999999E-2</v>
      </c>
      <c r="D183" s="185">
        <v>1.12E-2</v>
      </c>
      <c r="E183" s="185">
        <v>1.01E-2</v>
      </c>
      <c r="F183" s="185">
        <v>5.7999999999999996E-3</v>
      </c>
    </row>
    <row r="184" spans="1:6">
      <c r="A184" s="123" t="s">
        <v>345</v>
      </c>
      <c r="B184" s="186">
        <v>4.5999999999999999E-3</v>
      </c>
      <c r="C184" s="186">
        <v>6.1000000000000004E-3</v>
      </c>
      <c r="D184" s="186">
        <v>7.7000000000000002E-3</v>
      </c>
      <c r="E184" s="186">
        <v>7.3000000000000001E-3</v>
      </c>
      <c r="F184" s="186">
        <v>4.0000000000000001E-3</v>
      </c>
    </row>
    <row r="185" spans="1:6">
      <c r="A185" s="125" t="s">
        <v>476</v>
      </c>
      <c r="B185" s="125" t="s">
        <v>477</v>
      </c>
      <c r="C185" s="125" t="s">
        <v>477</v>
      </c>
      <c r="D185" s="125" t="s">
        <v>478</v>
      </c>
      <c r="E185" s="124" t="s">
        <v>299</v>
      </c>
      <c r="F185" s="124" t="s">
        <v>299</v>
      </c>
    </row>
    <row r="186" spans="1:6">
      <c r="A186" s="123" t="s">
        <v>344</v>
      </c>
      <c r="B186" s="186">
        <v>-4.4089</v>
      </c>
      <c r="C186" s="186">
        <v>9.0573999999999995</v>
      </c>
      <c r="D186" s="186">
        <v>-3.8218999999999999</v>
      </c>
      <c r="E186" s="186">
        <v>6.4969000000000001</v>
      </c>
      <c r="F186" s="186">
        <v>-0.01</v>
      </c>
    </row>
    <row r="187" spans="1:6">
      <c r="A187" s="125" t="s">
        <v>343</v>
      </c>
      <c r="B187" s="185">
        <v>1.2997000000000001</v>
      </c>
      <c r="C187" s="185">
        <v>1.3084</v>
      </c>
      <c r="D187" s="185">
        <v>1.3259000000000001</v>
      </c>
      <c r="E187" s="185">
        <v>1.3171999999999999</v>
      </c>
      <c r="F187" s="185">
        <v>1.3332999999999999</v>
      </c>
    </row>
    <row r="190" spans="1:6">
      <c r="A190" s="123" t="s">
        <v>342</v>
      </c>
      <c r="B190" s="186">
        <v>3.39E-2</v>
      </c>
      <c r="C190" s="186">
        <v>0.3014</v>
      </c>
      <c r="D190" s="186">
        <v>-0.15559999999999999</v>
      </c>
      <c r="E190" s="186">
        <v>0.22839999999999999</v>
      </c>
      <c r="F190" s="122" t="s">
        <v>299</v>
      </c>
    </row>
    <row r="191" spans="1:6">
      <c r="A191" s="125" t="s">
        <v>341</v>
      </c>
      <c r="B191" s="185">
        <v>3.3099999999999997E-2</v>
      </c>
      <c r="C191" s="185">
        <v>0.29870000000000002</v>
      </c>
      <c r="D191" s="185">
        <v>-0.15409999999999999</v>
      </c>
      <c r="E191" s="185">
        <v>0.2074</v>
      </c>
      <c r="F191" s="124" t="s">
        <v>299</v>
      </c>
    </row>
    <row r="192" spans="1:6">
      <c r="A192" s="123" t="s">
        <v>340</v>
      </c>
      <c r="B192" s="186">
        <v>-0.248</v>
      </c>
      <c r="C192" s="186">
        <v>1.1839</v>
      </c>
      <c r="D192" s="186">
        <v>-0.51400000000000001</v>
      </c>
      <c r="E192" s="186">
        <v>1.9628000000000001</v>
      </c>
      <c r="F192" s="122" t="s">
        <v>299</v>
      </c>
    </row>
    <row r="193" spans="1:6">
      <c r="A193" s="125" t="s">
        <v>479</v>
      </c>
      <c r="B193" s="185">
        <v>-0.24859999999999999</v>
      </c>
      <c r="C193" s="185">
        <v>0.73280000000000001</v>
      </c>
      <c r="D193" s="185">
        <v>0.22570000000000001</v>
      </c>
      <c r="E193" s="124" t="s">
        <v>299</v>
      </c>
      <c r="F193" s="124" t="s">
        <v>299</v>
      </c>
    </row>
    <row r="194" spans="1:6">
      <c r="A194" s="123" t="s">
        <v>339</v>
      </c>
      <c r="B194" s="186">
        <v>-0.45390000000000003</v>
      </c>
      <c r="C194" s="186">
        <v>2.8513000000000002</v>
      </c>
      <c r="D194" s="186">
        <v>-0.74619999999999997</v>
      </c>
      <c r="E194" s="186">
        <v>5.0492999999999997</v>
      </c>
      <c r="F194" s="122" t="s">
        <v>299</v>
      </c>
    </row>
    <row r="195" spans="1:6">
      <c r="A195" s="125" t="s">
        <v>338</v>
      </c>
      <c r="B195" s="185">
        <v>-0.39069999999999999</v>
      </c>
      <c r="C195" s="185">
        <v>2.9508999999999999</v>
      </c>
      <c r="D195" s="185">
        <v>-0.76370000000000005</v>
      </c>
      <c r="E195" s="185">
        <v>4.7393999999999998</v>
      </c>
      <c r="F195" s="124" t="s">
        <v>299</v>
      </c>
    </row>
    <row r="196" spans="1:6">
      <c r="A196" s="123" t="s">
        <v>337</v>
      </c>
      <c r="B196" s="186">
        <v>-1</v>
      </c>
      <c r="C196" s="186">
        <v>0.21410000000000001</v>
      </c>
      <c r="D196" s="186">
        <v>0.1227</v>
      </c>
      <c r="E196" s="186">
        <v>0.17449999999999999</v>
      </c>
      <c r="F196" s="122" t="s">
        <v>299</v>
      </c>
    </row>
    <row r="197" spans="1:6">
      <c r="A197" s="125" t="s">
        <v>336</v>
      </c>
      <c r="B197" s="185">
        <v>0.96360000000000001</v>
      </c>
      <c r="C197" s="185">
        <v>9.4600000000000004E-2</v>
      </c>
      <c r="D197" s="185">
        <v>-0.12590000000000001</v>
      </c>
      <c r="E197" s="185">
        <v>0.25019999999999998</v>
      </c>
      <c r="F197" s="124" t="s">
        <v>299</v>
      </c>
    </row>
    <row r="198" spans="1:6">
      <c r="A198" s="123" t="s">
        <v>335</v>
      </c>
      <c r="B198" s="186">
        <v>5.7299999999999997E-2</v>
      </c>
      <c r="C198" s="186">
        <v>-2.58E-2</v>
      </c>
      <c r="D198" s="186">
        <v>7.5899999999999995E-2</v>
      </c>
      <c r="E198" s="186">
        <v>3.7000000000000002E-3</v>
      </c>
      <c r="F198" s="122" t="s">
        <v>299</v>
      </c>
    </row>
    <row r="199" spans="1:6">
      <c r="A199" s="125" t="s">
        <v>334</v>
      </c>
      <c r="B199" s="185">
        <v>2.4799999999999999E-2</v>
      </c>
      <c r="C199" s="185">
        <v>7.4700000000000003E-2</v>
      </c>
      <c r="D199" s="185">
        <v>2.8899999999999999E-2</v>
      </c>
      <c r="E199" s="185">
        <v>8.1100000000000005E-2</v>
      </c>
      <c r="F199" s="124" t="s">
        <v>299</v>
      </c>
    </row>
    <row r="200" spans="1:6">
      <c r="A200" s="123" t="s">
        <v>333</v>
      </c>
      <c r="B200" s="186">
        <v>3.1199999999999999E-2</v>
      </c>
      <c r="C200" s="186">
        <v>9.1700000000000004E-2</v>
      </c>
      <c r="D200" s="186">
        <v>2.4E-2</v>
      </c>
      <c r="E200" s="186">
        <v>9.4600000000000004E-2</v>
      </c>
      <c r="F200" s="122" t="s">
        <v>299</v>
      </c>
    </row>
    <row r="201" spans="1:6">
      <c r="A201" s="125" t="s">
        <v>332</v>
      </c>
      <c r="B201" s="185">
        <v>3.1699999999999999E-2</v>
      </c>
      <c r="C201" s="185">
        <v>8.9099999999999999E-2</v>
      </c>
      <c r="D201" s="185">
        <v>2.2100000000000002E-2</v>
      </c>
      <c r="E201" s="185">
        <v>9.4399999999999998E-2</v>
      </c>
      <c r="F201" s="124" t="s">
        <v>299</v>
      </c>
    </row>
    <row r="202" spans="1:6">
      <c r="A202" s="123" t="s">
        <v>331</v>
      </c>
      <c r="B202" s="186">
        <v>-0.18149999999999999</v>
      </c>
      <c r="C202" s="186">
        <v>0.59930000000000005</v>
      </c>
      <c r="D202" s="186">
        <v>-0.33850000000000002</v>
      </c>
      <c r="E202" s="186">
        <v>0.57120000000000004</v>
      </c>
      <c r="F202" s="122" t="s">
        <v>299</v>
      </c>
    </row>
    <row r="205" spans="1:6">
      <c r="A205" s="125" t="s">
        <v>330</v>
      </c>
      <c r="B205" s="125" t="s">
        <v>480</v>
      </c>
      <c r="C205" s="125" t="s">
        <v>481</v>
      </c>
      <c r="D205" s="125" t="s">
        <v>482</v>
      </c>
      <c r="E205" s="125" t="s">
        <v>483</v>
      </c>
      <c r="F205" s="125" t="s">
        <v>484</v>
      </c>
    </row>
    <row r="208" spans="1:6">
      <c r="A208" s="123" t="s">
        <v>324</v>
      </c>
      <c r="B208" s="186">
        <v>0.25469999999999998</v>
      </c>
      <c r="C208" s="186">
        <v>0.32169999999999999</v>
      </c>
      <c r="D208" s="186">
        <v>0.26179999999999998</v>
      </c>
      <c r="E208" s="186">
        <v>0.33410000000000001</v>
      </c>
      <c r="F208" s="186">
        <v>0.26119999999999999</v>
      </c>
    </row>
    <row r="209" spans="1:6">
      <c r="A209" s="125" t="s">
        <v>323</v>
      </c>
      <c r="B209" s="185">
        <v>0.12959999999999999</v>
      </c>
      <c r="C209" s="185">
        <v>0.16220000000000001</v>
      </c>
      <c r="D209" s="185">
        <v>0.109</v>
      </c>
      <c r="E209" s="185">
        <v>0.16950000000000001</v>
      </c>
      <c r="F209" s="185">
        <v>0.1167</v>
      </c>
    </row>
    <row r="210" spans="1:6">
      <c r="A210" s="123" t="s">
        <v>322</v>
      </c>
      <c r="B210" s="186">
        <v>0.16839999999999999</v>
      </c>
      <c r="C210" s="186">
        <v>0.21229999999999999</v>
      </c>
      <c r="D210" s="186">
        <v>0.14449999999999999</v>
      </c>
      <c r="E210" s="186">
        <v>0.2233</v>
      </c>
      <c r="F210" s="186">
        <v>0.1555</v>
      </c>
    </row>
    <row r="211" spans="1:6">
      <c r="A211" s="125" t="s">
        <v>321</v>
      </c>
      <c r="B211" s="185">
        <v>3.1168999999999998</v>
      </c>
      <c r="C211" s="185">
        <v>2.0796999999999999</v>
      </c>
      <c r="D211" s="185">
        <v>5.0079000000000002</v>
      </c>
      <c r="E211" s="185">
        <v>1.9215</v>
      </c>
      <c r="F211" s="185">
        <v>7.3979999999999997</v>
      </c>
    </row>
    <row r="214" spans="1:6">
      <c r="A214" s="123" t="s">
        <v>320</v>
      </c>
      <c r="B214" s="186">
        <v>9.8599999999999993E-2</v>
      </c>
      <c r="C214" s="186">
        <v>0.12759999999999999</v>
      </c>
      <c r="D214" s="186">
        <v>5.5199999999999999E-2</v>
      </c>
      <c r="E214" s="186">
        <v>0.09</v>
      </c>
      <c r="F214" s="186">
        <v>4.3400000000000001E-2</v>
      </c>
    </row>
    <row r="215" spans="1:6">
      <c r="A215" s="125" t="s">
        <v>319</v>
      </c>
      <c r="B215" s="185" t="s">
        <v>485</v>
      </c>
      <c r="C215" s="185">
        <v>6.93E-2</v>
      </c>
      <c r="D215" s="185">
        <v>6.13E-2</v>
      </c>
      <c r="E215" s="185">
        <v>5.62E-2</v>
      </c>
      <c r="F215" s="185">
        <v>5.1700000000000003E-2</v>
      </c>
    </row>
    <row r="216" spans="1:6">
      <c r="A216" s="123" t="s">
        <v>318</v>
      </c>
      <c r="B216" s="186">
        <v>4.0599999999999997E-2</v>
      </c>
      <c r="C216" s="186">
        <v>2.12E-2</v>
      </c>
      <c r="D216" s="186">
        <v>2.0799999999999999E-2</v>
      </c>
      <c r="E216" s="186">
        <v>2.4500000000000001E-2</v>
      </c>
      <c r="F216" s="186">
        <v>2.12E-2</v>
      </c>
    </row>
    <row r="217" spans="1:6">
      <c r="A217" s="125" t="s">
        <v>317</v>
      </c>
      <c r="B217" s="185">
        <v>0.75490000000000002</v>
      </c>
      <c r="C217" s="185">
        <v>0.73170000000000002</v>
      </c>
      <c r="D217" s="185">
        <v>0.80720000000000003</v>
      </c>
      <c r="E217" s="185">
        <v>0.77190000000000003</v>
      </c>
      <c r="F217" s="185">
        <v>0.83140000000000003</v>
      </c>
    </row>
    <row r="218" spans="1:6">
      <c r="A218" s="123" t="s">
        <v>316</v>
      </c>
      <c r="B218" s="186">
        <v>0.40429999999999999</v>
      </c>
      <c r="C218" s="186">
        <v>0.46510000000000001</v>
      </c>
      <c r="D218" s="186">
        <v>0.33510000000000001</v>
      </c>
      <c r="E218" s="186">
        <v>0.3654</v>
      </c>
      <c r="F218" s="186">
        <v>0.45440000000000003</v>
      </c>
    </row>
    <row r="219" spans="1:6">
      <c r="A219" s="125" t="s">
        <v>315</v>
      </c>
      <c r="B219" s="185">
        <v>6.1199999999999997E-2</v>
      </c>
      <c r="C219" s="185">
        <v>5.6899999999999999E-2</v>
      </c>
      <c r="D219" s="185">
        <v>6.6000000000000003E-2</v>
      </c>
      <c r="E219" s="185">
        <v>5.3699999999999998E-2</v>
      </c>
      <c r="F219" s="185">
        <v>5.7799999999999997E-2</v>
      </c>
    </row>
    <row r="220" spans="1:6">
      <c r="A220" s="123" t="s">
        <v>486</v>
      </c>
      <c r="B220" s="186">
        <v>0.16250000000000001</v>
      </c>
      <c r="C220" s="186">
        <v>0.18140000000000001</v>
      </c>
      <c r="D220" s="186">
        <v>0.2001</v>
      </c>
      <c r="E220" s="186" t="s">
        <v>485</v>
      </c>
      <c r="F220" s="186" t="s">
        <v>485</v>
      </c>
    </row>
    <row r="221" spans="1:6">
      <c r="A221" s="125" t="s">
        <v>314</v>
      </c>
      <c r="B221" s="185">
        <v>1.7999999999999999E-2</v>
      </c>
      <c r="C221" s="185">
        <v>2.9899999999999999E-2</v>
      </c>
      <c r="D221" s="185">
        <v>1.11E-2</v>
      </c>
      <c r="E221" s="185">
        <v>3.2399999999999998E-2</v>
      </c>
      <c r="F221" s="185">
        <v>6.3E-3</v>
      </c>
    </row>
    <row r="222" spans="1:6">
      <c r="A222" s="123" t="s">
        <v>313</v>
      </c>
      <c r="B222" s="186">
        <v>-4.9904000000000002</v>
      </c>
      <c r="C222" s="186">
        <v>2.1274000000000002</v>
      </c>
      <c r="D222" s="186">
        <v>-3.3795999999999999</v>
      </c>
      <c r="E222" s="186">
        <v>3.4016999999999999</v>
      </c>
      <c r="F222" s="186">
        <v>-1.7373000000000001</v>
      </c>
    </row>
    <row r="223" spans="1:6">
      <c r="A223" s="125" t="s">
        <v>312</v>
      </c>
      <c r="B223" s="185">
        <v>5.2061999999999999</v>
      </c>
      <c r="C223" s="185">
        <v>-1.0998000000000001</v>
      </c>
      <c r="D223" s="185">
        <v>4.3295000000000003</v>
      </c>
      <c r="E223" s="185">
        <v>-2.2484000000000002</v>
      </c>
      <c r="F223" s="185">
        <v>1.5833999999999999</v>
      </c>
    </row>
    <row r="224" spans="1:6">
      <c r="A224" s="123" t="s">
        <v>311</v>
      </c>
      <c r="B224" s="186">
        <v>0.78410000000000002</v>
      </c>
      <c r="C224" s="186">
        <v>-2.76E-2</v>
      </c>
      <c r="D224" s="186">
        <v>0.05</v>
      </c>
      <c r="E224" s="186">
        <v>-0.15329999999999999</v>
      </c>
      <c r="F224" s="186">
        <v>1.1538999999999999</v>
      </c>
    </row>
    <row r="227" spans="1:6">
      <c r="A227" s="125" t="s">
        <v>310</v>
      </c>
      <c r="B227" s="129">
        <v>5.16</v>
      </c>
      <c r="C227" s="129">
        <v>8.48</v>
      </c>
      <c r="D227" s="129">
        <v>2.15</v>
      </c>
      <c r="E227" s="129">
        <v>9.08</v>
      </c>
      <c r="F227" s="129">
        <v>1.58</v>
      </c>
    </row>
    <row r="232" spans="1:6">
      <c r="A232" s="123" t="s">
        <v>309</v>
      </c>
      <c r="B232" s="122" t="s">
        <v>299</v>
      </c>
      <c r="C232" s="122" t="s">
        <v>299</v>
      </c>
      <c r="D232" s="122" t="s">
        <v>299</v>
      </c>
      <c r="E232" s="122" t="s">
        <v>299</v>
      </c>
      <c r="F232" s="122" t="s">
        <v>299</v>
      </c>
    </row>
    <row r="233" spans="1:6">
      <c r="A233" s="125" t="s">
        <v>204</v>
      </c>
      <c r="B233" s="124" t="s">
        <v>203</v>
      </c>
      <c r="C233" s="124" t="s">
        <v>203</v>
      </c>
      <c r="D233" s="124" t="s">
        <v>203</v>
      </c>
      <c r="E233" s="124" t="s">
        <v>203</v>
      </c>
      <c r="F233" s="124" t="s">
        <v>203</v>
      </c>
    </row>
    <row r="234" spans="1:6">
      <c r="A234" s="123" t="s">
        <v>202</v>
      </c>
      <c r="B234" s="122" t="s">
        <v>201</v>
      </c>
      <c r="C234" s="122" t="s">
        <v>200</v>
      </c>
      <c r="D234" s="122" t="s">
        <v>199</v>
      </c>
      <c r="E234" s="122" t="s">
        <v>198</v>
      </c>
      <c r="F234" s="122" t="s">
        <v>197</v>
      </c>
    </row>
    <row r="235" spans="1:6">
      <c r="A235" s="125" t="s">
        <v>196</v>
      </c>
      <c r="B235" s="124" t="s">
        <v>195</v>
      </c>
      <c r="C235" s="124" t="s">
        <v>194</v>
      </c>
      <c r="D235" s="124" t="s">
        <v>193</v>
      </c>
      <c r="E235" s="124" t="s">
        <v>192</v>
      </c>
      <c r="F235" s="124" t="s">
        <v>191</v>
      </c>
    </row>
    <row r="236" spans="1:6">
      <c r="A236" s="123" t="s">
        <v>190</v>
      </c>
      <c r="B236" s="122" t="s">
        <v>290</v>
      </c>
      <c r="C236" s="122" t="s">
        <v>290</v>
      </c>
      <c r="D236" s="122" t="s">
        <v>290</v>
      </c>
      <c r="E236" s="122" t="s">
        <v>290</v>
      </c>
      <c r="F236" s="122" t="s">
        <v>290</v>
      </c>
    </row>
    <row r="237" spans="1:6">
      <c r="A237" s="125" t="s">
        <v>188</v>
      </c>
      <c r="B237" s="124" t="s">
        <v>188</v>
      </c>
      <c r="C237" s="124" t="s">
        <v>188</v>
      </c>
      <c r="D237" s="124" t="s">
        <v>188</v>
      </c>
      <c r="E237" s="124" t="s">
        <v>188</v>
      </c>
      <c r="F237" s="124" t="s">
        <v>188</v>
      </c>
    </row>
    <row r="238" spans="1:6">
      <c r="A238" s="123" t="s">
        <v>187</v>
      </c>
      <c r="B238" s="122" t="s">
        <v>186</v>
      </c>
      <c r="C238" s="122" t="s">
        <v>186</v>
      </c>
      <c r="D238" s="122" t="s">
        <v>186</v>
      </c>
      <c r="E238" s="122" t="s">
        <v>186</v>
      </c>
      <c r="F238" s="122" t="s">
        <v>186</v>
      </c>
    </row>
    <row r="241" spans="1:1">
      <c r="A241" t="s">
        <v>185</v>
      </c>
    </row>
    <row r="242" spans="1:1">
      <c r="A242" t="s">
        <v>184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32:G132"/>
    <mergeCell ref="A126:C130"/>
    <mergeCell ref="D127:G127"/>
    <mergeCell ref="D128:G128"/>
    <mergeCell ref="D129:G129"/>
    <mergeCell ref="D130:G130"/>
    <mergeCell ref="A7:G7"/>
    <mergeCell ref="A1:C5"/>
    <mergeCell ref="D2:G2"/>
    <mergeCell ref="D3:G3"/>
    <mergeCell ref="D4:G4"/>
    <mergeCell ref="D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abSelected="1" zoomScale="72" zoomScaleNormal="72" workbookViewId="0">
      <selection activeCell="B26" sqref="B26"/>
    </sheetView>
  </sheetViews>
  <sheetFormatPr defaultColWidth="8.77734375" defaultRowHeight="15.6"/>
  <cols>
    <col min="1" max="1" width="8.77734375" style="84"/>
    <col min="2" max="2" width="78.77734375" style="80" bestFit="1" customWidth="1"/>
    <col min="3" max="7" width="17.109375" style="80" customWidth="1"/>
    <col min="8" max="8" width="17.109375" style="136" customWidth="1"/>
    <col min="9" max="9" width="17.109375" style="80" customWidth="1"/>
    <col min="10" max="10" width="17.109375" style="136" customWidth="1"/>
    <col min="11" max="11" width="17.109375" style="80" customWidth="1"/>
    <col min="12" max="12" width="17.109375" style="136" customWidth="1"/>
    <col min="13" max="14" width="17.109375" customWidth="1"/>
    <col min="15" max="15" width="17.109375" style="138" customWidth="1"/>
    <col min="16" max="16" width="17.109375" customWidth="1"/>
    <col min="17" max="17" width="12.109375" style="80" bestFit="1" customWidth="1"/>
    <col min="18" max="16384" width="8.77734375" style="80"/>
  </cols>
  <sheetData>
    <row r="1" spans="1:19">
      <c r="B1" s="280" t="s">
        <v>303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79" t="s">
        <v>14</v>
      </c>
      <c r="N1" s="279"/>
      <c r="O1" s="279"/>
      <c r="P1" s="279"/>
    </row>
    <row r="2" spans="1:19" s="81" customFormat="1" ht="16.2" thickBot="1">
      <c r="A2" s="83"/>
      <c r="B2" s="91" t="s">
        <v>5</v>
      </c>
      <c r="C2" s="114">
        <v>2018</v>
      </c>
      <c r="D2" s="115" t="s">
        <v>129</v>
      </c>
      <c r="E2" s="114">
        <v>2019</v>
      </c>
      <c r="F2" s="115" t="s">
        <v>130</v>
      </c>
      <c r="G2" s="114">
        <v>2020</v>
      </c>
      <c r="H2" s="135" t="s">
        <v>131</v>
      </c>
      <c r="I2" s="114">
        <v>2021</v>
      </c>
      <c r="J2" s="135" t="s">
        <v>132</v>
      </c>
      <c r="K2" s="114">
        <v>2022</v>
      </c>
      <c r="L2" s="135" t="s">
        <v>133</v>
      </c>
      <c r="M2" s="96" t="s">
        <v>105</v>
      </c>
      <c r="N2" s="96" t="s">
        <v>106</v>
      </c>
      <c r="O2" s="137" t="s">
        <v>107</v>
      </c>
      <c r="P2" s="96" t="s">
        <v>108</v>
      </c>
    </row>
    <row r="3" spans="1:19" ht="20.399999999999999">
      <c r="B3" s="116" t="s">
        <v>6</v>
      </c>
      <c r="C3" s="86">
        <f>'Spółka JSW'!F35</f>
        <v>13762000</v>
      </c>
      <c r="D3" s="131">
        <v>1</v>
      </c>
      <c r="E3" s="86">
        <f>'Spółka JSW'!E35</f>
        <v>14926400</v>
      </c>
      <c r="F3" s="131">
        <v>1</v>
      </c>
      <c r="G3" s="86">
        <f>'Spółka JSW'!D35</f>
        <v>15030900</v>
      </c>
      <c r="H3" s="131">
        <v>1</v>
      </c>
      <c r="I3" s="86">
        <f>'Spółka JSW'!C35</f>
        <v>15961800</v>
      </c>
      <c r="J3" s="131">
        <v>1</v>
      </c>
      <c r="K3" s="86">
        <f>'Spółka JSW'!B35</f>
        <v>26963100</v>
      </c>
      <c r="L3" s="131">
        <v>1</v>
      </c>
      <c r="M3" s="131">
        <f>(E3-C3)/E3</f>
        <v>7.8009432951012966E-2</v>
      </c>
      <c r="N3" s="131">
        <f t="shared" ref="N3:N10" si="0">(G3-E3)/G3</f>
        <v>6.9523448363038804E-3</v>
      </c>
      <c r="O3" s="131">
        <f>(I3-G3)/I3</f>
        <v>5.8320490170281548E-2</v>
      </c>
      <c r="P3" s="131">
        <f>(K3-I3)/K3</f>
        <v>0.40801317355942007</v>
      </c>
      <c r="Q3" s="119"/>
      <c r="R3" s="82"/>
      <c r="S3" s="82"/>
    </row>
    <row r="4" spans="1:19" ht="17.399999999999999">
      <c r="A4" s="278" t="s">
        <v>35</v>
      </c>
      <c r="B4" s="117" t="s">
        <v>139</v>
      </c>
      <c r="C4" s="92">
        <f>'Spółka JSW'!F36</f>
        <v>10300000</v>
      </c>
      <c r="D4" s="134">
        <f>C4/C3</f>
        <v>0.74843772707455314</v>
      </c>
      <c r="E4" s="92">
        <f>'Spółka JSW'!E36</f>
        <v>11565100</v>
      </c>
      <c r="F4" s="132">
        <f>E4/E3</f>
        <v>0.77480839318254902</v>
      </c>
      <c r="G4" s="92">
        <f>'Spółka JSW'!D36</f>
        <v>11638500</v>
      </c>
      <c r="H4" s="132">
        <f>G4/G3</f>
        <v>0.77430493184040872</v>
      </c>
      <c r="I4" s="92">
        <f>'Spółka JSW'!C36</f>
        <v>12070200</v>
      </c>
      <c r="J4" s="132">
        <f>I4/I3</f>
        <v>0.7561929105739954</v>
      </c>
      <c r="K4" s="92">
        <f>'Spółka JSW'!B36</f>
        <v>19110800</v>
      </c>
      <c r="L4" s="132">
        <f>K4/K3</f>
        <v>0.70877606803372017</v>
      </c>
      <c r="M4" s="131">
        <f t="shared" ref="M4:M20" si="1">(E4-C4)/E4</f>
        <v>0.10938945620876603</v>
      </c>
      <c r="N4" s="131">
        <f t="shared" si="0"/>
        <v>6.3066546376251238E-3</v>
      </c>
      <c r="O4" s="131">
        <f>(I4-G4)/I4</f>
        <v>3.5765770244072174E-2</v>
      </c>
      <c r="P4" s="131">
        <f t="shared" ref="P4:P23" si="2">(K4-I4)/K4</f>
        <v>0.36840948573581428</v>
      </c>
      <c r="Q4" s="82"/>
      <c r="R4" s="82"/>
      <c r="S4" s="82"/>
    </row>
    <row r="5" spans="1:19">
      <c r="A5" s="278"/>
      <c r="B5" s="90" t="s">
        <v>134</v>
      </c>
      <c r="C5" s="86">
        <f>'Spółka JSW'!F38</f>
        <v>130000</v>
      </c>
      <c r="D5" s="88">
        <f>C5/C4</f>
        <v>1.262135922330097E-2</v>
      </c>
      <c r="E5" s="86">
        <f>'Spółka JSW'!E38</f>
        <v>174300</v>
      </c>
      <c r="F5" s="88">
        <f>E5/E4</f>
        <v>1.5071205609981755E-2</v>
      </c>
      <c r="G5" s="86">
        <f>'Spółka JSW'!D38</f>
        <v>152200</v>
      </c>
      <c r="H5" s="87">
        <f>G5/G4</f>
        <v>1.3077286591914766E-2</v>
      </c>
      <c r="I5" s="86">
        <f>'Spółka JSW'!C38</f>
        <v>163400</v>
      </c>
      <c r="J5" s="87">
        <f>I5/I4</f>
        <v>1.3537472452817683E-2</v>
      </c>
      <c r="K5" s="86">
        <f>'Spółka JSW'!B38</f>
        <v>116200</v>
      </c>
      <c r="L5" s="87">
        <f>K5/K4</f>
        <v>6.0803315402808882E-3</v>
      </c>
      <c r="M5" s="131">
        <f t="shared" si="1"/>
        <v>0.25415949512335057</v>
      </c>
      <c r="N5" s="131">
        <f t="shared" si="0"/>
        <v>-0.14520367936925099</v>
      </c>
      <c r="O5" s="131">
        <f t="shared" ref="O5:O23" si="3">(I5-G5)/I5</f>
        <v>6.8543451652386775E-2</v>
      </c>
      <c r="P5" s="131">
        <f t="shared" si="2"/>
        <v>-0.40619621342512907</v>
      </c>
      <c r="Q5" s="82"/>
      <c r="R5" s="82"/>
      <c r="S5" s="82"/>
    </row>
    <row r="6" spans="1:19">
      <c r="A6" s="278"/>
      <c r="B6" s="90" t="s">
        <v>135</v>
      </c>
      <c r="C6" s="92">
        <f>'Spółka JSW'!F37</f>
        <v>7303000</v>
      </c>
      <c r="D6" s="93">
        <f>C6/C4</f>
        <v>0.70902912621359226</v>
      </c>
      <c r="E6" s="92">
        <f>'Spółka JSW'!E37</f>
        <v>8672300</v>
      </c>
      <c r="F6" s="93">
        <f>E6/E4</f>
        <v>0.74986813775929306</v>
      </c>
      <c r="G6" s="92">
        <f>'Spółka JSW'!D37</f>
        <v>8995600</v>
      </c>
      <c r="H6" s="94">
        <f>G6/G4</f>
        <v>0.77291747218284146</v>
      </c>
      <c r="I6" s="92">
        <f>'Spółka JSW'!C37</f>
        <v>9383400</v>
      </c>
      <c r="J6" s="94">
        <f>I6/I4</f>
        <v>0.7774021971466919</v>
      </c>
      <c r="K6" s="92">
        <f>'Spółka JSW'!B37</f>
        <v>10374300</v>
      </c>
      <c r="L6" s="94">
        <f>K6/K4</f>
        <v>0.54285011616468171</v>
      </c>
      <c r="M6" s="131">
        <f t="shared" si="1"/>
        <v>0.15789352305616733</v>
      </c>
      <c r="N6" s="131">
        <f t="shared" si="0"/>
        <v>3.5939792787585044E-2</v>
      </c>
      <c r="O6" s="131">
        <f t="shared" si="3"/>
        <v>4.1328303173689705E-2</v>
      </c>
      <c r="P6" s="131">
        <f t="shared" si="2"/>
        <v>9.5514878112258172E-2</v>
      </c>
      <c r="Q6" s="82"/>
      <c r="R6" s="82"/>
      <c r="S6" s="82"/>
    </row>
    <row r="7" spans="1:19">
      <c r="A7" s="278"/>
      <c r="B7" s="90" t="s">
        <v>136</v>
      </c>
      <c r="C7" s="92">
        <f>'Spółka JSW'!F42</f>
        <v>21000</v>
      </c>
      <c r="D7" s="93">
        <f>C7/C4</f>
        <v>2.0388349514563107E-3</v>
      </c>
      <c r="E7" s="92">
        <f>'Spółka JSW'!E42</f>
        <v>23900</v>
      </c>
      <c r="F7" s="93">
        <f>E7/E4</f>
        <v>2.066562329768009E-3</v>
      </c>
      <c r="G7" s="92">
        <f>'Spółka JSW'!D42</f>
        <v>23200</v>
      </c>
      <c r="H7" s="93">
        <f>G7/G4</f>
        <v>1.9933840271512651E-3</v>
      </c>
      <c r="I7" s="92">
        <f>'Spółka JSW'!C42</f>
        <v>22600</v>
      </c>
      <c r="J7" s="93">
        <f>I7/I4</f>
        <v>1.8723799108548325E-3</v>
      </c>
      <c r="K7" s="92">
        <f>'Spółka JSW'!B42</f>
        <v>22300</v>
      </c>
      <c r="L7" s="93">
        <f>K7/K4</f>
        <v>1.1668794608284321E-3</v>
      </c>
      <c r="M7" s="131">
        <f t="shared" si="1"/>
        <v>0.12133891213389121</v>
      </c>
      <c r="N7" s="131">
        <f t="shared" si="0"/>
        <v>-3.017241379310345E-2</v>
      </c>
      <c r="O7" s="131">
        <f t="shared" si="3"/>
        <v>-2.6548672566371681E-2</v>
      </c>
      <c r="P7" s="131">
        <f t="shared" si="2"/>
        <v>-1.3452914798206279E-2</v>
      </c>
      <c r="Q7" s="82"/>
      <c r="R7" s="82"/>
      <c r="S7" s="82"/>
    </row>
    <row r="8" spans="1:19" ht="17.399999999999999">
      <c r="A8" s="278" t="s">
        <v>36</v>
      </c>
      <c r="B8" s="117" t="s">
        <v>140</v>
      </c>
      <c r="C8" s="92">
        <f>'Spółka JSW'!F48</f>
        <v>3461000</v>
      </c>
      <c r="D8" s="134">
        <f>C8/C3</f>
        <v>0.25148960906844936</v>
      </c>
      <c r="E8" s="92">
        <f>'Spółka JSW'!E48</f>
        <v>3361300</v>
      </c>
      <c r="F8" s="132">
        <f>E8/E3</f>
        <v>0.22519160681745096</v>
      </c>
      <c r="G8" s="92">
        <f>'Spółka JSW'!D48</f>
        <v>3392400</v>
      </c>
      <c r="H8" s="132">
        <f>G8/G3</f>
        <v>0.22569506815959126</v>
      </c>
      <c r="I8" s="92">
        <f>'Spółka JSW'!C48</f>
        <v>3891600</v>
      </c>
      <c r="J8" s="132">
        <f>I8/I3</f>
        <v>0.2438070894260046</v>
      </c>
      <c r="K8" s="92">
        <f>'Spółka JSW'!B48</f>
        <v>7852300</v>
      </c>
      <c r="L8" s="132">
        <f>K8/K3</f>
        <v>0.29122393196627983</v>
      </c>
      <c r="M8" s="131">
        <f t="shared" si="1"/>
        <v>-2.9661143010144886E-2</v>
      </c>
      <c r="N8" s="131">
        <f t="shared" si="0"/>
        <v>9.1675509963447706E-3</v>
      </c>
      <c r="O8" s="131">
        <f t="shared" si="3"/>
        <v>0.12827628738822078</v>
      </c>
      <c r="P8" s="131">
        <f t="shared" si="2"/>
        <v>0.50439998471785341</v>
      </c>
      <c r="Q8" s="82"/>
      <c r="R8" s="82"/>
      <c r="S8" s="82"/>
    </row>
    <row r="9" spans="1:19">
      <c r="A9" s="278"/>
      <c r="B9" s="90" t="s">
        <v>150</v>
      </c>
      <c r="C9" s="86">
        <f>'Spółka JSW'!F49</f>
        <v>656000</v>
      </c>
      <c r="D9" s="88">
        <f>C9/C8</f>
        <v>0.18954059520369834</v>
      </c>
      <c r="E9" s="86">
        <f>'Spółka JSW'!E49</f>
        <v>1130800</v>
      </c>
      <c r="F9" s="88">
        <f>E9/E8</f>
        <v>0.3364174575313123</v>
      </c>
      <c r="G9" s="86">
        <f>'Spółka JSW'!D49</f>
        <v>880300</v>
      </c>
      <c r="H9" s="87">
        <f>G9/G8</f>
        <v>0.25949180521164955</v>
      </c>
      <c r="I9" s="86">
        <f>'Spółka JSW'!C49</f>
        <v>652500</v>
      </c>
      <c r="J9" s="87">
        <f>I9/I8</f>
        <v>0.16766882516188714</v>
      </c>
      <c r="K9" s="86">
        <f>'Spółka JSW'!B49</f>
        <v>990100</v>
      </c>
      <c r="L9" s="87">
        <f>K9/K8</f>
        <v>0.12609044483781823</v>
      </c>
      <c r="M9" s="131">
        <f>(E9-C9)/E9</f>
        <v>0.41987973116377786</v>
      </c>
      <c r="N9" s="131">
        <f t="shared" si="0"/>
        <v>-0.28456208110871295</v>
      </c>
      <c r="O9" s="131">
        <f t="shared" si="3"/>
        <v>-0.34911877394636015</v>
      </c>
      <c r="P9" s="131">
        <f t="shared" si="2"/>
        <v>0.34097565902434096</v>
      </c>
      <c r="Q9" s="82"/>
      <c r="R9" s="82"/>
      <c r="S9" s="82"/>
    </row>
    <row r="10" spans="1:19">
      <c r="A10" s="278"/>
      <c r="B10" s="90" t="s">
        <v>138</v>
      </c>
      <c r="C10" s="92">
        <f>'Spółka JSW'!F51</f>
        <v>1146000</v>
      </c>
      <c r="D10" s="93">
        <f>C10/C8</f>
        <v>0.33111817393816817</v>
      </c>
      <c r="E10" s="92">
        <f>'Spółka JSW'!E51</f>
        <v>866100</v>
      </c>
      <c r="F10" s="93">
        <f>E10/E8</f>
        <v>0.25766816410317439</v>
      </c>
      <c r="G10" s="92">
        <f>'Spółka JSW'!D50</f>
        <v>898400</v>
      </c>
      <c r="H10" s="94">
        <f>G10/G8</f>
        <v>0.26482726093621034</v>
      </c>
      <c r="I10" s="92">
        <f>'Spółka JSW'!C51</f>
        <v>1822800</v>
      </c>
      <c r="J10" s="94">
        <f>I10/I8</f>
        <v>0.46839346284304656</v>
      </c>
      <c r="K10" s="92">
        <f>'Spółka JSW'!B51</f>
        <v>1947500</v>
      </c>
      <c r="L10" s="94">
        <f>K10/K8</f>
        <v>0.24801650471836278</v>
      </c>
      <c r="M10" s="131">
        <f t="shared" si="1"/>
        <v>-0.32317284378247313</v>
      </c>
      <c r="N10" s="131">
        <f t="shared" si="0"/>
        <v>3.5952804986642918E-2</v>
      </c>
      <c r="O10" s="131">
        <f t="shared" si="3"/>
        <v>0.50713188501206929</v>
      </c>
      <c r="P10" s="131">
        <f t="shared" si="2"/>
        <v>6.4030808729139924E-2</v>
      </c>
      <c r="Q10" s="82"/>
      <c r="R10" s="82"/>
      <c r="S10" s="82"/>
    </row>
    <row r="11" spans="1:19">
      <c r="A11" s="278"/>
      <c r="B11" s="90" t="s">
        <v>137</v>
      </c>
      <c r="C11" s="86">
        <f>'Spółka JSW'!F55</f>
        <v>1650000</v>
      </c>
      <c r="D11" s="88">
        <f>C11/C8</f>
        <v>0.4767408263507657</v>
      </c>
      <c r="E11" s="86">
        <f>'Spółka JSW'!E55</f>
        <v>350300</v>
      </c>
      <c r="F11" s="88">
        <f>E11/E8</f>
        <v>0.10421563085710886</v>
      </c>
      <c r="G11" s="86">
        <f>'Spółka JSW'!D55</f>
        <v>1597300</v>
      </c>
      <c r="H11" s="87">
        <f>G11/G8</f>
        <v>0.47084659827850489</v>
      </c>
      <c r="I11" s="86">
        <f>'Spółka JSW'!C55</f>
        <v>1299800</v>
      </c>
      <c r="J11" s="87">
        <f>I11/I8</f>
        <v>0.33400143899681367</v>
      </c>
      <c r="K11" s="86">
        <f>'Spółka JSW'!B55</f>
        <v>4837900</v>
      </c>
      <c r="L11" s="87">
        <f>K11/K8</f>
        <v>0.61611247659921298</v>
      </c>
      <c r="M11" s="131">
        <f>(E11-C11)/E11</f>
        <v>-3.7102483585498143</v>
      </c>
      <c r="N11" s="131">
        <f t="shared" ref="N11:N23" si="4">(G11-E11)/G11</f>
        <v>0.78069241845614479</v>
      </c>
      <c r="O11" s="131">
        <f t="shared" si="3"/>
        <v>-0.22888136636405601</v>
      </c>
      <c r="P11" s="131">
        <f t="shared" si="2"/>
        <v>0.73132970917133466</v>
      </c>
      <c r="Q11" s="82"/>
      <c r="R11" s="82"/>
      <c r="S11" s="82"/>
    </row>
    <row r="12" spans="1:19" ht="20.399999999999999">
      <c r="B12" s="116" t="s">
        <v>7</v>
      </c>
      <c r="C12" s="92">
        <f>'Spółka JSW'!F58</f>
        <v>13762000</v>
      </c>
      <c r="D12" s="132">
        <v>1</v>
      </c>
      <c r="E12" s="92">
        <f>'Spółka JSW'!E58</f>
        <v>14926400</v>
      </c>
      <c r="F12" s="132">
        <v>1</v>
      </c>
      <c r="G12" s="92">
        <f>'Spółka JSW'!D58</f>
        <v>15030900</v>
      </c>
      <c r="H12" s="132">
        <v>1</v>
      </c>
      <c r="I12" s="92">
        <f>'Spółka JSW'!C58</f>
        <v>15961800</v>
      </c>
      <c r="J12" s="132">
        <v>1</v>
      </c>
      <c r="K12" s="92">
        <f>'Spółka JSW'!B58</f>
        <v>26963100</v>
      </c>
      <c r="L12" s="132">
        <v>1</v>
      </c>
      <c r="M12" s="131">
        <f>(E12-C12)/E12</f>
        <v>7.8009432951012966E-2</v>
      </c>
      <c r="N12" s="131">
        <f t="shared" si="4"/>
        <v>6.9523448363038804E-3</v>
      </c>
      <c r="O12" s="131">
        <f t="shared" si="3"/>
        <v>5.8320490170281548E-2</v>
      </c>
      <c r="P12" s="131">
        <f t="shared" si="2"/>
        <v>0.40801317355942007</v>
      </c>
      <c r="Q12" s="82"/>
      <c r="R12" s="82"/>
      <c r="S12" s="82"/>
    </row>
    <row r="13" spans="1:19" ht="17.399999999999999">
      <c r="A13" s="278" t="s">
        <v>37</v>
      </c>
      <c r="B13" s="117" t="s">
        <v>141</v>
      </c>
      <c r="C13" s="92">
        <f>'Spółka JSW'!F59</f>
        <v>8445000</v>
      </c>
      <c r="D13" s="133">
        <f>C13/C12</f>
        <v>0.61364627234413605</v>
      </c>
      <c r="E13" s="92">
        <f>'Spółka JSW'!E59</f>
        <v>8851500</v>
      </c>
      <c r="F13" s="132">
        <f>E13/E12</f>
        <v>0.59300970093257588</v>
      </c>
      <c r="G13" s="92">
        <f>'Spółka JSW'!D59</f>
        <v>7317100</v>
      </c>
      <c r="H13" s="132">
        <f>G13/G12</f>
        <v>0.48680385073415433</v>
      </c>
      <c r="I13" s="92">
        <f>'Spółka JSW'!C59</f>
        <v>8297800</v>
      </c>
      <c r="J13" s="132">
        <f>I13/I12</f>
        <v>0.51985365059078548</v>
      </c>
      <c r="K13" s="92">
        <f>'Spółka JSW'!B59</f>
        <v>15937500</v>
      </c>
      <c r="L13" s="132">
        <f>K13/K12</f>
        <v>0.5910855947572794</v>
      </c>
      <c r="M13" s="131">
        <f t="shared" si="1"/>
        <v>4.5924419589900019E-2</v>
      </c>
      <c r="N13" s="131">
        <f t="shared" si="4"/>
        <v>-0.20970056443126375</v>
      </c>
      <c r="O13" s="131">
        <f t="shared" si="3"/>
        <v>0.11818795343344018</v>
      </c>
      <c r="P13" s="131">
        <f t="shared" si="2"/>
        <v>0.47935372549019606</v>
      </c>
      <c r="Q13" s="82"/>
      <c r="R13" s="82"/>
      <c r="S13" s="82"/>
    </row>
    <row r="14" spans="1:19">
      <c r="A14" s="278"/>
      <c r="B14" s="90" t="s">
        <v>142</v>
      </c>
      <c r="C14" s="92">
        <v>1251900</v>
      </c>
      <c r="D14" s="133">
        <f>C14/C13</f>
        <v>0.14824156305506217</v>
      </c>
      <c r="E14" s="92">
        <v>1251900</v>
      </c>
      <c r="F14" s="132">
        <f>E14/E13</f>
        <v>0.14143365531265886</v>
      </c>
      <c r="G14" s="92">
        <v>1251900</v>
      </c>
      <c r="H14" s="132">
        <f>G14/G13</f>
        <v>0.17109237266130023</v>
      </c>
      <c r="I14" s="92">
        <v>1251900</v>
      </c>
      <c r="J14" s="132">
        <f>I14/I13</f>
        <v>0.15087131528838971</v>
      </c>
      <c r="K14" s="92">
        <v>1251900</v>
      </c>
      <c r="L14" s="132">
        <f>K14/K13</f>
        <v>7.8550588235294122E-2</v>
      </c>
      <c r="M14" s="131">
        <f>(E14-C14)/E14</f>
        <v>0</v>
      </c>
      <c r="N14" s="131">
        <f>(G14-E14)/G14</f>
        <v>0</v>
      </c>
      <c r="O14" s="131">
        <f t="shared" si="3"/>
        <v>0</v>
      </c>
      <c r="P14" s="131">
        <f t="shared" si="2"/>
        <v>0</v>
      </c>
      <c r="Q14" s="82"/>
      <c r="R14" s="82"/>
      <c r="S14" s="82"/>
    </row>
    <row r="15" spans="1:19">
      <c r="A15" s="278"/>
      <c r="B15" s="90" t="s">
        <v>143</v>
      </c>
      <c r="C15" s="86">
        <v>905000</v>
      </c>
      <c r="D15" s="133">
        <f>C15/C13</f>
        <v>0.10716400236826525</v>
      </c>
      <c r="E15" s="86">
        <v>905000</v>
      </c>
      <c r="F15" s="132">
        <f>E15/E13</f>
        <v>0.10224255775857199</v>
      </c>
      <c r="G15" s="86">
        <v>905000</v>
      </c>
      <c r="H15" s="132">
        <f>G15/G13</f>
        <v>0.12368287982944062</v>
      </c>
      <c r="I15" s="86">
        <v>905000</v>
      </c>
      <c r="J15" s="132">
        <f>I15/I13</f>
        <v>0.10906505338764491</v>
      </c>
      <c r="K15" s="86">
        <v>905000</v>
      </c>
      <c r="L15" s="132">
        <f>K15/K13</f>
        <v>5.6784313725490199E-2</v>
      </c>
      <c r="M15" s="131">
        <f t="shared" si="1"/>
        <v>0</v>
      </c>
      <c r="N15" s="131">
        <f t="shared" si="4"/>
        <v>0</v>
      </c>
      <c r="O15" s="131">
        <f t="shared" si="3"/>
        <v>0</v>
      </c>
      <c r="P15" s="131">
        <f t="shared" si="2"/>
        <v>0</v>
      </c>
      <c r="Q15" s="82"/>
      <c r="R15" s="82"/>
      <c r="S15" s="82"/>
    </row>
    <row r="16" spans="1:19">
      <c r="A16" s="278"/>
      <c r="B16" s="90" t="s">
        <v>144</v>
      </c>
      <c r="C16" s="86">
        <f>'Spółka JSW'!F64</f>
        <v>5976000</v>
      </c>
      <c r="D16" s="87">
        <f>C16/C13</f>
        <v>0.70763765541740675</v>
      </c>
      <c r="E16" s="86">
        <f>'Spółka JSW'!E64</f>
        <v>6326900</v>
      </c>
      <c r="F16" s="87">
        <f>E16/E13</f>
        <v>0.71478280517426429</v>
      </c>
      <c r="G16" s="86">
        <f>'Spółka JSW'!D64</f>
        <v>4761900</v>
      </c>
      <c r="H16" s="132">
        <f>G16/G13</f>
        <v>0.65079061376774949</v>
      </c>
      <c r="I16" s="86">
        <f>'Spółka JSW'!C64</f>
        <v>5712000</v>
      </c>
      <c r="J16" s="87">
        <f>I16/I13</f>
        <v>0.68837523198920192</v>
      </c>
      <c r="K16" s="86">
        <f>'Spółka JSW'!B64</f>
        <v>13281900</v>
      </c>
      <c r="L16" s="87">
        <f>K16/K13</f>
        <v>0.83337411764705882</v>
      </c>
      <c r="M16" s="131">
        <f t="shared" si="1"/>
        <v>5.5461600467843652E-2</v>
      </c>
      <c r="N16" s="131">
        <f>(G16-E16)/G16</f>
        <v>-0.32865032865032867</v>
      </c>
      <c r="O16" s="131">
        <f>(I16-G16)/I16</f>
        <v>0.16633403361344537</v>
      </c>
      <c r="P16" s="131">
        <f t="shared" si="2"/>
        <v>0.56994104759108255</v>
      </c>
      <c r="Q16" s="82"/>
      <c r="R16" s="82"/>
      <c r="S16" s="82"/>
    </row>
    <row r="17" spans="1:19" ht="17.399999999999999">
      <c r="A17" s="85"/>
      <c r="B17" s="117" t="s">
        <v>148</v>
      </c>
      <c r="C17" s="92">
        <f>'Spółka JSW'!F66</f>
        <v>5316000</v>
      </c>
      <c r="D17" s="132">
        <f>C17/C12</f>
        <v>0.38628106379886645</v>
      </c>
      <c r="E17" s="92">
        <f>'Spółka JSW'!E66</f>
        <v>6074900</v>
      </c>
      <c r="F17" s="132">
        <f>E17/E12</f>
        <v>0.40699029906742418</v>
      </c>
      <c r="G17" s="92">
        <f>'Spółka JSW'!D66</f>
        <v>7713800</v>
      </c>
      <c r="H17" s="132">
        <f>G17/G12</f>
        <v>0.51319614926584567</v>
      </c>
      <c r="I17" s="92">
        <f>'Spółka JSW'!C66</f>
        <v>7664000</v>
      </c>
      <c r="J17" s="132">
        <f>I17/I12</f>
        <v>0.48014634940921452</v>
      </c>
      <c r="K17" s="92">
        <f>'Spółka JSW'!B66</f>
        <v>11025600</v>
      </c>
      <c r="L17" s="132">
        <f>K17/K12</f>
        <v>0.4089144052427206</v>
      </c>
      <c r="M17" s="131">
        <f>(E17-C17)/E17</f>
        <v>0.12492386705954008</v>
      </c>
      <c r="N17" s="131">
        <f t="shared" si="4"/>
        <v>0.21246337732375742</v>
      </c>
      <c r="O17" s="131">
        <f t="shared" si="3"/>
        <v>-6.4979123173277663E-3</v>
      </c>
      <c r="P17" s="131">
        <f t="shared" si="2"/>
        <v>0.30489043680162531</v>
      </c>
      <c r="Q17" s="82"/>
      <c r="R17" s="82"/>
      <c r="S17" s="82"/>
    </row>
    <row r="18" spans="1:19">
      <c r="A18" s="278" t="s">
        <v>38</v>
      </c>
      <c r="B18" s="89" t="s">
        <v>146</v>
      </c>
      <c r="C18" s="86">
        <f>'Spółka JSW'!F67</f>
        <v>1691000</v>
      </c>
      <c r="D18" s="131">
        <f>C18/C17</f>
        <v>0.31809631301730623</v>
      </c>
      <c r="E18" s="86">
        <f>'Spółka JSW'!E67</f>
        <v>2580800</v>
      </c>
      <c r="F18" s="131">
        <f>E18/E17</f>
        <v>0.42483003835454081</v>
      </c>
      <c r="G18" s="86">
        <f>'Spółka JSW'!D67</f>
        <v>4133500</v>
      </c>
      <c r="H18" s="131">
        <f>G18/G17</f>
        <v>0.53585781326972437</v>
      </c>
      <c r="I18" s="86">
        <f>'Spółka JSW'!C67</f>
        <v>3814800</v>
      </c>
      <c r="J18" s="131">
        <f>I18/I17</f>
        <v>0.49775574112734866</v>
      </c>
      <c r="K18" s="86">
        <f>'Spółka JSW'!B67</f>
        <v>3291900</v>
      </c>
      <c r="L18" s="131">
        <f>K18/K17</f>
        <v>0.29856878537222464</v>
      </c>
      <c r="M18" s="131">
        <f t="shared" si="1"/>
        <v>0.34477681339119653</v>
      </c>
      <c r="N18" s="131">
        <f t="shared" si="4"/>
        <v>0.37563807910971331</v>
      </c>
      <c r="O18" s="131">
        <f t="shared" si="3"/>
        <v>-8.3543042885603436E-2</v>
      </c>
      <c r="P18" s="131">
        <f t="shared" si="2"/>
        <v>-0.15884443634375284</v>
      </c>
      <c r="Q18" s="82"/>
      <c r="R18" s="82"/>
      <c r="S18" s="82"/>
    </row>
    <row r="19" spans="1:19">
      <c r="A19" s="278"/>
      <c r="B19" s="90" t="s">
        <v>145</v>
      </c>
      <c r="C19" s="86">
        <f>'Spółka JSW'!F68</f>
        <v>36000</v>
      </c>
      <c r="D19" s="87">
        <f>C19/C18</f>
        <v>2.1289178001182733E-2</v>
      </c>
      <c r="E19" s="86">
        <f>'Spółka JSW'!E68</f>
        <v>740000</v>
      </c>
      <c r="F19" s="87">
        <f>E19/E18</f>
        <v>0.28673279603223806</v>
      </c>
      <c r="G19" s="86">
        <f>'Spółka JSW'!D68</f>
        <v>2092500</v>
      </c>
      <c r="H19" s="87">
        <f>G19/G18</f>
        <v>0.50622958751663238</v>
      </c>
      <c r="I19" s="86">
        <f>'Spółka JSW'!C68</f>
        <v>1658000</v>
      </c>
      <c r="J19" s="87">
        <f>I19/I17</f>
        <v>0.21633611691022964</v>
      </c>
      <c r="K19" s="86">
        <f>'Spółka JSW'!B68</f>
        <v>1096400</v>
      </c>
      <c r="L19" s="87">
        <f>K19/K18</f>
        <v>0.33305993499194991</v>
      </c>
      <c r="M19" s="131">
        <f t="shared" si="1"/>
        <v>0.9513513513513514</v>
      </c>
      <c r="N19" s="131">
        <f t="shared" si="4"/>
        <v>0.64635603345280768</v>
      </c>
      <c r="O19" s="131">
        <f t="shared" si="3"/>
        <v>-0.26206272617611581</v>
      </c>
      <c r="P19" s="131">
        <f t="shared" si="2"/>
        <v>-0.51222181685516233</v>
      </c>
      <c r="Q19" s="82"/>
      <c r="R19" s="82"/>
      <c r="S19" s="82"/>
    </row>
    <row r="20" spans="1:19">
      <c r="A20" s="278"/>
      <c r="B20" s="90" t="s">
        <v>288</v>
      </c>
      <c r="C20" s="92">
        <f>'Spółka JSW'!F69</f>
        <v>119000</v>
      </c>
      <c r="D20" s="94">
        <f>C20/C18</f>
        <v>7.0372560615020702E-2</v>
      </c>
      <c r="E20" s="92">
        <f>'Spółka JSW'!E69</f>
        <v>118900</v>
      </c>
      <c r="F20" s="94">
        <f>E20/E18</f>
        <v>4.6070985740855545E-2</v>
      </c>
      <c r="G20" s="92">
        <f>'Spółka JSW'!D69</f>
        <v>128900</v>
      </c>
      <c r="H20" s="94">
        <f>G20/G18</f>
        <v>3.1184226442482157E-2</v>
      </c>
      <c r="I20" s="92">
        <f>'Spółka JSW'!C69</f>
        <v>122900</v>
      </c>
      <c r="J20" s="94">
        <f>I20/I17</f>
        <v>1.6036012526096034E-2</v>
      </c>
      <c r="K20" s="92">
        <f>'Spółka JSW'!B69</f>
        <v>126200</v>
      </c>
      <c r="L20" s="94">
        <f>K20/K18</f>
        <v>3.8336522980649476E-2</v>
      </c>
      <c r="M20" s="131">
        <f t="shared" si="1"/>
        <v>-8.4104289318755253E-4</v>
      </c>
      <c r="N20" s="131">
        <f t="shared" si="4"/>
        <v>7.7579519006982151E-2</v>
      </c>
      <c r="O20" s="131">
        <f t="shared" si="3"/>
        <v>-4.8820179007323029E-2</v>
      </c>
      <c r="P20" s="131">
        <f t="shared" si="2"/>
        <v>2.6148969889064975E-2</v>
      </c>
      <c r="Q20" s="82"/>
      <c r="R20" s="82"/>
      <c r="S20" s="82"/>
    </row>
    <row r="21" spans="1:19">
      <c r="A21" s="278" t="s">
        <v>39</v>
      </c>
      <c r="B21" s="89" t="s">
        <v>149</v>
      </c>
      <c r="C21" s="92">
        <f>'Spółka JSW'!F72</f>
        <v>3625000</v>
      </c>
      <c r="D21" s="132">
        <f>C21/C17</f>
        <v>0.68190368698269377</v>
      </c>
      <c r="E21" s="92">
        <f>'Spółka JSW'!E72</f>
        <v>3494100</v>
      </c>
      <c r="F21" s="132">
        <f>E21/E17</f>
        <v>0.57516996164545919</v>
      </c>
      <c r="G21" s="92">
        <f>'Spółka JSW'!D72</f>
        <v>3580300</v>
      </c>
      <c r="H21" s="132">
        <f>G21/G17</f>
        <v>0.46414218673027563</v>
      </c>
      <c r="I21" s="92">
        <f>'Spółka JSW'!C72</f>
        <v>3849200</v>
      </c>
      <c r="J21" s="132">
        <f>I21/I17</f>
        <v>0.50224425887265134</v>
      </c>
      <c r="K21" s="92">
        <f>'Spółka JSW'!B72</f>
        <v>7733700</v>
      </c>
      <c r="L21" s="132">
        <f>K21/K17</f>
        <v>0.70143121462777536</v>
      </c>
      <c r="M21" s="131">
        <f>(E21-C21)/E21</f>
        <v>-3.7463152170802212E-2</v>
      </c>
      <c r="N21" s="131">
        <f t="shared" si="4"/>
        <v>2.4076194732285006E-2</v>
      </c>
      <c r="O21" s="131">
        <f t="shared" si="3"/>
        <v>6.9858671931829985E-2</v>
      </c>
      <c r="P21" s="131">
        <f t="shared" si="2"/>
        <v>0.50228221937752948</v>
      </c>
      <c r="Q21" s="82"/>
      <c r="R21" s="82"/>
      <c r="S21" s="82"/>
    </row>
    <row r="22" spans="1:19">
      <c r="A22" s="278"/>
      <c r="B22" s="90" t="s">
        <v>145</v>
      </c>
      <c r="C22" s="86">
        <f>'Spółka JSW'!B73</f>
        <v>779400</v>
      </c>
      <c r="D22" s="87">
        <f>C22/C21</f>
        <v>0.21500689655172414</v>
      </c>
      <c r="E22" s="86">
        <f>'Spółka JSW'!E73</f>
        <v>232200</v>
      </c>
      <c r="F22" s="87">
        <f>E22/E21</f>
        <v>6.6454881085258002E-2</v>
      </c>
      <c r="G22" s="86">
        <f>'Spółka JSW'!D73</f>
        <v>548200</v>
      </c>
      <c r="H22" s="87">
        <f>G22/G21</f>
        <v>0.15311566069882412</v>
      </c>
      <c r="I22" s="86">
        <f>'Spółka JSW'!C73</f>
        <v>697000</v>
      </c>
      <c r="J22" s="87">
        <f>I22/I21</f>
        <v>0.18107658734282447</v>
      </c>
      <c r="K22" s="86">
        <f>'Spółka JSW'!B73</f>
        <v>779400</v>
      </c>
      <c r="L22" s="87">
        <f>K22/K21</f>
        <v>0.10077970441056674</v>
      </c>
      <c r="M22" s="131">
        <f>(E22-C22)/E22</f>
        <v>-2.3565891472868219</v>
      </c>
      <c r="N22" s="131">
        <f t="shared" si="4"/>
        <v>0.57643195913900036</v>
      </c>
      <c r="O22" s="131">
        <f t="shared" si="3"/>
        <v>0.21348637015781924</v>
      </c>
      <c r="P22" s="131">
        <f t="shared" si="2"/>
        <v>0.10572235052604567</v>
      </c>
      <c r="Q22" s="82"/>
      <c r="R22" s="82"/>
      <c r="S22" s="82"/>
    </row>
    <row r="23" spans="1:19">
      <c r="A23" s="278"/>
      <c r="B23" s="90" t="s">
        <v>147</v>
      </c>
      <c r="C23" s="92">
        <f>'Spółka JSW'!F76</f>
        <v>2837000</v>
      </c>
      <c r="D23" s="94">
        <f>C23/C21</f>
        <v>0.7826206896551724</v>
      </c>
      <c r="E23" s="92">
        <f>'Spółka JSW'!E76</f>
        <v>2781800</v>
      </c>
      <c r="F23" s="94">
        <f>E23/E21</f>
        <v>0.79614206805758281</v>
      </c>
      <c r="G23" s="92">
        <f>'Spółka JSW'!D76</f>
        <v>2423300</v>
      </c>
      <c r="H23" s="94">
        <f>G23/G21</f>
        <v>0.67684272267687062</v>
      </c>
      <c r="I23" s="92">
        <f>'Spółka JSW'!C76</f>
        <v>2323400</v>
      </c>
      <c r="J23" s="94">
        <f>I23/I21</f>
        <v>0.60360594409227897</v>
      </c>
      <c r="K23" s="92">
        <f>'Spółka JSW'!B76</f>
        <v>2926000</v>
      </c>
      <c r="L23" s="94">
        <f>K23/K21</f>
        <v>0.37834413023520436</v>
      </c>
      <c r="M23" s="131">
        <f>(E23-C23)/E23</f>
        <v>-1.9843266949457185E-2</v>
      </c>
      <c r="N23" s="131">
        <f t="shared" si="4"/>
        <v>-0.14793876119341395</v>
      </c>
      <c r="O23" s="131">
        <f t="shared" si="3"/>
        <v>-4.2997331496944131E-2</v>
      </c>
      <c r="P23" s="131">
        <f t="shared" si="2"/>
        <v>0.20594668489405332</v>
      </c>
      <c r="Q23" s="82"/>
      <c r="R23" s="82"/>
      <c r="S23" s="82"/>
    </row>
  </sheetData>
  <mergeCells count="7">
    <mergeCell ref="A21:A23"/>
    <mergeCell ref="M1:P1"/>
    <mergeCell ref="B1:L1"/>
    <mergeCell ref="A4:A7"/>
    <mergeCell ref="A8:A11"/>
    <mergeCell ref="A18:A20"/>
    <mergeCell ref="A13:A16"/>
  </mergeCells>
  <phoneticPr fontId="4" type="noConversion"/>
  <pageMargins left="0.7" right="0.7" top="0.75" bottom="0.75" header="0.3" footer="0.3"/>
  <pageSetup paperSize="9" orientation="portrait" horizontalDpi="360" verticalDpi="360" r:id="rId1"/>
  <ignoredErrors>
    <ignoredError sqref="E4:E8 E19:E21 E16:E18 E9:E14 E22:E23 G4:G15 I16 I4:I15 I17:I18 K4:K15 G19:G23 I19:I23 K19:K23 G16:G18 K16:K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zoomScale="110" zoomScaleNormal="110" workbookViewId="0">
      <selection activeCell="C16" sqref="C16"/>
    </sheetView>
  </sheetViews>
  <sheetFormatPr defaultColWidth="8.77734375" defaultRowHeight="14.4"/>
  <cols>
    <col min="1" max="1" width="4.109375" customWidth="1"/>
    <col min="2" max="2" width="65.77734375" customWidth="1"/>
    <col min="3" max="11" width="13.44140625" customWidth="1"/>
  </cols>
  <sheetData>
    <row r="1" spans="1:11" ht="16.2" thickBot="1">
      <c r="A1" s="281" t="s">
        <v>304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</row>
    <row r="2" spans="1:11" ht="34.950000000000003" customHeight="1" thickBot="1">
      <c r="A2" s="45"/>
      <c r="B2" s="39" t="s">
        <v>2</v>
      </c>
      <c r="C2" s="105">
        <v>2018</v>
      </c>
      <c r="D2" s="106">
        <v>2019</v>
      </c>
      <c r="E2" s="107">
        <v>2020</v>
      </c>
      <c r="F2" s="106">
        <v>2021</v>
      </c>
      <c r="G2" s="105">
        <v>2022</v>
      </c>
      <c r="H2" s="113" t="s">
        <v>120</v>
      </c>
      <c r="I2" s="113" t="s">
        <v>121</v>
      </c>
      <c r="J2" s="113" t="s">
        <v>122</v>
      </c>
      <c r="K2" s="113" t="s">
        <v>123</v>
      </c>
    </row>
    <row r="3" spans="1:11" ht="15.6">
      <c r="A3" s="118" t="s">
        <v>35</v>
      </c>
      <c r="B3" s="95" t="s">
        <v>154</v>
      </c>
      <c r="C3" s="43">
        <f>'Spółka JSW'!F17</f>
        <v>9809000</v>
      </c>
      <c r="D3" s="43">
        <f>'Spółka JSW'!E17</f>
        <v>8671800</v>
      </c>
      <c r="E3" s="43">
        <f>'Spółka JSW'!D17</f>
        <v>6936000</v>
      </c>
      <c r="F3" s="43">
        <f>'Spółka JSW'!C17</f>
        <v>10629100</v>
      </c>
      <c r="G3" s="43">
        <f>'Spółka JSW'!B17</f>
        <v>20198500</v>
      </c>
      <c r="H3" s="46">
        <f>(D3-C3)/ABS(C3)</f>
        <v>-0.11593434600876745</v>
      </c>
      <c r="I3" s="46">
        <f>(E3-D3)/ABS(D3)</f>
        <v>-0.20016605549020963</v>
      </c>
      <c r="J3" s="46">
        <f>(F3-E3)/ABS(E3)</f>
        <v>0.53245386389850058</v>
      </c>
      <c r="K3" s="46">
        <f>(G3-F3)/ABS(F3)</f>
        <v>0.9003020011101599</v>
      </c>
    </row>
    <row r="4" spans="1:11" ht="15.6">
      <c r="A4" s="118" t="s">
        <v>36</v>
      </c>
      <c r="B4" s="95" t="s">
        <v>155</v>
      </c>
      <c r="C4" s="40">
        <f>'Spółka JSW'!F18</f>
        <v>-6938000</v>
      </c>
      <c r="D4" s="40">
        <f>'Spółka JSW'!E18</f>
        <v>-7068200</v>
      </c>
      <c r="E4" s="40">
        <f>'Spółka JSW'!D18</f>
        <v>-7337300</v>
      </c>
      <c r="F4" s="40">
        <f>'Spółka JSW'!C18</f>
        <v>-8033900</v>
      </c>
      <c r="G4" s="40">
        <f>'Spółka JSW'!B18</f>
        <v>-9552500</v>
      </c>
      <c r="H4" s="46">
        <f t="shared" ref="H4:H16" si="0">(D4-C4)/ABS(C4)</f>
        <v>-1.8766215047564139E-2</v>
      </c>
      <c r="I4" s="46">
        <f t="shared" ref="I4:I16" si="1">(E4-D4)/ABS(D4)</f>
        <v>-3.8071927789253272E-2</v>
      </c>
      <c r="J4" s="46">
        <f t="shared" ref="J4:J16" si="2">(F4-E4)/ABS(E4)</f>
        <v>-9.4939555422294306E-2</v>
      </c>
      <c r="K4" s="46">
        <f t="shared" ref="K4:K16" si="3">(G4-F4)/ABS(F4)</f>
        <v>-0.18902401075442812</v>
      </c>
    </row>
    <row r="5" spans="1:11" ht="15.6">
      <c r="A5" s="118" t="s">
        <v>37</v>
      </c>
      <c r="B5" s="95" t="s">
        <v>156</v>
      </c>
      <c r="C5" s="43">
        <f>C3+C4</f>
        <v>2871000</v>
      </c>
      <c r="D5" s="43">
        <f>D3+D4</f>
        <v>1603600</v>
      </c>
      <c r="E5" s="43">
        <f>E3+E4</f>
        <v>-401300</v>
      </c>
      <c r="F5" s="43">
        <f>F3+F4</f>
        <v>2595200</v>
      </c>
      <c r="G5" s="43">
        <f>G3+G4</f>
        <v>10646000</v>
      </c>
      <c r="H5" s="46">
        <f t="shared" si="0"/>
        <v>-0.44144897248345522</v>
      </c>
      <c r="I5" s="46">
        <f t="shared" si="1"/>
        <v>-1.2502494387627838</v>
      </c>
      <c r="J5" s="46">
        <f t="shared" si="2"/>
        <v>7.466982307500623</v>
      </c>
      <c r="K5" s="46">
        <f t="shared" si="3"/>
        <v>3.1021886559802714</v>
      </c>
    </row>
    <row r="6" spans="1:11" ht="15.6">
      <c r="A6" s="118" t="s">
        <v>38</v>
      </c>
      <c r="B6" s="95" t="s">
        <v>157</v>
      </c>
      <c r="C6" s="40">
        <f>'Spółka JSW'!F20</f>
        <v>-298000</v>
      </c>
      <c r="D6" s="40">
        <f>'Spółka JSW'!E20</f>
        <v>-261500</v>
      </c>
      <c r="E6" s="40">
        <f>'Spółka JSW'!E20</f>
        <v>-261500</v>
      </c>
      <c r="F6" s="40">
        <f>'Spółka JSW'!C20</f>
        <v>-277600</v>
      </c>
      <c r="G6" s="40">
        <f>'Spółka JSW'!B20</f>
        <v>-357200</v>
      </c>
      <c r="H6" s="46">
        <f t="shared" si="0"/>
        <v>0.12248322147651007</v>
      </c>
      <c r="I6" s="46">
        <f t="shared" si="1"/>
        <v>0</v>
      </c>
      <c r="J6" s="46">
        <f t="shared" si="2"/>
        <v>-6.15678776290631E-2</v>
      </c>
      <c r="K6" s="46">
        <f t="shared" si="3"/>
        <v>-0.28674351585014407</v>
      </c>
    </row>
    <row r="7" spans="1:11" ht="15.6">
      <c r="A7" s="118" t="s">
        <v>39</v>
      </c>
      <c r="B7" s="95" t="s">
        <v>158</v>
      </c>
      <c r="C7" s="43">
        <f>'Spółka JSW'!F21</f>
        <v>-623000</v>
      </c>
      <c r="D7" s="43">
        <f>'Spółka JSW'!E21</f>
        <v>-709300</v>
      </c>
      <c r="E7" s="43">
        <f>'Spółka JSW'!D21</f>
        <v>-697700</v>
      </c>
      <c r="F7" s="43">
        <f>'Spółka JSW'!C21</f>
        <v>-684800</v>
      </c>
      <c r="G7" s="43">
        <f>'Spółka JSW'!B21</f>
        <v>-826600</v>
      </c>
      <c r="H7" s="46">
        <f t="shared" si="0"/>
        <v>-0.13852327447833065</v>
      </c>
      <c r="I7" s="46">
        <f t="shared" si="1"/>
        <v>1.6354151980826168E-2</v>
      </c>
      <c r="J7" s="46">
        <f t="shared" si="2"/>
        <v>1.8489322058191201E-2</v>
      </c>
      <c r="K7" s="46">
        <f t="shared" si="3"/>
        <v>-0.20706775700934579</v>
      </c>
    </row>
    <row r="8" spans="1:11" ht="15.6">
      <c r="A8" s="118" t="s">
        <v>102</v>
      </c>
      <c r="B8" s="95" t="s">
        <v>159</v>
      </c>
      <c r="C8" s="40">
        <f>C5+C6+C7</f>
        <v>1950000</v>
      </c>
      <c r="D8" s="40">
        <f>D5+D6+D7</f>
        <v>632800</v>
      </c>
      <c r="E8" s="40">
        <f>E5+E6+E7</f>
        <v>-1360500</v>
      </c>
      <c r="F8" s="40">
        <f>F5+F6+F7</f>
        <v>1632800</v>
      </c>
      <c r="G8" s="40">
        <f>G5+G6+G7</f>
        <v>9462200</v>
      </c>
      <c r="H8" s="46">
        <f t="shared" si="0"/>
        <v>-0.67548717948717951</v>
      </c>
      <c r="I8" s="46">
        <f t="shared" si="1"/>
        <v>-3.1499683944374208</v>
      </c>
      <c r="J8" s="46">
        <f t="shared" si="2"/>
        <v>2.2001470047776555</v>
      </c>
      <c r="K8" s="46">
        <f t="shared" si="3"/>
        <v>4.7950759431651155</v>
      </c>
    </row>
    <row r="9" spans="1:11" ht="15.6">
      <c r="A9" s="118" t="s">
        <v>103</v>
      </c>
      <c r="B9" s="95" t="s">
        <v>160</v>
      </c>
      <c r="C9" s="44">
        <f>'Spółka JSW'!F23</f>
        <v>1616000</v>
      </c>
      <c r="D9" s="44">
        <f>'Spółka JSW'!E23</f>
        <v>289500</v>
      </c>
      <c r="E9" s="44">
        <f>'Spółka JSW'!D23</f>
        <v>314600</v>
      </c>
      <c r="F9" s="121">
        <f>'Spółka JSW'!C23</f>
        <v>590300</v>
      </c>
      <c r="G9" s="44">
        <f>'Spółka JSW'!B23</f>
        <v>359700</v>
      </c>
      <c r="H9" s="46">
        <f t="shared" si="0"/>
        <v>-0.82085396039603964</v>
      </c>
      <c r="I9" s="46">
        <f t="shared" si="1"/>
        <v>8.6701208981001726E-2</v>
      </c>
      <c r="J9" s="46">
        <f t="shared" si="2"/>
        <v>0.87635092180546725</v>
      </c>
      <c r="K9" s="46">
        <f t="shared" si="3"/>
        <v>-0.39064882263255973</v>
      </c>
    </row>
    <row r="10" spans="1:11" ht="15.6">
      <c r="A10" s="118" t="s">
        <v>40</v>
      </c>
      <c r="B10" s="95" t="s">
        <v>161</v>
      </c>
      <c r="C10" s="42">
        <f>'Spółka JSW'!F24</f>
        <v>-1310000</v>
      </c>
      <c r="D10" s="42">
        <f>'Spółka JSW'!E24</f>
        <v>-95100</v>
      </c>
      <c r="E10" s="42">
        <f>'Spółka JSW'!D24</f>
        <v>-707700</v>
      </c>
      <c r="F10" s="42">
        <f>'Spółka JSW'!C24</f>
        <v>-960700</v>
      </c>
      <c r="G10" s="42">
        <f>'Spółka JSW'!B24</f>
        <v>-485500</v>
      </c>
      <c r="H10" s="46">
        <f t="shared" si="0"/>
        <v>0.9274045801526718</v>
      </c>
      <c r="I10" s="46">
        <f t="shared" si="1"/>
        <v>-6.4416403785488958</v>
      </c>
      <c r="J10" s="46">
        <f t="shared" si="2"/>
        <v>-0.35749611417267202</v>
      </c>
      <c r="K10" s="46">
        <f t="shared" si="3"/>
        <v>0.49463932549182887</v>
      </c>
    </row>
    <row r="11" spans="1:11" ht="15.6">
      <c r="A11" s="118" t="s">
        <v>41</v>
      </c>
      <c r="B11" s="95" t="s">
        <v>289</v>
      </c>
      <c r="C11" s="120">
        <f>C8+C9+C10</f>
        <v>2256000</v>
      </c>
      <c r="D11" s="120">
        <f>D8+D9+D10</f>
        <v>827200</v>
      </c>
      <c r="E11" s="120">
        <f>E8+E9+E10</f>
        <v>-1753600</v>
      </c>
      <c r="F11" s="120">
        <f>F8+F9+F10</f>
        <v>1262400</v>
      </c>
      <c r="G11" s="120">
        <f>G8+G9+G10</f>
        <v>9336400</v>
      </c>
      <c r="H11" s="46">
        <f t="shared" si="0"/>
        <v>-0.6333333333333333</v>
      </c>
      <c r="I11" s="46">
        <f t="shared" si="1"/>
        <v>-3.1199226305609282</v>
      </c>
      <c r="J11" s="46">
        <f t="shared" si="2"/>
        <v>1.7198905109489051</v>
      </c>
      <c r="K11" s="46">
        <f t="shared" si="3"/>
        <v>6.3957541191381493</v>
      </c>
    </row>
    <row r="12" spans="1:11" ht="15.6">
      <c r="A12" s="118" t="s">
        <v>42</v>
      </c>
      <c r="B12" s="95" t="s">
        <v>162</v>
      </c>
      <c r="C12" s="43">
        <f>'Spółka JSW'!F27</f>
        <v>40000</v>
      </c>
      <c r="D12" s="43">
        <f>'Spółka JSW'!E27</f>
        <v>26500</v>
      </c>
      <c r="E12" s="43">
        <f>'Spółka JSW'!D27</f>
        <v>8100</v>
      </c>
      <c r="F12" s="43">
        <f>'Spółka JSW'!C27</f>
        <v>8200</v>
      </c>
      <c r="G12" s="43">
        <f>'Spółka JSW'!B27</f>
        <v>194300</v>
      </c>
      <c r="H12" s="46">
        <f t="shared" si="0"/>
        <v>-0.33750000000000002</v>
      </c>
      <c r="I12" s="46">
        <f t="shared" si="1"/>
        <v>-0.69433962264150939</v>
      </c>
      <c r="J12" s="46">
        <f t="shared" si="2"/>
        <v>1.2345679012345678E-2</v>
      </c>
      <c r="K12" s="46">
        <f t="shared" si="3"/>
        <v>22.695121951219512</v>
      </c>
    </row>
    <row r="13" spans="1:11" ht="15.6">
      <c r="A13" s="118" t="s">
        <v>43</v>
      </c>
      <c r="B13" s="95" t="s">
        <v>164</v>
      </c>
      <c r="C13" s="40">
        <f>'Spółka JSW'!F28</f>
        <v>-101000</v>
      </c>
      <c r="D13" s="40">
        <f>'Spółka JSW'!E28</f>
        <v>-104400</v>
      </c>
      <c r="E13" s="40">
        <f>'Spółka JSW'!D28</f>
        <v>-95200</v>
      </c>
      <c r="F13" s="40">
        <f>'Spółka JSW'!C28</f>
        <v>-104000</v>
      </c>
      <c r="G13" s="40">
        <f>'Spółka JSW'!B28</f>
        <v>-141400</v>
      </c>
      <c r="H13" s="46">
        <f t="shared" si="0"/>
        <v>-3.3663366336633666E-2</v>
      </c>
      <c r="I13" s="46">
        <f t="shared" si="1"/>
        <v>8.8122605363984668E-2</v>
      </c>
      <c r="J13" s="46">
        <f t="shared" si="2"/>
        <v>-9.2436974789915971E-2</v>
      </c>
      <c r="K13" s="46">
        <f t="shared" si="3"/>
        <v>-0.35961538461538461</v>
      </c>
    </row>
    <row r="14" spans="1:11" ht="15.6">
      <c r="A14" s="118" t="s">
        <v>151</v>
      </c>
      <c r="B14" s="95" t="s">
        <v>163</v>
      </c>
      <c r="C14" s="43">
        <f>C11+C12+C13</f>
        <v>2195000</v>
      </c>
      <c r="D14" s="43">
        <f>D11+D12+D13</f>
        <v>749300</v>
      </c>
      <c r="E14" s="43">
        <f>E11+E12+E13</f>
        <v>-1840700</v>
      </c>
      <c r="F14" s="43">
        <f>F11+F12+F13</f>
        <v>1166600</v>
      </c>
      <c r="G14" s="43">
        <f>G11+G12+G13</f>
        <v>9389300</v>
      </c>
      <c r="H14" s="46">
        <f t="shared" si="0"/>
        <v>-0.65863325740318912</v>
      </c>
      <c r="I14" s="46">
        <f t="shared" si="1"/>
        <v>-3.4565594554917922</v>
      </c>
      <c r="J14" s="46">
        <f t="shared" si="2"/>
        <v>1.6337806269354049</v>
      </c>
      <c r="K14" s="46">
        <f t="shared" si="3"/>
        <v>7.0484313389336535</v>
      </c>
    </row>
    <row r="15" spans="1:11" ht="15.6">
      <c r="A15" s="118" t="s">
        <v>152</v>
      </c>
      <c r="B15" s="95" t="s">
        <v>3</v>
      </c>
      <c r="C15" s="41">
        <f>'Spółka JSW'!F30</f>
        <v>-431000</v>
      </c>
      <c r="D15" s="41">
        <f>'Spółka JSW'!E30</f>
        <v>-178400</v>
      </c>
      <c r="E15" s="41">
        <f>'Spółka JSW'!D30</f>
        <v>330200</v>
      </c>
      <c r="F15" s="41">
        <f>'Spółka JSW'!C30</f>
        <v>-214100</v>
      </c>
      <c r="G15" s="41">
        <f>'Spółka JSW'!B30</f>
        <v>-1795600</v>
      </c>
      <c r="H15" s="46">
        <f t="shared" si="0"/>
        <v>0.58607888631090488</v>
      </c>
      <c r="I15" s="46">
        <f t="shared" si="1"/>
        <v>2.850896860986547</v>
      </c>
      <c r="J15" s="46">
        <f t="shared" si="2"/>
        <v>-1.6483949121744397</v>
      </c>
      <c r="K15" s="46">
        <f t="shared" si="3"/>
        <v>-7.3867351704810833</v>
      </c>
    </row>
    <row r="16" spans="1:11" ht="15.6">
      <c r="A16" s="118" t="s">
        <v>153</v>
      </c>
      <c r="B16" s="95" t="s">
        <v>165</v>
      </c>
      <c r="C16" s="40">
        <f>C14+C15</f>
        <v>1764000</v>
      </c>
      <c r="D16" s="40">
        <f>D14+D15</f>
        <v>570900</v>
      </c>
      <c r="E16" s="40">
        <f>E14+E15</f>
        <v>-1510500</v>
      </c>
      <c r="F16" s="40">
        <f>F14+F15</f>
        <v>952500</v>
      </c>
      <c r="G16" s="40">
        <f>G14+G15</f>
        <v>7593700</v>
      </c>
      <c r="H16" s="46">
        <f t="shared" si="0"/>
        <v>-0.6763605442176871</v>
      </c>
      <c r="I16" s="46">
        <f t="shared" si="1"/>
        <v>-3.6458223857067789</v>
      </c>
      <c r="J16" s="46">
        <f t="shared" si="2"/>
        <v>1.6305858987090367</v>
      </c>
      <c r="K16" s="46">
        <f t="shared" si="3"/>
        <v>6.9723884514435692</v>
      </c>
    </row>
    <row r="17" spans="1:11" ht="15.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5.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5.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5.6">
      <c r="A20" s="27"/>
      <c r="B20" s="27" t="s">
        <v>182</v>
      </c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5.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5.6">
      <c r="A22" s="27"/>
      <c r="B22" s="27" t="s">
        <v>183</v>
      </c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5.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5.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5.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5.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5.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5.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</sheetData>
  <mergeCells count="1">
    <mergeCell ref="A1:K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E5B0-31DE-744D-BD30-C81E40D0599D}">
  <dimension ref="A1:O26"/>
  <sheetViews>
    <sheetView zoomScale="108" workbookViewId="0">
      <selection activeCell="P21" sqref="P21"/>
    </sheetView>
  </sheetViews>
  <sheetFormatPr defaultColWidth="8.77734375" defaultRowHeight="14.4"/>
  <cols>
    <col min="1" max="1" width="5.109375" style="141" customWidth="1"/>
    <col min="2" max="2" width="34.77734375" style="139" customWidth="1"/>
    <col min="3" max="3" width="11.77734375" style="139" customWidth="1"/>
    <col min="4" max="4" width="11.77734375" style="264" customWidth="1"/>
    <col min="5" max="5" width="13.109375" style="139" customWidth="1"/>
    <col min="6" max="6" width="13.109375" style="264" customWidth="1"/>
    <col min="7" max="7" width="13.33203125" style="139" customWidth="1"/>
    <col min="8" max="8" width="13.33203125" style="264" customWidth="1"/>
    <col min="9" max="9" width="12.6640625" style="139" customWidth="1"/>
    <col min="10" max="10" width="12.6640625" style="264" customWidth="1"/>
    <col min="11" max="11" width="12" style="139" customWidth="1"/>
    <col min="12" max="15" width="11.33203125" style="140" customWidth="1"/>
    <col min="16" max="16384" width="8.77734375" style="139"/>
  </cols>
  <sheetData>
    <row r="1" spans="1:15" ht="15.6">
      <c r="A1" s="144"/>
      <c r="B1" s="283" t="s">
        <v>304</v>
      </c>
      <c r="C1" s="283"/>
      <c r="D1" s="283"/>
      <c r="E1" s="283"/>
      <c r="F1" s="283"/>
      <c r="G1" s="283"/>
      <c r="H1" s="283"/>
      <c r="I1" s="283"/>
      <c r="J1" s="283"/>
      <c r="K1" s="283"/>
      <c r="L1" s="282" t="s">
        <v>14</v>
      </c>
      <c r="M1" s="282"/>
      <c r="N1" s="282"/>
      <c r="O1" s="282"/>
    </row>
    <row r="2" spans="1:15" s="154" customFormat="1" ht="30.75" customHeight="1" thickBot="1">
      <c r="A2" s="144"/>
      <c r="B2" s="164" t="s">
        <v>8</v>
      </c>
      <c r="C2" s="163">
        <v>2018</v>
      </c>
      <c r="D2" s="259"/>
      <c r="E2" s="163">
        <v>2019</v>
      </c>
      <c r="F2" s="259"/>
      <c r="G2" s="163">
        <v>2020</v>
      </c>
      <c r="H2" s="259"/>
      <c r="I2" s="163">
        <v>2021</v>
      </c>
      <c r="J2" s="259"/>
      <c r="K2" s="163">
        <v>2022</v>
      </c>
      <c r="L2" s="162" t="s">
        <v>105</v>
      </c>
      <c r="M2" s="162" t="s">
        <v>106</v>
      </c>
      <c r="N2" s="162" t="s">
        <v>107</v>
      </c>
      <c r="O2" s="162" t="s">
        <v>108</v>
      </c>
    </row>
    <row r="3" spans="1:15" s="154" customFormat="1" ht="40.049999999999997" customHeight="1">
      <c r="A3" s="284" t="s">
        <v>35</v>
      </c>
      <c r="B3" s="153" t="s">
        <v>9</v>
      </c>
      <c r="C3" s="161">
        <f>'Spółka JSW'!F85</f>
        <v>2818000</v>
      </c>
      <c r="D3" s="256">
        <v>1</v>
      </c>
      <c r="E3" s="161">
        <f>'Spółka JSW'!E85</f>
        <v>1140300</v>
      </c>
      <c r="F3" s="256">
        <v>1</v>
      </c>
      <c r="G3" s="161">
        <f>'Spółka JSW'!D85</f>
        <v>354700</v>
      </c>
      <c r="H3" s="256">
        <v>1</v>
      </c>
      <c r="I3" s="161">
        <f>'Spółka JSW'!C85</f>
        <v>1661200</v>
      </c>
      <c r="J3" s="256">
        <v>1</v>
      </c>
      <c r="K3" s="161">
        <f>'Spółka JSW'!B85</f>
        <v>10689800</v>
      </c>
      <c r="L3" s="160">
        <f>(E3-C3)/ABS(C3)</f>
        <v>-0.59535131298793476</v>
      </c>
      <c r="M3" s="160">
        <f>(G3-E3)/ABS(E3)</f>
        <v>-0.68894150662106468</v>
      </c>
      <c r="N3" s="160">
        <f>(I3-G3)/ABS(G3)</f>
        <v>3.6833944178178744</v>
      </c>
      <c r="O3" s="160">
        <f>(K3-I3)/ABS(I3)</f>
        <v>5.4349867565615222</v>
      </c>
    </row>
    <row r="4" spans="1:15" ht="15.6">
      <c r="A4" s="284"/>
      <c r="B4" s="146" t="s">
        <v>167</v>
      </c>
      <c r="C4" s="158">
        <f>'Spółka JSW'!F86</f>
        <v>0</v>
      </c>
      <c r="D4" s="249">
        <f>C4/C3</f>
        <v>0</v>
      </c>
      <c r="E4" s="148">
        <f>'Spółka JSW'!E86</f>
        <v>1537800</v>
      </c>
      <c r="F4" s="249">
        <f>E4/E3</f>
        <v>1.3485924756642989</v>
      </c>
      <c r="G4" s="158">
        <f>'Spółka JSW'!D86</f>
        <v>0</v>
      </c>
      <c r="H4" s="249">
        <f>G4/G3</f>
        <v>0</v>
      </c>
      <c r="I4" s="158">
        <f>'Spółka JSW'!C86</f>
        <v>0</v>
      </c>
      <c r="J4" s="249">
        <f>I4/I3</f>
        <v>0</v>
      </c>
      <c r="K4" s="158">
        <f>'Spółka JSW'!B86</f>
        <v>0</v>
      </c>
      <c r="L4" s="160">
        <f>'Spółka JSW'!P86</f>
        <v>0</v>
      </c>
      <c r="M4" s="160">
        <f>'Spółka JSW'!Q86</f>
        <v>0</v>
      </c>
      <c r="N4" s="160">
        <f>'Spółka JSW'!R86</f>
        <v>0</v>
      </c>
      <c r="O4" s="160">
        <f>'Spółka JSW'!S86</f>
        <v>0</v>
      </c>
    </row>
    <row r="5" spans="1:15" ht="15.6">
      <c r="A5" s="284"/>
      <c r="B5" s="143" t="s">
        <v>166</v>
      </c>
      <c r="C5" s="159">
        <f>SUM(C6:C8)</f>
        <v>2818000</v>
      </c>
      <c r="D5" s="257">
        <f>C5/C3</f>
        <v>1</v>
      </c>
      <c r="E5" s="159">
        <f>SUM(E6:E8)</f>
        <v>-397500</v>
      </c>
      <c r="F5" s="257">
        <f>E5/E3</f>
        <v>-0.34859247566429885</v>
      </c>
      <c r="G5" s="159">
        <f>SUM(G6:G8)</f>
        <v>354700</v>
      </c>
      <c r="H5" s="257">
        <f>G5/G3</f>
        <v>1</v>
      </c>
      <c r="I5" s="159">
        <f>SUM(I6:I8)</f>
        <v>1661200</v>
      </c>
      <c r="J5" s="257">
        <f>I5/I3</f>
        <v>1</v>
      </c>
      <c r="K5" s="159">
        <f>SUM(K6:K8)</f>
        <v>10689800</v>
      </c>
      <c r="L5" s="160">
        <f t="shared" ref="L5:L26" si="0">(E5-C5)/ABS(C5)</f>
        <v>-1.1410574875798438</v>
      </c>
      <c r="M5" s="160">
        <f t="shared" ref="M5:M26" si="1">(G5-E5)/ABS(E5)</f>
        <v>1.8923270440251572</v>
      </c>
      <c r="N5" s="160">
        <f t="shared" ref="N5:N26" si="2">(I5-G5)/ABS(G5)</f>
        <v>3.6833944178178744</v>
      </c>
      <c r="O5" s="160">
        <f t="shared" ref="O5:O26" si="3">(K5-I5)/ABS(I5)</f>
        <v>5.4349867565615222</v>
      </c>
    </row>
    <row r="6" spans="1:15" ht="15.6">
      <c r="A6" s="284"/>
      <c r="B6" s="143" t="s">
        <v>168</v>
      </c>
      <c r="C6" s="159">
        <f>'Spółka JSW'!F88</f>
        <v>-10000</v>
      </c>
      <c r="D6" s="257">
        <f>C6/C5</f>
        <v>-3.5486160397444995E-3</v>
      </c>
      <c r="E6" s="159">
        <f>'Spółka JSW'!E88</f>
        <v>-6500</v>
      </c>
      <c r="F6" s="257">
        <f>E6/E5</f>
        <v>1.6352201257861635E-2</v>
      </c>
      <c r="G6" s="159">
        <f>'Spółka JSW'!D88</f>
        <v>-11500</v>
      </c>
      <c r="H6" s="257">
        <f>G6/G5</f>
        <v>-3.2421764871722582E-2</v>
      </c>
      <c r="I6" s="159">
        <f>'Spółka JSW'!C88</f>
        <v>-3300</v>
      </c>
      <c r="J6" s="257">
        <f>I6/I5</f>
        <v>-1.9865157717312786E-3</v>
      </c>
      <c r="K6" s="159">
        <f>'Spółka JSW'!B88</f>
        <v>-3100</v>
      </c>
      <c r="L6" s="160">
        <f t="shared" si="0"/>
        <v>0.35</v>
      </c>
      <c r="M6" s="160">
        <f t="shared" si="1"/>
        <v>-0.76923076923076927</v>
      </c>
      <c r="N6" s="160">
        <f t="shared" si="2"/>
        <v>0.71304347826086956</v>
      </c>
      <c r="O6" s="160">
        <f t="shared" si="3"/>
        <v>6.0606060606060608E-2</v>
      </c>
    </row>
    <row r="7" spans="1:15" ht="15.6">
      <c r="A7" s="284"/>
      <c r="B7" s="146" t="s">
        <v>169</v>
      </c>
      <c r="C7" s="147">
        <f>'Spółka JSW'!F90</f>
        <v>-40000</v>
      </c>
      <c r="D7" s="258">
        <f>C7/C5</f>
        <v>-1.4194464158977998E-2</v>
      </c>
      <c r="E7" s="147">
        <f>'Spółka JSW'!E90</f>
        <v>-391000</v>
      </c>
      <c r="F7" s="258">
        <f>E7/E5</f>
        <v>0.98364779874213837</v>
      </c>
      <c r="G7" s="147">
        <f>'Spółka JSW'!D90</f>
        <v>125500</v>
      </c>
      <c r="H7" s="258">
        <f>G7/G5</f>
        <v>0.3538201296870595</v>
      </c>
      <c r="I7" s="147">
        <f>'Spółka JSW'!C90</f>
        <v>-281500</v>
      </c>
      <c r="J7" s="258">
        <f>I7/I5</f>
        <v>-0.16945581507344087</v>
      </c>
      <c r="K7" s="147">
        <f>'Spółka JSW'!B90</f>
        <v>-48200</v>
      </c>
      <c r="L7" s="160">
        <f t="shared" si="0"/>
        <v>-8.7750000000000004</v>
      </c>
      <c r="M7" s="160">
        <f t="shared" si="1"/>
        <v>1.3209718670076727</v>
      </c>
      <c r="N7" s="160">
        <f t="shared" si="2"/>
        <v>-3.2430278884462149</v>
      </c>
      <c r="O7" s="160">
        <f t="shared" si="3"/>
        <v>0.82877442273534641</v>
      </c>
    </row>
    <row r="8" spans="1:15" ht="15.6">
      <c r="A8" s="284"/>
      <c r="B8" s="146" t="s">
        <v>170</v>
      </c>
      <c r="C8" s="148">
        <f>'Spółka JSW'!F89</f>
        <v>2868000</v>
      </c>
      <c r="D8" s="249">
        <f>C8/C5</f>
        <v>1.0177430801987224</v>
      </c>
      <c r="E8" s="158">
        <f>'Spółka JSW'!E89</f>
        <v>0</v>
      </c>
      <c r="F8" s="249">
        <f>E8/E5</f>
        <v>0</v>
      </c>
      <c r="G8" s="148">
        <f>'Spółka JSW'!D89</f>
        <v>240700</v>
      </c>
      <c r="H8" s="249">
        <f>G8/G5</f>
        <v>0.6786016351846631</v>
      </c>
      <c r="I8" s="148">
        <f>'Spółka JSW'!C89</f>
        <v>1946000</v>
      </c>
      <c r="J8" s="249">
        <f>I8/I5</f>
        <v>1.1714423308451722</v>
      </c>
      <c r="K8" s="148">
        <f>'Spółka JSW'!B89</f>
        <v>10741100</v>
      </c>
      <c r="L8" s="160">
        <f t="shared" si="0"/>
        <v>-1</v>
      </c>
      <c r="M8" s="160" t="e">
        <f t="shared" si="1"/>
        <v>#DIV/0!</v>
      </c>
      <c r="N8" s="160">
        <f t="shared" si="2"/>
        <v>7.0847528043207308</v>
      </c>
      <c r="O8" s="160">
        <f t="shared" si="3"/>
        <v>4.5195786228160326</v>
      </c>
    </row>
    <row r="9" spans="1:15" s="154" customFormat="1" ht="44.25" customHeight="1">
      <c r="A9" s="284" t="s">
        <v>36</v>
      </c>
      <c r="B9" s="150" t="s">
        <v>10</v>
      </c>
      <c r="C9" s="155">
        <f>'Spółka JSW'!F91</f>
        <v>-1581000</v>
      </c>
      <c r="D9" s="260">
        <v>1</v>
      </c>
      <c r="E9" s="155">
        <f>'Spółka JSW'!E91</f>
        <v>-2260500</v>
      </c>
      <c r="F9" s="260">
        <v>1</v>
      </c>
      <c r="G9" s="155">
        <f>'Spółka JSW'!D91</f>
        <v>-549300</v>
      </c>
      <c r="H9" s="260">
        <v>1</v>
      </c>
      <c r="I9" s="155">
        <f>'Spółka JSW'!C91</f>
        <v>-1620200</v>
      </c>
      <c r="J9" s="260">
        <v>1</v>
      </c>
      <c r="K9" s="155">
        <f>'Spółka JSW'!B91</f>
        <v>-6333100</v>
      </c>
      <c r="L9" s="160">
        <f t="shared" si="0"/>
        <v>-0.42979127134724859</v>
      </c>
      <c r="M9" s="160">
        <f t="shared" si="1"/>
        <v>0.75700066357000662</v>
      </c>
      <c r="N9" s="160">
        <f t="shared" si="2"/>
        <v>-1.9495721827780812</v>
      </c>
      <c r="O9" s="160">
        <f t="shared" si="3"/>
        <v>-2.9088384150104925</v>
      </c>
    </row>
    <row r="10" spans="1:15" ht="15.6">
      <c r="A10" s="284"/>
      <c r="B10" s="153" t="s">
        <v>171</v>
      </c>
      <c r="C10" s="157">
        <f>C11+C12</f>
        <v>39000</v>
      </c>
      <c r="D10" s="261">
        <f>C10/C9</f>
        <v>-2.4667931688804556E-2</v>
      </c>
      <c r="E10" s="157">
        <f>E11+E12</f>
        <v>66200</v>
      </c>
      <c r="F10" s="261">
        <f>E10/E9</f>
        <v>-2.9285556292855563E-2</v>
      </c>
      <c r="G10" s="157">
        <f>G11+G12</f>
        <v>1521600</v>
      </c>
      <c r="H10" s="261">
        <f>G10/G9</f>
        <v>-2.7700709994538504</v>
      </c>
      <c r="I10" s="157">
        <f>I11+I12</f>
        <v>6300</v>
      </c>
      <c r="J10" s="261">
        <f>I10/I9</f>
        <v>-3.8884088384150105E-3</v>
      </c>
      <c r="K10" s="157">
        <f>K11+K12</f>
        <v>-4008200</v>
      </c>
      <c r="L10" s="160">
        <f t="shared" si="0"/>
        <v>0.6974358974358974</v>
      </c>
      <c r="M10" s="160">
        <f t="shared" si="1"/>
        <v>21.984894259818731</v>
      </c>
      <c r="N10" s="160">
        <f t="shared" si="2"/>
        <v>-0.99585962145110407</v>
      </c>
      <c r="O10" s="160">
        <f t="shared" si="3"/>
        <v>-637.22222222222217</v>
      </c>
    </row>
    <row r="11" spans="1:15" ht="15.6">
      <c r="A11" s="284"/>
      <c r="B11" s="146" t="s">
        <v>172</v>
      </c>
      <c r="C11" s="148">
        <f>'Spółka JSW'!F92</f>
        <v>10000</v>
      </c>
      <c r="D11" s="249">
        <f>C11/C10</f>
        <v>0.25641025641025639</v>
      </c>
      <c r="E11" s="148">
        <f>'Spółka JSW'!E92</f>
        <v>39400</v>
      </c>
      <c r="F11" s="249">
        <f>E11/E10</f>
        <v>0.595166163141994</v>
      </c>
      <c r="G11" s="148">
        <f>'Spółka JSW'!D92</f>
        <v>19300</v>
      </c>
      <c r="H11" s="249">
        <f>G11/G10</f>
        <v>1.2684016824395372E-2</v>
      </c>
      <c r="I11" s="148">
        <f>'Spółka JSW'!C92</f>
        <v>3400</v>
      </c>
      <c r="J11" s="249">
        <f>I11/I10</f>
        <v>0.53968253968253965</v>
      </c>
      <c r="K11" s="148">
        <f>'Spółka JSW'!B92</f>
        <v>9400</v>
      </c>
      <c r="L11" s="160">
        <f t="shared" si="0"/>
        <v>2.94</v>
      </c>
      <c r="M11" s="160">
        <f t="shared" si="1"/>
        <v>-0.51015228426395942</v>
      </c>
      <c r="N11" s="160">
        <f t="shared" si="2"/>
        <v>-0.82383419689119175</v>
      </c>
      <c r="O11" s="160">
        <f t="shared" si="3"/>
        <v>1.7647058823529411</v>
      </c>
    </row>
    <row r="12" spans="1:15" ht="15.6">
      <c r="A12" s="284"/>
      <c r="B12" s="143" t="s">
        <v>176</v>
      </c>
      <c r="C12" s="152">
        <f>'Spółka JSW'!F95+'Spółka JSW'!F97</f>
        <v>29000</v>
      </c>
      <c r="D12" s="257">
        <f>C12/C10</f>
        <v>0.74358974358974361</v>
      </c>
      <c r="E12" s="152">
        <f>'Spółka JSW'!E95+'Spółka JSW'!E97</f>
        <v>26800</v>
      </c>
      <c r="F12" s="257">
        <f>E12/E10</f>
        <v>0.40483383685800606</v>
      </c>
      <c r="G12" s="152">
        <f>'Spółka JSW'!D95+'Spółka JSW'!D97</f>
        <v>1502300</v>
      </c>
      <c r="H12" s="257">
        <f>G12/G10</f>
        <v>0.98731598317560465</v>
      </c>
      <c r="I12" s="152">
        <f>'Spółka JSW'!C95+'Spółka JSW'!C97</f>
        <v>2900</v>
      </c>
      <c r="J12" s="257">
        <f>I12/I9</f>
        <v>-1.7899024811751636E-3</v>
      </c>
      <c r="K12" s="152">
        <f>'Spółka JSW'!B95+'Spółka JSW'!B97</f>
        <v>-4017600</v>
      </c>
      <c r="L12" s="160">
        <f t="shared" si="0"/>
        <v>-7.586206896551724E-2</v>
      </c>
      <c r="M12" s="160">
        <f t="shared" si="1"/>
        <v>55.055970149253731</v>
      </c>
      <c r="N12" s="160">
        <f t="shared" si="2"/>
        <v>-0.99806962657258869</v>
      </c>
      <c r="O12" s="160">
        <f t="shared" si="3"/>
        <v>-1386.3793103448277</v>
      </c>
    </row>
    <row r="13" spans="1:15" ht="15.6">
      <c r="A13" s="284"/>
      <c r="B13" s="150" t="s">
        <v>174</v>
      </c>
      <c r="C13" s="156">
        <f>SUM(C14+C15)</f>
        <v>-1621000</v>
      </c>
      <c r="D13" s="262">
        <f>C13/C9</f>
        <v>1.0253004427577483</v>
      </c>
      <c r="E13" s="156">
        <f t="shared" ref="E13:K13" si="4">SUM(E14+E15)</f>
        <v>-2326700</v>
      </c>
      <c r="F13" s="262">
        <f>E13/E9</f>
        <v>1.0292855562928556</v>
      </c>
      <c r="G13" s="156">
        <f t="shared" si="4"/>
        <v>-2070900</v>
      </c>
      <c r="H13" s="262">
        <f>G13/G9</f>
        <v>3.7700709994538504</v>
      </c>
      <c r="I13" s="156">
        <f t="shared" si="4"/>
        <v>-1626500</v>
      </c>
      <c r="J13" s="262">
        <f>I13/I9</f>
        <v>1.003888408838415</v>
      </c>
      <c r="K13" s="156">
        <f t="shared" si="4"/>
        <v>-2324900</v>
      </c>
      <c r="L13" s="160">
        <f t="shared" si="0"/>
        <v>-0.43534855027760644</v>
      </c>
      <c r="M13" s="160">
        <f t="shared" si="1"/>
        <v>0.10994111832208707</v>
      </c>
      <c r="N13" s="160">
        <f t="shared" si="2"/>
        <v>0.21459268916896035</v>
      </c>
      <c r="O13" s="160">
        <f t="shared" si="3"/>
        <v>-0.42938825699354444</v>
      </c>
    </row>
    <row r="14" spans="1:15" ht="15.6">
      <c r="A14" s="284"/>
      <c r="B14" s="146" t="s">
        <v>175</v>
      </c>
      <c r="C14" s="148">
        <f>'Spółka JSW'!F93</f>
        <v>-1259000</v>
      </c>
      <c r="D14" s="249">
        <f>C14/C13</f>
        <v>0.77668106107341151</v>
      </c>
      <c r="E14" s="148">
        <f>'Spółka JSW'!E93</f>
        <v>-2049400</v>
      </c>
      <c r="F14" s="249">
        <f>E14/E13</f>
        <v>0.88081832638500879</v>
      </c>
      <c r="G14" s="148">
        <f>'Spółka JSW'!D93</f>
        <v>-2065800</v>
      </c>
      <c r="H14" s="249">
        <f>G14/G13</f>
        <v>0.99753730262204843</v>
      </c>
      <c r="I14" s="148">
        <f>'Spółka JSW'!C93</f>
        <v>-1606200</v>
      </c>
      <c r="J14" s="249">
        <f>I14/I13</f>
        <v>0.98751921303412238</v>
      </c>
      <c r="K14" s="148">
        <f>'Spółka JSW'!B93</f>
        <v>-2290900</v>
      </c>
      <c r="L14" s="160">
        <f t="shared" si="0"/>
        <v>-0.62779984114376486</v>
      </c>
      <c r="M14" s="160">
        <f t="shared" si="1"/>
        <v>-8.0023421489216363E-3</v>
      </c>
      <c r="N14" s="160">
        <f t="shared" si="2"/>
        <v>0.22248039500435668</v>
      </c>
      <c r="O14" s="160">
        <f t="shared" si="3"/>
        <v>-0.42628564313286016</v>
      </c>
    </row>
    <row r="15" spans="1:15" ht="15.6">
      <c r="A15" s="284"/>
      <c r="B15" s="143" t="s">
        <v>173</v>
      </c>
      <c r="C15" s="152">
        <f>'Spółka JSW'!F94+'Spółka JSW'!F96</f>
        <v>-362000</v>
      </c>
      <c r="D15" s="257">
        <f>C15/C13</f>
        <v>0.22331893892658852</v>
      </c>
      <c r="E15" s="152">
        <f>'Spółka JSW'!E94+'Spółka JSW'!E96</f>
        <v>-277300</v>
      </c>
      <c r="F15" s="257">
        <f>E15/E13</f>
        <v>0.11918167361499118</v>
      </c>
      <c r="G15" s="152">
        <f>'Spółka JSW'!D94+'Spółka JSW'!D96</f>
        <v>-5100</v>
      </c>
      <c r="H15" s="257">
        <f>G15/G13</f>
        <v>2.4626973779516151E-3</v>
      </c>
      <c r="I15" s="152">
        <f>'Spółka JSW'!C94+'Spółka JSW'!C96</f>
        <v>-20300</v>
      </c>
      <c r="J15" s="257">
        <f>I15/I13</f>
        <v>1.2480786965877651E-2</v>
      </c>
      <c r="K15" s="152">
        <f>'Spółka JSW'!B94+'Spółka JSW'!B96</f>
        <v>-34000</v>
      </c>
      <c r="L15" s="160">
        <f t="shared" si="0"/>
        <v>0.23397790055248618</v>
      </c>
      <c r="M15" s="160">
        <f t="shared" si="1"/>
        <v>0.98160836639019111</v>
      </c>
      <c r="N15" s="160">
        <f t="shared" si="2"/>
        <v>-2.9803921568627452</v>
      </c>
      <c r="O15" s="160">
        <f t="shared" si="3"/>
        <v>-0.67487684729064035</v>
      </c>
    </row>
    <row r="16" spans="1:15" s="154" customFormat="1" ht="43.5" customHeight="1">
      <c r="A16" s="285" t="s">
        <v>37</v>
      </c>
      <c r="B16" s="150" t="s">
        <v>11</v>
      </c>
      <c r="C16" s="155">
        <f>'Spółka JSW'!F98</f>
        <v>-755000</v>
      </c>
      <c r="D16" s="260">
        <v>1</v>
      </c>
      <c r="E16" s="155">
        <f>'Spółka JSW'!E98</f>
        <v>-180300</v>
      </c>
      <c r="F16" s="260">
        <v>1</v>
      </c>
      <c r="G16" s="155">
        <f>'Spółka JSW'!D98</f>
        <v>1441200</v>
      </c>
      <c r="H16" s="260">
        <v>1</v>
      </c>
      <c r="I16" s="155">
        <f>'Spółka JSW'!C98</f>
        <v>-338100</v>
      </c>
      <c r="J16" s="260">
        <v>1</v>
      </c>
      <c r="K16" s="155">
        <f>'Spółka JSW'!B98</f>
        <v>-818700</v>
      </c>
      <c r="L16" s="160">
        <f t="shared" si="0"/>
        <v>0.76119205298013248</v>
      </c>
      <c r="M16" s="160">
        <f t="shared" si="1"/>
        <v>8.9933444259567388</v>
      </c>
      <c r="N16" s="160">
        <f t="shared" si="2"/>
        <v>-1.2345961698584513</v>
      </c>
      <c r="O16" s="160">
        <f t="shared" si="3"/>
        <v>-1.4214729370008874</v>
      </c>
    </row>
    <row r="17" spans="1:15" ht="15.6">
      <c r="A17" s="286"/>
      <c r="B17" s="153" t="s">
        <v>171</v>
      </c>
      <c r="C17" s="152">
        <f>C18+'Spółka JSW'!F99</f>
        <v>120000</v>
      </c>
      <c r="D17" s="257">
        <f>C17/C16</f>
        <v>-0.15894039735099338</v>
      </c>
      <c r="E17" s="152">
        <f>E18</f>
        <v>328700</v>
      </c>
      <c r="F17" s="257">
        <f>E17/E16+'Spółka JSW'!E99</f>
        <v>-1.8230726566833055</v>
      </c>
      <c r="G17" s="152">
        <f>G18</f>
        <v>1698200</v>
      </c>
      <c r="H17" s="257">
        <f>G17/G16</f>
        <v>1.178323619206217</v>
      </c>
      <c r="I17" s="152">
        <f>I18</f>
        <v>114600</v>
      </c>
      <c r="J17" s="257">
        <f>I17/I16</f>
        <v>-0.33895297249334516</v>
      </c>
      <c r="K17" s="152">
        <f>K18+20000</f>
        <v>176100</v>
      </c>
      <c r="L17" s="160">
        <f t="shared" si="0"/>
        <v>1.7391666666666667</v>
      </c>
      <c r="M17" s="160">
        <f t="shared" si="1"/>
        <v>4.1664131426832975</v>
      </c>
      <c r="N17" s="160">
        <f t="shared" si="2"/>
        <v>-0.93251678247556236</v>
      </c>
      <c r="O17" s="160">
        <f t="shared" si="3"/>
        <v>0.53664921465968585</v>
      </c>
    </row>
    <row r="18" spans="1:15" ht="15.6">
      <c r="A18" s="286"/>
      <c r="B18" s="143" t="s">
        <v>177</v>
      </c>
      <c r="C18" s="151">
        <f>'Spółka JSW'!F100</f>
        <v>0</v>
      </c>
      <c r="D18" s="263">
        <v>0</v>
      </c>
      <c r="E18" s="142">
        <f>'Spółka JSW'!E100</f>
        <v>328700</v>
      </c>
      <c r="F18" s="263">
        <f>E18/E17</f>
        <v>1</v>
      </c>
      <c r="G18" s="142">
        <f>'Spółka JSW'!D100</f>
        <v>1698200</v>
      </c>
      <c r="H18" s="263">
        <f>G18/G17</f>
        <v>1</v>
      </c>
      <c r="I18" s="142">
        <f>'Spółka JSW'!C100</f>
        <v>114600</v>
      </c>
      <c r="J18" s="263">
        <f>I18/I17</f>
        <v>1</v>
      </c>
      <c r="K18" s="142">
        <f>'Spółka JSW'!B100</f>
        <v>156100</v>
      </c>
      <c r="L18" s="160" t="e">
        <f t="shared" si="0"/>
        <v>#DIV/0!</v>
      </c>
      <c r="M18" s="160">
        <f t="shared" si="1"/>
        <v>4.1664131426832975</v>
      </c>
      <c r="N18" s="160">
        <f t="shared" si="2"/>
        <v>-0.93251678247556236</v>
      </c>
      <c r="O18" s="160">
        <f t="shared" si="3"/>
        <v>0.36212914485165792</v>
      </c>
    </row>
    <row r="19" spans="1:15" ht="15.6">
      <c r="A19" s="286"/>
      <c r="B19" s="150" t="s">
        <v>174</v>
      </c>
      <c r="C19" s="147">
        <f>SUM(C20:C22)</f>
        <v>-861000</v>
      </c>
      <c r="D19" s="258">
        <f>C19/C16</f>
        <v>1.1403973509933776</v>
      </c>
      <c r="E19" s="147">
        <f>SUM(E20:E22)</f>
        <v>-508600</v>
      </c>
      <c r="F19" s="258">
        <f>E19/E16</f>
        <v>2.8208541320022187</v>
      </c>
      <c r="G19" s="147">
        <f>SUM(G20:G22)</f>
        <v>-257000</v>
      </c>
      <c r="H19" s="258">
        <f>G19/G16</f>
        <v>-0.17832361920621703</v>
      </c>
      <c r="I19" s="147">
        <f>SUM(I20:I22)</f>
        <v>-398900</v>
      </c>
      <c r="J19" s="258">
        <f>I19/I16</f>
        <v>1.1798284531203787</v>
      </c>
      <c r="K19" s="147">
        <f>SUM(K20:K22)</f>
        <v>-932300</v>
      </c>
      <c r="L19" s="160">
        <f t="shared" si="0"/>
        <v>0.40929152148664344</v>
      </c>
      <c r="M19" s="160">
        <f t="shared" si="1"/>
        <v>0.49469130947699569</v>
      </c>
      <c r="N19" s="160">
        <f t="shared" si="2"/>
        <v>-0.55214007782101171</v>
      </c>
      <c r="O19" s="160">
        <f t="shared" si="3"/>
        <v>-1.3371772374028579</v>
      </c>
    </row>
    <row r="20" spans="1:15" ht="15.6">
      <c r="A20" s="286"/>
      <c r="B20" s="146" t="s">
        <v>179</v>
      </c>
      <c r="C20" s="149">
        <f>'Spółka JSW'!F101</f>
        <v>-52000</v>
      </c>
      <c r="D20" s="249">
        <f>C20/C19</f>
        <v>6.039488966318235E-2</v>
      </c>
      <c r="E20" s="148">
        <f>'Spółka JSW'!E101</f>
        <v>-37200</v>
      </c>
      <c r="F20" s="249">
        <f>E20/$E$19</f>
        <v>7.3141958316948488E-2</v>
      </c>
      <c r="G20" s="148">
        <f>'Spółka JSW'!D101</f>
        <v>-45100</v>
      </c>
      <c r="H20" s="249">
        <f>G20/G19</f>
        <v>0.17548638132295719</v>
      </c>
      <c r="I20" s="148">
        <f>'Spółka JSW'!C101</f>
        <v>-205400</v>
      </c>
      <c r="J20" s="249">
        <f>I20/I19</f>
        <v>0.51491601905239404</v>
      </c>
      <c r="K20" s="148">
        <f>'Spółka JSW'!B101</f>
        <v>-732000</v>
      </c>
      <c r="L20" s="160">
        <f t="shared" si="0"/>
        <v>0.2846153846153846</v>
      </c>
      <c r="M20" s="160">
        <f t="shared" si="1"/>
        <v>-0.21236559139784947</v>
      </c>
      <c r="N20" s="160">
        <f t="shared" si="2"/>
        <v>-3.5543237250554323</v>
      </c>
      <c r="O20" s="160">
        <f t="shared" si="3"/>
        <v>-2.563777994157741</v>
      </c>
    </row>
    <row r="21" spans="1:15" ht="15.6">
      <c r="A21" s="286"/>
      <c r="B21" s="146" t="s">
        <v>168</v>
      </c>
      <c r="C21" s="248">
        <f>'Spółka JSW'!F103</f>
        <v>0</v>
      </c>
      <c r="D21" s="258">
        <f>C21/C19</f>
        <v>0</v>
      </c>
      <c r="E21" s="147">
        <f>'Spółka JSW'!E103</f>
        <v>-200800</v>
      </c>
      <c r="F21" s="249">
        <f t="shared" ref="F21:F22" si="5">E21/$E$19</f>
        <v>0.3948092803775069</v>
      </c>
      <c r="G21" s="248">
        <f>'Spółka JSW'!D103</f>
        <v>0</v>
      </c>
      <c r="H21" s="258">
        <f>G21/G19</f>
        <v>0</v>
      </c>
      <c r="I21" s="248">
        <f>'Spółka JSW'!C103</f>
        <v>0</v>
      </c>
      <c r="J21" s="258">
        <f>I21/I19</f>
        <v>0</v>
      </c>
      <c r="K21" s="248">
        <f>'Spółka JSW'!B103</f>
        <v>0</v>
      </c>
      <c r="L21" s="160" t="e">
        <f t="shared" si="0"/>
        <v>#DIV/0!</v>
      </c>
      <c r="M21" s="160">
        <f t="shared" si="1"/>
        <v>1</v>
      </c>
      <c r="N21" s="160" t="e">
        <f t="shared" si="2"/>
        <v>#DIV/0!</v>
      </c>
      <c r="O21" s="160" t="e">
        <f t="shared" si="3"/>
        <v>#DIV/0!</v>
      </c>
    </row>
    <row r="22" spans="1:15" ht="15.6">
      <c r="A22" s="287"/>
      <c r="B22" s="143" t="s">
        <v>178</v>
      </c>
      <c r="C22" s="142">
        <f>'Spółka JSW'!F102+'Spółka JSW'!F104</f>
        <v>-809000</v>
      </c>
      <c r="D22" s="263">
        <f>C22/C19</f>
        <v>0.93960511033681771</v>
      </c>
      <c r="E22" s="165">
        <f>'Spółka JSW'!E102+'Spółka JSW'!E104</f>
        <v>-270600</v>
      </c>
      <c r="F22" s="249">
        <f t="shared" si="5"/>
        <v>0.53204876130554468</v>
      </c>
      <c r="G22" s="142">
        <f>'Spółka JSW'!D102+'Spółka JSW'!D104</f>
        <v>-211900</v>
      </c>
      <c r="H22" s="263">
        <f>G22/G19</f>
        <v>0.82451361867704276</v>
      </c>
      <c r="I22" s="142">
        <f>'Spółka JSW'!C102</f>
        <v>-193500</v>
      </c>
      <c r="J22" s="263">
        <f>I22/I20</f>
        <v>0.94206426484907502</v>
      </c>
      <c r="K22" s="142">
        <f>'Spółka JSW'!B102</f>
        <v>-200300</v>
      </c>
      <c r="L22" s="160">
        <f t="shared" si="0"/>
        <v>0.66551297898640294</v>
      </c>
      <c r="M22" s="160">
        <f t="shared" si="1"/>
        <v>0.21692535107169253</v>
      </c>
      <c r="N22" s="160">
        <f t="shared" si="2"/>
        <v>8.6833411986786221E-2</v>
      </c>
      <c r="O22" s="160">
        <f t="shared" si="3"/>
        <v>-3.5142118863049097E-2</v>
      </c>
    </row>
    <row r="23" spans="1:15" ht="15.6">
      <c r="A23" s="144" t="s">
        <v>38</v>
      </c>
      <c r="B23" s="146" t="s">
        <v>180</v>
      </c>
      <c r="C23" s="147">
        <f t="shared" ref="C23:K23" si="6">SUM(C3+C9+C16)</f>
        <v>482000</v>
      </c>
      <c r="D23" s="258"/>
      <c r="E23" s="147">
        <f t="shared" si="6"/>
        <v>-1300500</v>
      </c>
      <c r="F23" s="258"/>
      <c r="G23" s="147">
        <f t="shared" si="6"/>
        <v>1246600</v>
      </c>
      <c r="H23" s="258"/>
      <c r="I23" s="147">
        <f t="shared" si="6"/>
        <v>-297100</v>
      </c>
      <c r="J23" s="258"/>
      <c r="K23" s="147">
        <f t="shared" si="6"/>
        <v>3538000</v>
      </c>
      <c r="L23" s="160">
        <f t="shared" si="0"/>
        <v>-3.6981327800829877</v>
      </c>
      <c r="M23" s="160">
        <f t="shared" si="1"/>
        <v>1.9585544021530181</v>
      </c>
      <c r="N23" s="160">
        <f t="shared" si="2"/>
        <v>-1.2383282528477459</v>
      </c>
      <c r="O23" s="160">
        <f t="shared" si="3"/>
        <v>12.908448333894311</v>
      </c>
    </row>
    <row r="24" spans="1:15" ht="15.6">
      <c r="A24" s="144" t="s">
        <v>39</v>
      </c>
      <c r="B24" s="146" t="s">
        <v>181</v>
      </c>
      <c r="C24" s="142">
        <f>C26-C25</f>
        <v>481000</v>
      </c>
      <c r="D24" s="263"/>
      <c r="E24" s="142">
        <f>E26-E25</f>
        <v>-1300500</v>
      </c>
      <c r="F24" s="263"/>
      <c r="G24" s="142">
        <f>G26-G25</f>
        <v>1247000</v>
      </c>
      <c r="H24" s="263"/>
      <c r="I24" s="142">
        <f>I26-I25</f>
        <v>-297500</v>
      </c>
      <c r="J24" s="263"/>
      <c r="K24" s="142">
        <f>K26-K25</f>
        <v>3538100</v>
      </c>
      <c r="L24" s="160">
        <f t="shared" si="0"/>
        <v>-3.7037422037422036</v>
      </c>
      <c r="M24" s="160">
        <f t="shared" si="1"/>
        <v>1.9588619761630142</v>
      </c>
      <c r="N24" s="160">
        <f t="shared" si="2"/>
        <v>-1.2385725741780274</v>
      </c>
      <c r="O24" s="160">
        <f t="shared" si="3"/>
        <v>12.892773109243697</v>
      </c>
    </row>
    <row r="25" spans="1:15" ht="15.6">
      <c r="A25" s="144" t="s">
        <v>102</v>
      </c>
      <c r="B25" s="143" t="s">
        <v>12</v>
      </c>
      <c r="C25" s="145">
        <f>'Spółka JSW'!F106</f>
        <v>1169000</v>
      </c>
      <c r="D25" s="258"/>
      <c r="E25" s="145">
        <f>'Spółka JSW'!E106</f>
        <v>1650800</v>
      </c>
      <c r="F25" s="258"/>
      <c r="G25" s="145">
        <f>'Spółka JSW'!D106</f>
        <v>350300</v>
      </c>
      <c r="H25" s="258"/>
      <c r="I25" s="145">
        <f>'Spółka JSW'!C106</f>
        <v>1597300</v>
      </c>
      <c r="J25" s="258"/>
      <c r="K25" s="145">
        <f>'Spółka JSW'!B106</f>
        <v>1299800</v>
      </c>
      <c r="L25" s="160">
        <f t="shared" si="0"/>
        <v>0.4121471343028229</v>
      </c>
      <c r="M25" s="160">
        <f t="shared" si="1"/>
        <v>-0.78779985461594382</v>
      </c>
      <c r="N25" s="160">
        <f t="shared" si="2"/>
        <v>3.5598058806737081</v>
      </c>
      <c r="O25" s="160">
        <f t="shared" si="3"/>
        <v>-0.18625179991235211</v>
      </c>
    </row>
    <row r="26" spans="1:15" ht="15.6">
      <c r="A26" s="144" t="s">
        <v>103</v>
      </c>
      <c r="B26" s="143" t="s">
        <v>13</v>
      </c>
      <c r="C26" s="142">
        <f>'Spółka JSW'!F108</f>
        <v>1650000</v>
      </c>
      <c r="D26" s="263"/>
      <c r="E26" s="142">
        <f>'Spółka JSW'!E108</f>
        <v>350300</v>
      </c>
      <c r="F26" s="263"/>
      <c r="G26" s="142">
        <f>'Spółka JSW'!D108</f>
        <v>1597300</v>
      </c>
      <c r="H26" s="263"/>
      <c r="I26" s="142">
        <f>'Spółka JSW'!C108</f>
        <v>1299800</v>
      </c>
      <c r="J26" s="263"/>
      <c r="K26" s="142">
        <f>'Spółka JSW'!B108</f>
        <v>4837900</v>
      </c>
      <c r="L26" s="160">
        <f t="shared" si="0"/>
        <v>-0.78769696969696967</v>
      </c>
      <c r="M26" s="160">
        <f t="shared" si="1"/>
        <v>3.5598058806737081</v>
      </c>
      <c r="N26" s="160">
        <f t="shared" si="2"/>
        <v>-0.18625179991235211</v>
      </c>
      <c r="O26" s="160">
        <f t="shared" si="3"/>
        <v>2.7220341591014003</v>
      </c>
    </row>
  </sheetData>
  <mergeCells count="5">
    <mergeCell ref="L1:O1"/>
    <mergeCell ref="B1:K1"/>
    <mergeCell ref="A3:A8"/>
    <mergeCell ref="A9:A15"/>
    <mergeCell ref="A16:A22"/>
  </mergeCells>
  <pageMargins left="0.7" right="0.7" top="0.75" bottom="0.75" header="0.3" footer="0.3"/>
  <pageSetup paperSize="9" orientation="portrait" horizontalDpi="0" verticalDpi="0"/>
  <ignoredErrors>
    <ignoredError sqref="C5" formulaRange="1"/>
    <ignoredError sqref="D5 E4:E5 G4 F5 I4 H5 H6:H21 E11:E15 I6:I8 G6:G8 E6:E8 D9:G10 D6:D8 F6:F8 J6:O8 D22:O26 D11:D15 F11:G15 I9:O10 D16:G21 I16:O20 I11:O15 J4:O4 J5 L5:O5 I21:K21 M21:O21" formula="1"/>
    <ignoredError sqref="G5 I5 K5" formula="1" formulaRange="1"/>
    <ignoredError sqref="L21" evalError="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28282"/>
  </sheetPr>
  <dimension ref="A1:AJ30"/>
  <sheetViews>
    <sheetView zoomScale="75" zoomScaleNormal="75" workbookViewId="0">
      <selection activeCell="O5" sqref="O5:T5"/>
    </sheetView>
  </sheetViews>
  <sheetFormatPr defaultColWidth="8.77734375" defaultRowHeight="14.4"/>
  <cols>
    <col min="1" max="1" width="59" customWidth="1"/>
    <col min="2" max="6" width="9.77734375" bestFit="1" customWidth="1"/>
    <col min="8" max="8" width="61.77734375" customWidth="1"/>
    <col min="9" max="10" width="11" bestFit="1" customWidth="1"/>
    <col min="11" max="11" width="12.109375" bestFit="1" customWidth="1"/>
    <col min="12" max="13" width="11" bestFit="1" customWidth="1"/>
    <col min="15" max="15" width="68.109375" customWidth="1"/>
    <col min="16" max="20" width="9" bestFit="1" customWidth="1"/>
    <col min="22" max="22" width="75.109375" customWidth="1"/>
    <col min="23" max="25" width="9" bestFit="1" customWidth="1"/>
    <col min="29" max="29" width="10.44140625" customWidth="1"/>
  </cols>
  <sheetData>
    <row r="1" spans="1:36">
      <c r="A1" s="28"/>
      <c r="H1" s="166"/>
      <c r="O1" s="166"/>
    </row>
    <row r="2" spans="1:36" ht="24.6">
      <c r="H2" s="166"/>
      <c r="O2" s="170"/>
    </row>
    <row r="3" spans="1:36">
      <c r="H3" s="166"/>
      <c r="O3" s="166"/>
      <c r="AC3" s="2"/>
      <c r="AD3" s="2"/>
      <c r="AE3" s="2"/>
      <c r="AF3" s="2"/>
      <c r="AG3" s="2"/>
      <c r="AH3" s="2"/>
      <c r="AI3" s="2"/>
      <c r="AJ3" s="2"/>
    </row>
    <row r="4" spans="1:36" ht="15" thickBot="1">
      <c r="AC4" s="2"/>
      <c r="AD4" s="2"/>
      <c r="AE4" s="2"/>
      <c r="AF4" s="2"/>
      <c r="AG4" s="2"/>
      <c r="AH4" s="2"/>
      <c r="AI4" s="2"/>
      <c r="AJ4" s="2"/>
    </row>
    <row r="5" spans="1:36" ht="16.2" thickBot="1">
      <c r="A5" s="29" t="s">
        <v>44</v>
      </c>
      <c r="B5" s="105">
        <v>2018</v>
      </c>
      <c r="C5" s="109">
        <v>2019</v>
      </c>
      <c r="D5" s="110">
        <v>2020</v>
      </c>
      <c r="E5" s="111">
        <v>2021</v>
      </c>
      <c r="F5" s="112">
        <v>2022</v>
      </c>
      <c r="H5" s="29" t="s">
        <v>46</v>
      </c>
      <c r="I5" s="105">
        <v>2018</v>
      </c>
      <c r="J5" s="109">
        <v>2019</v>
      </c>
      <c r="K5" s="110">
        <v>2020</v>
      </c>
      <c r="L5" s="111">
        <v>2021</v>
      </c>
      <c r="M5" s="112">
        <v>2022</v>
      </c>
      <c r="O5" s="29" t="s">
        <v>45</v>
      </c>
      <c r="P5" s="105">
        <v>2018</v>
      </c>
      <c r="Q5" s="109">
        <v>2019</v>
      </c>
      <c r="R5" s="110">
        <v>2020</v>
      </c>
      <c r="S5" s="111">
        <v>2021</v>
      </c>
      <c r="T5" s="112">
        <v>2022</v>
      </c>
      <c r="AC5" s="47"/>
      <c r="AD5" s="37"/>
      <c r="AE5" s="37"/>
      <c r="AF5" s="37"/>
      <c r="AG5" s="37"/>
      <c r="AH5" s="37"/>
      <c r="AI5" s="2"/>
      <c r="AJ5" s="2"/>
    </row>
    <row r="6" spans="1:36" ht="16.2" thickBot="1">
      <c r="A6" s="108" t="s">
        <v>307</v>
      </c>
      <c r="B6" s="167">
        <v>0.77</v>
      </c>
      <c r="C6" s="168">
        <v>0.64</v>
      </c>
      <c r="D6" s="169">
        <v>0.7</v>
      </c>
      <c r="E6" s="168">
        <v>0.84</v>
      </c>
      <c r="F6" s="167">
        <v>0.89</v>
      </c>
      <c r="H6" s="108" t="s">
        <v>307</v>
      </c>
      <c r="I6" s="167">
        <f>'Spółka JSW'!F166/'Spółka JSW'!F35*100</f>
        <v>-1.1916872547594826</v>
      </c>
      <c r="J6" s="188">
        <f>'Spółka JSW'!E166/'Spółka JSW'!E35*100</f>
        <v>-0.88969878872333585</v>
      </c>
      <c r="K6" s="189">
        <f>'Spółka JSW'!D166/'Spółka JSW'!D35*100</f>
        <v>-1.2500914782215302</v>
      </c>
      <c r="L6" s="188">
        <f>'Spółka JSW'!C166/'Spółka JSW'!C35*100</f>
        <v>0.26563420165645479</v>
      </c>
      <c r="M6" s="167">
        <f>'Spółka JSW'!B166/'Spółka JSW'!B35*100</f>
        <v>0.43986040180839742</v>
      </c>
      <c r="O6" s="108" t="s">
        <v>307</v>
      </c>
      <c r="P6" s="167">
        <f>'Spółka JSW'!F50/'Spółka JSW'!F72</f>
        <v>0.31613793103448273</v>
      </c>
      <c r="Q6" s="188">
        <f>'Spółka JSW'!E50/'Spółka JSW'!E72</f>
        <v>0.24787498926762255</v>
      </c>
      <c r="R6" s="189">
        <f>'Spółka JSW'!D50/'Spółka JSW'!D72</f>
        <v>0.25092869312627436</v>
      </c>
      <c r="S6" s="188">
        <f>'Spółka JSW'!C50/'Spółka JSW'!C72</f>
        <v>0.47355294606671516</v>
      </c>
      <c r="T6" s="167">
        <f>'Spółka JSW'!B50/'Spółka JSW'!B72</f>
        <v>0.2518199568123925</v>
      </c>
      <c r="AC6" s="38"/>
      <c r="AD6" s="48"/>
      <c r="AE6" s="48"/>
      <c r="AF6" s="48"/>
      <c r="AG6" s="48"/>
      <c r="AH6" s="48"/>
      <c r="AI6" s="2"/>
      <c r="AJ6" s="2"/>
    </row>
    <row r="7" spans="1:36" ht="16.2" thickBot="1">
      <c r="A7" s="108" t="s">
        <v>305</v>
      </c>
      <c r="B7" s="167">
        <v>0.86</v>
      </c>
      <c r="C7" s="168">
        <v>1.71</v>
      </c>
      <c r="D7" s="169">
        <v>1.44</v>
      </c>
      <c r="E7" s="168">
        <v>1.8</v>
      </c>
      <c r="F7" s="167">
        <v>1.65</v>
      </c>
      <c r="H7" s="108" t="s">
        <v>305</v>
      </c>
      <c r="I7" s="167">
        <f>'Bogdanka S.A.'!F170/'Bogdanka S.A.'!F38*100</f>
        <v>0.57777706591656841</v>
      </c>
      <c r="J7" s="188">
        <f>'Bogdanka S.A.'!E170/'Bogdanka S.A.'!E38*100</f>
        <v>8.666081594106382</v>
      </c>
      <c r="K7" s="189">
        <f>'Bogdanka S.A.'!D170/'Bogdanka S.A.'!D38*100</f>
        <v>5.7352438013440565</v>
      </c>
      <c r="L7" s="188">
        <f>'Bogdanka S.A.'!C170/'Bogdanka S.A.'!C38*100</f>
        <v>10.84830341868345</v>
      </c>
      <c r="M7" s="167">
        <f>'Bogdanka S.A.'!B170/'Bogdanka S.A.'!B38*100</f>
        <v>10.148444323988022</v>
      </c>
      <c r="O7" s="108" t="s">
        <v>305</v>
      </c>
      <c r="P7" s="167">
        <f>'Bogdanka S.A.'!F52/'Bogdanka S.A.'!F73</f>
        <v>0.48183875220175337</v>
      </c>
      <c r="Q7" s="188">
        <f>'Bogdanka S.A.'!E52/'Bogdanka S.A.'!E73</f>
        <v>0.68338313350901481</v>
      </c>
      <c r="R7" s="189">
        <f>'Bogdanka S.A.'!D52/'Bogdanka S.A.'!D73</f>
        <v>0.7730155999400643</v>
      </c>
      <c r="S7" s="188">
        <f>'Bogdanka S.A.'!C52/'Bogdanka S.A.'!C73</f>
        <v>0.63177853989339006</v>
      </c>
      <c r="T7" s="167">
        <f>'Bogdanka S.A.'!B52/'Bogdanka S.A.'!B73</f>
        <v>0.45342274527615067</v>
      </c>
      <c r="AC7" s="38"/>
      <c r="AD7" s="48"/>
      <c r="AE7" s="48"/>
      <c r="AF7" s="48"/>
      <c r="AG7" s="48"/>
      <c r="AH7" s="48"/>
      <c r="AI7" s="2"/>
      <c r="AJ7" s="2"/>
    </row>
    <row r="8" spans="1:36" ht="16.2" thickBot="1">
      <c r="A8" s="108" t="s">
        <v>306</v>
      </c>
      <c r="B8" s="167">
        <v>0.73</v>
      </c>
      <c r="C8" s="168">
        <v>0.49</v>
      </c>
      <c r="D8" s="169">
        <v>0.41</v>
      </c>
      <c r="E8" s="168">
        <v>0.57999999999999996</v>
      </c>
      <c r="F8" s="167">
        <v>0.94</v>
      </c>
      <c r="H8" s="108" t="s">
        <v>306</v>
      </c>
      <c r="I8" s="167">
        <f>-1024466/62613651*100</f>
        <v>-1.636170361635676</v>
      </c>
      <c r="J8" s="168">
        <f>-3366489/59399329*100</f>
        <v>-5.6675539213582695</v>
      </c>
      <c r="K8" s="169">
        <f>-8195337/61553025*100</f>
        <v>-13.314271719383411</v>
      </c>
      <c r="L8" s="168">
        <f>-11292270/70964415*100</f>
        <v>-15.912580974563095</v>
      </c>
      <c r="M8" s="167">
        <f>698724/33510213*100</f>
        <v>2.0851076058513862</v>
      </c>
      <c r="O8" s="108" t="s">
        <v>55</v>
      </c>
      <c r="P8" s="167">
        <v>0.3</v>
      </c>
      <c r="Q8" s="168">
        <v>0.27</v>
      </c>
      <c r="R8" s="194">
        <v>0.26</v>
      </c>
      <c r="S8" s="168">
        <f>0.27</f>
        <v>0.27</v>
      </c>
      <c r="T8" s="167">
        <v>0.27</v>
      </c>
      <c r="AC8" s="2"/>
      <c r="AD8" s="2"/>
      <c r="AE8" s="2"/>
      <c r="AF8" s="2"/>
      <c r="AG8" s="2"/>
      <c r="AH8" s="2"/>
      <c r="AI8" s="2"/>
      <c r="AJ8" s="2"/>
    </row>
    <row r="9" spans="1:36">
      <c r="AC9" s="2"/>
      <c r="AD9" s="2"/>
      <c r="AE9" s="2"/>
      <c r="AF9" s="2"/>
      <c r="AG9" s="2"/>
      <c r="AH9" s="2"/>
      <c r="AI9" s="2"/>
      <c r="AJ9" s="2"/>
    </row>
    <row r="10" spans="1:36">
      <c r="AC10" s="2"/>
      <c r="AD10" s="2"/>
      <c r="AE10" s="2"/>
      <c r="AF10" s="2"/>
      <c r="AG10" s="2"/>
      <c r="AH10" s="2"/>
      <c r="AI10" s="2"/>
      <c r="AJ10" s="2"/>
    </row>
    <row r="11" spans="1:36">
      <c r="AC11" s="2"/>
      <c r="AD11" s="2"/>
      <c r="AE11" s="2"/>
      <c r="AF11" s="2"/>
      <c r="AG11" s="2"/>
      <c r="AH11" s="2"/>
      <c r="AI11" s="2"/>
      <c r="AJ11" s="2"/>
    </row>
    <row r="12" spans="1:36">
      <c r="AC12" s="2"/>
      <c r="AD12" s="2"/>
      <c r="AE12" s="2"/>
      <c r="AF12" s="2"/>
      <c r="AG12" s="2"/>
      <c r="AH12" s="2"/>
      <c r="AI12" s="2"/>
      <c r="AJ12" s="2"/>
    </row>
    <row r="29" spans="1:15">
      <c r="O29" s="184" t="s">
        <v>487</v>
      </c>
    </row>
    <row r="30" spans="1:15">
      <c r="A30" s="184" t="s">
        <v>429</v>
      </c>
    </row>
  </sheetData>
  <hyperlinks>
    <hyperlink ref="A30" r:id="rId1" xr:uid="{90559180-1983-1142-94B3-062A5556A1BA}"/>
    <hyperlink ref="O29" r:id="rId2" xr:uid="{283C88B1-F1C6-4941-9538-18641530E8BC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8"/>
  <sheetViews>
    <sheetView zoomScale="88" zoomScaleNormal="79" workbookViewId="0">
      <selection activeCell="B21" sqref="B21"/>
    </sheetView>
  </sheetViews>
  <sheetFormatPr defaultColWidth="8.77734375" defaultRowHeight="14.4"/>
  <cols>
    <col min="1" max="1" width="51.109375" customWidth="1"/>
    <col min="2" max="2" width="9" bestFit="1" customWidth="1"/>
    <col min="3" max="3" width="8.6640625" customWidth="1"/>
    <col min="4" max="4" width="9" bestFit="1" customWidth="1"/>
    <col min="5" max="5" width="9.77734375" bestFit="1" customWidth="1"/>
    <col min="6" max="6" width="8.77734375" customWidth="1"/>
    <col min="8" max="8" width="61.109375" bestFit="1" customWidth="1"/>
    <col min="9" max="9" width="12.33203125" bestFit="1" customWidth="1"/>
    <col min="10" max="13" width="13.6640625" bestFit="1" customWidth="1"/>
  </cols>
  <sheetData>
    <row r="1" spans="1:13">
      <c r="A1" s="28"/>
    </row>
    <row r="2" spans="1:13">
      <c r="A2" s="166"/>
      <c r="B2" s="1"/>
    </row>
    <row r="3" spans="1:13">
      <c r="A3" s="166"/>
      <c r="C3" s="28"/>
    </row>
    <row r="4" spans="1:13" ht="15" thickBot="1">
      <c r="A4" s="184" t="s">
        <v>428</v>
      </c>
    </row>
    <row r="5" spans="1:13" ht="16.2" thickBot="1">
      <c r="A5" s="29" t="s">
        <v>47</v>
      </c>
      <c r="B5" s="105">
        <v>2018</v>
      </c>
      <c r="C5" s="109">
        <v>2019</v>
      </c>
      <c r="D5" s="110">
        <v>2020</v>
      </c>
      <c r="E5" s="111">
        <v>2021</v>
      </c>
      <c r="F5" s="112">
        <v>2022</v>
      </c>
      <c r="H5" s="29" t="s">
        <v>52</v>
      </c>
      <c r="I5" s="105">
        <v>2018</v>
      </c>
      <c r="J5" s="109">
        <v>2019</v>
      </c>
      <c r="K5" s="110">
        <v>2020</v>
      </c>
      <c r="L5" s="111">
        <v>2021</v>
      </c>
      <c r="M5" s="112">
        <v>2022</v>
      </c>
    </row>
    <row r="6" spans="1:13" ht="16.2" thickBot="1">
      <c r="A6" s="108" t="s">
        <v>308</v>
      </c>
      <c r="B6" s="167">
        <f>'Spółka JSW'!F50/'Spółka JSW'!F17*365</f>
        <v>42.643490671831991</v>
      </c>
      <c r="C6" s="188">
        <f>'Spółka JSW'!E50/'Spółka JSW'!E17*365</f>
        <v>36.454542309555109</v>
      </c>
      <c r="D6" s="189">
        <f>'Spółka JSW'!D50/'Spółka JSW'!D17*366</f>
        <v>47.40692041522491</v>
      </c>
      <c r="E6" s="188">
        <f>'Spółka JSW'!C50/'Spółka JSW'!C17*365</f>
        <v>62.5943871070928</v>
      </c>
      <c r="F6" s="167">
        <f>'Spółka JSW'!B50/'Spółka JSW'!B17*365</f>
        <v>35.192588558556331</v>
      </c>
      <c r="H6" s="108" t="s">
        <v>307</v>
      </c>
      <c r="I6" s="167">
        <f>'Spółka JSW'!F85/'Spółka JSW'!F17*100</f>
        <v>28.72871852380467</v>
      </c>
      <c r="J6" s="168">
        <f>'Spółka JSW'!E85/'Spółka JSW'!E17*100</f>
        <v>13.149519130976268</v>
      </c>
      <c r="K6" s="169">
        <f>'Spółka JSW'!D85/'Spółka JSW'!D17*100</f>
        <v>5.1138985005767008</v>
      </c>
      <c r="L6" s="168">
        <f>'Spółka JSW'!C85/'Spółka JSW'!C17*100</f>
        <v>15.628792654128759</v>
      </c>
      <c r="M6" s="167">
        <f>'Spółka JSW'!B85/'Spółka JSW'!B17*100</f>
        <v>52.923731960294084</v>
      </c>
    </row>
    <row r="7" spans="1:13" ht="16.2" thickBot="1">
      <c r="A7" s="108" t="s">
        <v>305</v>
      </c>
      <c r="B7" s="167">
        <f>('Bogdanka S.A.'!F52/'Bogdanka S.A.'!F17)*365</f>
        <v>44.732198004065644</v>
      </c>
      <c r="C7" s="168">
        <f>'Bogdanka S.A.'!E52/'Bogdanka S.A.'!E17*365</f>
        <v>43.250719114901287</v>
      </c>
      <c r="D7" s="169">
        <f>'Bogdanka S.A.'!D52/'Bogdanka S.A.'!D17*366</f>
        <v>55.95800038636483</v>
      </c>
      <c r="E7" s="168">
        <f>'Bogdanka S.A.'!C52/'Bogdanka S.A.'!C17*365</f>
        <v>50.133010441618026</v>
      </c>
      <c r="F7" s="167">
        <f>'Bogdanka S.A.'!B52/'Bogdanka S.A.'!B17*365</f>
        <v>30.319661950920072</v>
      </c>
      <c r="H7" s="108" t="s">
        <v>305</v>
      </c>
      <c r="I7" s="167">
        <f>'Bogdanka S.A.'!F86/'Bogdanka S.A.'!F17*100</f>
        <v>26.121795145476874</v>
      </c>
      <c r="J7" s="188">
        <f>'Bogdanka S.A.'!E86/'Bogdanka S.A.'!E17*100</f>
        <v>33.411651630943787</v>
      </c>
      <c r="K7" s="189">
        <f>'Bogdanka S.A.'!D86/'Bogdanka S.A.'!D17*100</f>
        <v>26.176217488277342</v>
      </c>
      <c r="L7" s="188">
        <f>'Bogdanka S.A.'!C86/'Bogdanka S.A.'!C17*100</f>
        <v>32.168786478188991</v>
      </c>
      <c r="M7" s="167">
        <f>'Bogdanka S.A.'!B86/'Bogdanka S.A.'!B17*100</f>
        <v>25.466867070601602</v>
      </c>
    </row>
    <row r="8" spans="1:13" ht="16.2" thickBot="1">
      <c r="A8" s="108" t="s">
        <v>55</v>
      </c>
      <c r="B8" s="167">
        <v>31.51</v>
      </c>
      <c r="C8" s="168">
        <v>22.25</v>
      </c>
      <c r="D8" s="169">
        <f>19.72</f>
        <v>19.72</v>
      </c>
      <c r="E8" s="168">
        <v>92.51</v>
      </c>
      <c r="F8" s="167">
        <v>30.84</v>
      </c>
      <c r="H8" s="108" t="s">
        <v>55</v>
      </c>
      <c r="I8" s="167">
        <f>4609433/25991167*100</f>
        <v>17.734613455409679</v>
      </c>
      <c r="J8" s="168">
        <f>-5724224/31535825*100</f>
        <v>-18.15149595737546</v>
      </c>
      <c r="K8" s="169">
        <f>1354166/34185962*100</f>
        <v>3.9611756427974738</v>
      </c>
      <c r="L8" s="168">
        <f>6387194/37365386*100</f>
        <v>17.093879345980799</v>
      </c>
      <c r="M8" s="167">
        <f>1250147/24574828*100</f>
        <v>5.0871037632491261</v>
      </c>
    </row>
    <row r="9" spans="1:13" ht="15" thickBot="1"/>
    <row r="10" spans="1:13" ht="16.2" thickBot="1">
      <c r="A10" s="29" t="s">
        <v>48</v>
      </c>
      <c r="B10" s="250">
        <v>2018</v>
      </c>
      <c r="C10" s="251">
        <v>2019</v>
      </c>
      <c r="D10" s="252">
        <v>2020</v>
      </c>
      <c r="E10" s="253">
        <v>2021</v>
      </c>
      <c r="F10" s="254">
        <v>2022</v>
      </c>
      <c r="H10" s="29" t="s">
        <v>53</v>
      </c>
      <c r="I10" s="105">
        <v>2018</v>
      </c>
      <c r="J10" s="109">
        <v>2019</v>
      </c>
      <c r="K10" s="110">
        <v>2020</v>
      </c>
      <c r="L10" s="111">
        <v>2021</v>
      </c>
      <c r="M10" s="112">
        <v>2022</v>
      </c>
    </row>
    <row r="11" spans="1:13" ht="16.2" thickBot="1">
      <c r="A11" s="108" t="s">
        <v>308</v>
      </c>
      <c r="B11" s="167">
        <f>'Spółka JSW'!F49/'Spółka JSW'!F17*365</f>
        <v>24.410235498012032</v>
      </c>
      <c r="C11" s="168">
        <f>'Spółka JSW'!E49/'Spółka JSW'!E17*365</f>
        <v>47.595885513964809</v>
      </c>
      <c r="D11" s="169">
        <f>'Spółka JSW'!D49/'Spółka JSW'!D17*366</f>
        <v>46.451816608996545</v>
      </c>
      <c r="E11" s="168">
        <f>'Spółka JSW'!C49/'Spółka JSW'!C17*365</f>
        <v>22.406647787677226</v>
      </c>
      <c r="F11" s="167">
        <f>'Spółka JSW'!B49/'Spółka JSW'!B17*365</f>
        <v>17.891749387330741</v>
      </c>
      <c r="H11" s="108" t="s">
        <v>307</v>
      </c>
      <c r="I11" s="167">
        <f>'Spółka JSW'!F85/'Spółka JSW'!F25*100</f>
        <v>125.02218278615793</v>
      </c>
      <c r="J11" s="168">
        <f>'Spółka JSW'!E85/'Spółka JSW'!E25*100</f>
        <v>125.91651943462898</v>
      </c>
      <c r="K11" s="169">
        <f>'Spółka JSW'!D85/'Spółka JSW'!D25*100</f>
        <v>-19.920251600584074</v>
      </c>
      <c r="L11" s="168">
        <f>'Spółka JSW'!C85/'Spółka JSW'!C25*100</f>
        <v>131.59062103929026</v>
      </c>
      <c r="M11" s="167">
        <f>'Spółka JSW'!B85/'Spółka JSW'!B25*100</f>
        <v>114.49595133027719</v>
      </c>
    </row>
    <row r="12" spans="1:13" ht="16.2" thickBot="1">
      <c r="A12" s="108" t="s">
        <v>305</v>
      </c>
      <c r="B12" s="167">
        <f>'Bogdanka S.A.'!F51/'Bogdanka S.A.'!F17*365</f>
        <v>17.325059729454175</v>
      </c>
      <c r="C12" s="168">
        <f>'Spółka JSW'!E51/'Spółka JSW'!E17*365</f>
        <v>36.454542309555109</v>
      </c>
      <c r="D12" s="169">
        <f>'Spółka JSW'!D51/'Spółka JSW'!D17*366</f>
        <v>47.40692041522491</v>
      </c>
      <c r="E12" s="168">
        <f>'Spółka JSW'!C51/'Spółka JSW'!C17*365</f>
        <v>62.5943871070928</v>
      </c>
      <c r="F12" s="167">
        <f>'Bogdanka S.A.'!B51/'Bogdanka S.A.'!B17*365</f>
        <v>29.158731744921411</v>
      </c>
      <c r="H12" s="108" t="s">
        <v>305</v>
      </c>
      <c r="I12" s="167">
        <f>'Bogdanka S.A.'!F86/'Bogdanka S.A.'!F26*100</f>
        <v>739.79718509681277</v>
      </c>
      <c r="J12" s="188">
        <f>'Bogdanka S.A.'!E86/'Bogdanka S.A.'!E26*100</f>
        <v>192.14678243812997</v>
      </c>
      <c r="K12" s="189">
        <f>'Bogdanka S.A.'!D86/'Bogdanka S.A.'!D26*100</f>
        <v>500.79272582186246</v>
      </c>
      <c r="L12" s="188">
        <f>'Bogdanka S.A.'!C86/'Bogdanka S.A.'!C26*100</f>
        <v>207.96514702915502</v>
      </c>
      <c r="M12" s="167">
        <f>'Bogdanka S.A.'!B86/'Bogdanka S.A.'!B26*100</f>
        <v>311.69035388555255</v>
      </c>
    </row>
    <row r="13" spans="1:13" ht="16.2" thickBot="1">
      <c r="A13" s="108" t="s">
        <v>55</v>
      </c>
      <c r="B13" s="167">
        <v>33.380000000000003</v>
      </c>
      <c r="C13" s="168">
        <v>25.25</v>
      </c>
      <c r="D13" s="169">
        <v>27.51</v>
      </c>
      <c r="E13" s="168">
        <v>19</v>
      </c>
      <c r="F13" s="167">
        <v>35.020000000000003</v>
      </c>
      <c r="H13" s="108" t="s">
        <v>55</v>
      </c>
      <c r="I13" s="167">
        <f>4609433/2607063*100</f>
        <v>176.80558544231576</v>
      </c>
      <c r="J13" s="168">
        <f>-5724224/-8236465*100</f>
        <v>69.49855308072091</v>
      </c>
      <c r="K13" s="169">
        <f>1354166/-2692555*100</f>
        <v>-50.292974516769384</v>
      </c>
      <c r="L13" s="168">
        <f>6387194/3740292*100</f>
        <v>170.76725560464263</v>
      </c>
      <c r="M13" s="167">
        <f>1250147/9733909*100</f>
        <v>12.843216430315918</v>
      </c>
    </row>
    <row r="14" spans="1:13" ht="15" thickBot="1">
      <c r="B14" s="190"/>
      <c r="C14" s="190"/>
      <c r="D14" s="190"/>
      <c r="E14" s="190"/>
      <c r="F14" s="190"/>
    </row>
    <row r="15" spans="1:13" ht="16.2" thickBot="1">
      <c r="A15" s="29" t="s">
        <v>49</v>
      </c>
      <c r="B15" s="250">
        <v>2018</v>
      </c>
      <c r="C15" s="251">
        <v>2019</v>
      </c>
      <c r="D15" s="252">
        <v>2020</v>
      </c>
      <c r="E15" s="253">
        <v>2021</v>
      </c>
      <c r="F15" s="254">
        <v>2022</v>
      </c>
      <c r="H15" s="29" t="s">
        <v>54</v>
      </c>
      <c r="I15" s="105">
        <v>2018</v>
      </c>
      <c r="J15" s="109">
        <v>2019</v>
      </c>
      <c r="K15" s="110">
        <v>2020</v>
      </c>
      <c r="L15" s="111">
        <v>2021</v>
      </c>
      <c r="M15" s="112">
        <v>2022</v>
      </c>
    </row>
    <row r="16" spans="1:13" ht="16.2" thickBot="1">
      <c r="A16" s="108" t="s">
        <v>307</v>
      </c>
      <c r="B16" s="167">
        <f>'Spółka JSW'!F72/'Spółka JSW'!F17*365</f>
        <v>134.88887756142319</v>
      </c>
      <c r="C16" s="168">
        <f>'Spółka JSW'!E72/'Spółka JSW'!E17*365</f>
        <v>147.06825572545492</v>
      </c>
      <c r="D16" s="169">
        <f>'Spółka JSW'!D72/'Spółka JSW'!D17*366</f>
        <v>188.92586505190312</v>
      </c>
      <c r="E16" s="168">
        <f>'Spółka JSW'!C72/'Spółka JSW'!C17*365</f>
        <v>132.1803351177428</v>
      </c>
      <c r="F16" s="167">
        <f>'Spółka JSW'!B72/'Spółka JSW'!B17*365</f>
        <v>139.75297670619105</v>
      </c>
      <c r="H16" s="108" t="s">
        <v>307</v>
      </c>
      <c r="I16" s="167">
        <f>'Spółka JSW'!F85/'Spółka JSW'!F35*100</f>
        <v>20.476674901903795</v>
      </c>
      <c r="J16" s="168">
        <f>'Spółka JSW'!E85/'Spółka JSW'!E35*100</f>
        <v>7.639484403473042</v>
      </c>
      <c r="K16" s="169">
        <f>'Spółka JSW'!D85/'Spółka JSW'!D35*100</f>
        <v>2.3598054674038149</v>
      </c>
      <c r="L16" s="168">
        <f>'Spółka JSW'!C85/'Spółka JSW'!C35*100</f>
        <v>10.407347542257138</v>
      </c>
      <c r="M16" s="167">
        <f>'Spółka JSW'!B85/'Spółka JSW'!B35*100</f>
        <v>39.646034766032095</v>
      </c>
    </row>
    <row r="17" spans="1:13" ht="16.2" thickBot="1">
      <c r="A17" s="108" t="s">
        <v>305</v>
      </c>
      <c r="B17" s="167">
        <f>'Bogdanka S.A.'!F73/'Bogdanka S.A.'!F17*365</f>
        <v>92.83644746227381</v>
      </c>
      <c r="C17" s="168">
        <f>'Bogdanka S.A.'!E73/'Bogdanka S.A.'!E17*365</f>
        <v>63.289122886043167</v>
      </c>
      <c r="D17" s="169">
        <f>'Bogdanka S.A.'!D73/'Bogdanka S.A.'!D17*366</f>
        <v>72.38922525069809</v>
      </c>
      <c r="E17" s="168">
        <f>'Bogdanka S.A.'!C73/'Bogdanka S.A.'!C17*365</f>
        <v>79.35218953476604</v>
      </c>
      <c r="F17" s="167">
        <f>'Bogdanka S.A.'!B73/'Bogdanka S.A.'!B17*365</f>
        <v>66.868418637565952</v>
      </c>
      <c r="H17" s="108" t="s">
        <v>305</v>
      </c>
      <c r="I17" s="167">
        <f>'Bogdanka S.A.'!F86/'Bogdanka S.A.'!F38*100</f>
        <v>11.666235736398811</v>
      </c>
      <c r="J17" s="168">
        <f>'Bogdanka S.A.'!E86/'Bogdanka S.A.'!E38*100</f>
        <v>16.954335180732865</v>
      </c>
      <c r="K17" s="169">
        <f>'Bogdanka S.A.'!D86/'Bogdanka S.A.'!D38*100</f>
        <v>10.901287534029382</v>
      </c>
      <c r="L17" s="168">
        <f>'Bogdanka S.A.'!C86/'Bogdanka S.A.'!C38*100</f>
        <v>16.222987279574586</v>
      </c>
      <c r="M17" s="167">
        <f>'Bogdanka S.A.'!B86/'Bogdanka S.A.'!B38*100</f>
        <v>12.957308689941643</v>
      </c>
    </row>
    <row r="18" spans="1:13" ht="16.2" thickBot="1">
      <c r="A18" s="108" t="s">
        <v>55</v>
      </c>
      <c r="B18" s="167">
        <v>70.39</v>
      </c>
      <c r="C18" s="168">
        <v>41.75</v>
      </c>
      <c r="D18" s="169">
        <v>43.97</v>
      </c>
      <c r="E18" s="168">
        <v>90.08</v>
      </c>
      <c r="F18" s="167">
        <v>86.8</v>
      </c>
      <c r="H18" s="108" t="s">
        <v>55</v>
      </c>
      <c r="I18" s="167">
        <f>4609433/62613651*100</f>
        <v>7.3617061557391059</v>
      </c>
      <c r="J18" s="168">
        <f>-5724224/59399329*100</f>
        <v>-9.6368496014492013</v>
      </c>
      <c r="K18" s="169">
        <f>1354166/61553025*100</f>
        <v>2.1999991064614615</v>
      </c>
      <c r="L18" s="168">
        <f>6387194/70964415*100</f>
        <v>9.0005589421120433</v>
      </c>
      <c r="M18" s="167">
        <f>1250147/33510213*100</f>
        <v>3.7306447440366908</v>
      </c>
    </row>
    <row r="19" spans="1:13" ht="15" thickBot="1">
      <c r="B19" s="190"/>
      <c r="C19" s="190"/>
      <c r="D19" s="190"/>
      <c r="E19" s="190"/>
      <c r="F19" s="190"/>
    </row>
    <row r="20" spans="1:13" ht="16.2" thickBot="1">
      <c r="A20" s="29" t="s">
        <v>50</v>
      </c>
      <c r="B20" s="250">
        <v>2018</v>
      </c>
      <c r="C20" s="251">
        <v>2019</v>
      </c>
      <c r="D20" s="252">
        <v>2020</v>
      </c>
      <c r="E20" s="253">
        <v>2021</v>
      </c>
      <c r="F20" s="254">
        <v>2022</v>
      </c>
    </row>
    <row r="21" spans="1:13" ht="16.2" thickBot="1">
      <c r="A21" s="108" t="s">
        <v>307</v>
      </c>
      <c r="B21" s="167">
        <f t="shared" ref="B21:F22" si="0">B6+B11-B16</f>
        <v>-67.83515139157916</v>
      </c>
      <c r="C21" s="188">
        <f t="shared" si="0"/>
        <v>-63.017827901934993</v>
      </c>
      <c r="D21" s="189">
        <f t="shared" si="0"/>
        <v>-95.067128027681662</v>
      </c>
      <c r="E21" s="188">
        <f t="shared" si="0"/>
        <v>-47.17930022297277</v>
      </c>
      <c r="F21" s="167">
        <f t="shared" si="0"/>
        <v>-86.668638760303978</v>
      </c>
    </row>
    <row r="22" spans="1:13" ht="16.2" thickBot="1">
      <c r="A22" s="108" t="s">
        <v>305</v>
      </c>
      <c r="B22" s="167">
        <f t="shared" si="0"/>
        <v>-30.779189728753991</v>
      </c>
      <c r="C22" s="191">
        <f t="shared" si="0"/>
        <v>16.416138538413229</v>
      </c>
      <c r="D22" s="192">
        <f t="shared" si="0"/>
        <v>30.975695550891643</v>
      </c>
      <c r="E22" s="191">
        <f t="shared" si="0"/>
        <v>33.375208013944786</v>
      </c>
      <c r="F22" s="167">
        <f t="shared" si="0"/>
        <v>-7.3900249417244694</v>
      </c>
    </row>
    <row r="23" spans="1:13" ht="16.2" thickBot="1">
      <c r="A23" s="108" t="s">
        <v>55</v>
      </c>
      <c r="B23" s="167">
        <v>65</v>
      </c>
      <c r="C23" s="191">
        <v>48</v>
      </c>
      <c r="D23" s="192">
        <v>47</v>
      </c>
      <c r="E23" s="193">
        <v>111</v>
      </c>
      <c r="F23" s="167">
        <v>66</v>
      </c>
    </row>
    <row r="24" spans="1:13" ht="15" thickBot="1">
      <c r="B24" s="190"/>
      <c r="C24" s="190"/>
      <c r="D24" s="190"/>
      <c r="E24" s="190"/>
      <c r="F24" s="190"/>
    </row>
    <row r="25" spans="1:13" ht="16.2" thickBot="1">
      <c r="A25" s="29" t="s">
        <v>51</v>
      </c>
      <c r="B25" s="250">
        <v>2018</v>
      </c>
      <c r="C25" s="251">
        <v>2019</v>
      </c>
      <c r="D25" s="252">
        <v>2020</v>
      </c>
      <c r="E25" s="253">
        <v>2021</v>
      </c>
      <c r="F25" s="254">
        <v>2022</v>
      </c>
    </row>
    <row r="26" spans="1:13" ht="16.2" thickBot="1">
      <c r="A26" s="108" t="s">
        <v>307</v>
      </c>
      <c r="B26" s="167">
        <f>'Spółka JSW'!F17/'Spółka JSW'!F35</f>
        <v>0.71275977328876616</v>
      </c>
      <c r="C26" s="168">
        <f>'Spółka JSW'!E17/'Spółka JSW'!E35</f>
        <v>0.58097062922070963</v>
      </c>
      <c r="D26" s="169">
        <f>'Spółka JSW'!D17/'Spółka JSW'!D35</f>
        <v>0.46144941420673413</v>
      </c>
      <c r="E26" s="168">
        <f>'Spółka JSW'!C17/'Spółka JSW'!C35</f>
        <v>0.66590860679873198</v>
      </c>
      <c r="F26" s="167">
        <f>'Spółka JSW'!B17/'Spółka JSW'!B35</f>
        <v>0.749116384985406</v>
      </c>
    </row>
    <row r="27" spans="1:13" ht="16.2" thickBot="1">
      <c r="A27" s="108" t="s">
        <v>305</v>
      </c>
      <c r="B27" s="167">
        <f>'Bogdanka S.A.'!F17/'Bogdanka S.A.'!F38</f>
        <v>0.44660926522957145</v>
      </c>
      <c r="C27" s="188">
        <f>'Bogdanka S.A.'!E17/'Bogdanka S.A.'!E38</f>
        <v>0.50743780546995809</v>
      </c>
      <c r="D27" s="189">
        <f>'Bogdanka S.A.'!D17/'Bogdanka S.A.'!D38</f>
        <v>0.4164577077995083</v>
      </c>
      <c r="E27" s="188">
        <f>'Bogdanka S.A.'!C17/'Bogdanka S.A.'!C38</f>
        <v>0.5043083390967843</v>
      </c>
      <c r="F27" s="167">
        <f>'Bogdanka S.A.'!B17/'Bogdanka S.A.'!B38</f>
        <v>0.50879084003620056</v>
      </c>
    </row>
    <row r="28" spans="1:13" ht="16.2" thickBot="1">
      <c r="A28" s="108" t="s">
        <v>55</v>
      </c>
      <c r="B28" s="167">
        <v>0.66</v>
      </c>
      <c r="C28" s="168">
        <v>0.65</v>
      </c>
      <c r="D28" s="169">
        <v>0.6</v>
      </c>
      <c r="E28" s="168">
        <v>0.68</v>
      </c>
      <c r="F28" s="187">
        <v>0.86</v>
      </c>
    </row>
  </sheetData>
  <hyperlinks>
    <hyperlink ref="A4" r:id="rId1" xr:uid="{E3381955-F4EA-854C-AA3B-15283DB486B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95"/>
  <sheetViews>
    <sheetView zoomScale="75" zoomScaleNormal="55" workbookViewId="0">
      <selection activeCell="L1" sqref="L1:Q4"/>
    </sheetView>
  </sheetViews>
  <sheetFormatPr defaultColWidth="8.77734375" defaultRowHeight="14.4"/>
  <cols>
    <col min="1" max="1" width="38.109375" bestFit="1" customWidth="1"/>
    <col min="2" max="2" width="12.77734375" customWidth="1"/>
    <col min="3" max="4" width="15.6640625" bestFit="1" customWidth="1"/>
    <col min="5" max="6" width="15" bestFit="1" customWidth="1"/>
    <col min="7" max="10" width="13.44140625" customWidth="1"/>
    <col min="12" max="12" width="51.109375" bestFit="1" customWidth="1"/>
    <col min="13" max="13" width="16.33203125" bestFit="1" customWidth="1"/>
    <col min="14" max="15" width="17" bestFit="1" customWidth="1"/>
    <col min="16" max="17" width="16.33203125" bestFit="1" customWidth="1"/>
    <col min="18" max="21" width="14.109375" customWidth="1"/>
    <col min="23" max="23" width="31.109375" customWidth="1"/>
    <col min="24" max="28" width="11" customWidth="1"/>
    <col min="29" max="32" width="14.109375" customWidth="1"/>
  </cols>
  <sheetData>
    <row r="1" spans="1:32" ht="36.450000000000003" customHeight="1" thickBot="1">
      <c r="A1" s="14" t="s">
        <v>18</v>
      </c>
      <c r="B1" s="105">
        <v>2018</v>
      </c>
      <c r="C1" s="109">
        <v>2019</v>
      </c>
      <c r="D1" s="110">
        <v>2020</v>
      </c>
      <c r="E1" s="111">
        <v>2021</v>
      </c>
      <c r="F1" s="112">
        <v>2022</v>
      </c>
      <c r="G1" s="113" t="s">
        <v>120</v>
      </c>
      <c r="H1" s="113" t="s">
        <v>121</v>
      </c>
      <c r="I1" s="113" t="s">
        <v>122</v>
      </c>
      <c r="J1" s="113" t="s">
        <v>123</v>
      </c>
      <c r="L1" s="14" t="s">
        <v>34</v>
      </c>
      <c r="M1" s="105">
        <v>2018</v>
      </c>
      <c r="N1" s="109">
        <v>2019</v>
      </c>
      <c r="O1" s="110">
        <v>2020</v>
      </c>
      <c r="P1" s="111">
        <v>2021</v>
      </c>
      <c r="Q1" s="112">
        <v>2022</v>
      </c>
      <c r="R1" s="113" t="s">
        <v>120</v>
      </c>
      <c r="S1" s="113" t="s">
        <v>121</v>
      </c>
      <c r="T1" s="113" t="s">
        <v>122</v>
      </c>
      <c r="U1" s="113" t="s">
        <v>123</v>
      </c>
      <c r="W1" s="14" t="s">
        <v>117</v>
      </c>
      <c r="X1" s="105">
        <v>2018</v>
      </c>
      <c r="Y1" s="109">
        <v>2019</v>
      </c>
      <c r="Z1" s="110">
        <v>2020</v>
      </c>
      <c r="AA1" s="111">
        <v>2021</v>
      </c>
      <c r="AB1" s="112">
        <v>2022</v>
      </c>
      <c r="AC1" s="113" t="s">
        <v>120</v>
      </c>
      <c r="AD1" s="113" t="s">
        <v>121</v>
      </c>
      <c r="AE1" s="113" t="s">
        <v>122</v>
      </c>
      <c r="AF1" s="113" t="s">
        <v>123</v>
      </c>
    </row>
    <row r="2" spans="1:32" ht="16.2" thickBot="1">
      <c r="A2" s="108" t="s">
        <v>307</v>
      </c>
      <c r="B2" s="22">
        <f>'Spółka JSW'!F31/'Spółka JSW'!F17</f>
        <v>0.17942705678458559</v>
      </c>
      <c r="C2" s="23">
        <f>'Spółka JSW'!E31/'Spółka JSW'!E17</f>
        <v>7.4909476694573221E-2</v>
      </c>
      <c r="D2" s="25">
        <f>'Spółka JSW'!D31/'Spółka JSW'!D17</f>
        <v>-0.2216551326412918</v>
      </c>
      <c r="E2" s="23">
        <f>'Spółka JSW'!C31/'Spółka JSW'!C17</f>
        <v>8.9621887083572452E-2</v>
      </c>
      <c r="F2" s="22">
        <f>'Spółka JSW'!B31/'Spółka JSW'!B17</f>
        <v>0.3759586107879298</v>
      </c>
      <c r="G2" s="24">
        <f>(C2-B2)/ABS(B2)</f>
        <v>-0.58250735403575638</v>
      </c>
      <c r="H2" s="24">
        <f t="shared" ref="H2:J4" si="0">(D2-C2)/ABS(C2)</f>
        <v>-3.9589731823256682</v>
      </c>
      <c r="I2" s="24">
        <f t="shared" si="0"/>
        <v>1.4043303036370878</v>
      </c>
      <c r="J2" s="24">
        <f t="shared" si="0"/>
        <v>3.1949419167814246</v>
      </c>
      <c r="L2" s="108" t="s">
        <v>307</v>
      </c>
      <c r="M2" s="22">
        <f>'Spółka JSW'!F25/'Spółka JSW'!F17</f>
        <v>0.22978896931389539</v>
      </c>
      <c r="N2" s="202">
        <f>'Spółka JSW'!E25/'Spółka JSW'!E17</f>
        <v>0.10443045273184344</v>
      </c>
      <c r="O2" s="203">
        <f>'Spółka JSW'!D25/'Spółka JSW'!D17</f>
        <v>-0.2567185697808535</v>
      </c>
      <c r="P2" s="202">
        <f>'Spółka JSW'!C25/'Spółka JSW'!C17</f>
        <v>0.11876828706099293</v>
      </c>
      <c r="Q2" s="22">
        <f>'Spółka JSW'!B25/'Spółka JSW'!B17</f>
        <v>0.46223234398593954</v>
      </c>
      <c r="R2" s="207">
        <f t="shared" ref="R2:S4" si="1">(N2-M2)/ABS(M2)</f>
        <v>-0.54553757282757209</v>
      </c>
      <c r="S2" s="207">
        <f t="shared" si="1"/>
        <v>-3.4582730713621967</v>
      </c>
      <c r="T2" s="207">
        <f t="shared" ref="T2:U4" si="2">(P2-O2)/ABS(O2)</f>
        <v>1.4626400309193797</v>
      </c>
      <c r="U2" s="207">
        <f t="shared" si="2"/>
        <v>2.8918835610432114</v>
      </c>
      <c r="W2" s="108" t="s">
        <v>307</v>
      </c>
      <c r="X2" s="16">
        <f>'Spółka JSW'!F17+'Spółka JSW'!F23</f>
        <v>11425000</v>
      </c>
      <c r="Y2" s="204">
        <f>'Spółka JSW'!E17+'Spółka JSW'!E23</f>
        <v>8961300</v>
      </c>
      <c r="Z2" s="205">
        <f>'Spółka JSW'!D17+'Spółka JSW'!D23</f>
        <v>7250600</v>
      </c>
      <c r="AA2" s="204">
        <f>'Spółka JSW'!C17+'Spółka JSW'!C23</f>
        <v>11219400</v>
      </c>
      <c r="AB2" s="16">
        <f>'Spółka JSW'!B17+'Spółka JSW'!B23</f>
        <v>20558200</v>
      </c>
      <c r="AC2" s="207">
        <f>(Y2-X2)/ABS(X2)</f>
        <v>-0.21564113785557987</v>
      </c>
      <c r="AD2" s="207">
        <f t="shared" ref="AD2:AF4" si="3">(Z2-Y2)/ABS(Y2)</f>
        <v>-0.19089864193811165</v>
      </c>
      <c r="AE2" s="207">
        <f t="shared" si="3"/>
        <v>0.54737538962292775</v>
      </c>
      <c r="AF2" s="207">
        <f t="shared" si="3"/>
        <v>0.83237962814410749</v>
      </c>
    </row>
    <row r="3" spans="1:32" ht="16.2" thickBot="1">
      <c r="A3" s="108" t="s">
        <v>305</v>
      </c>
      <c r="B3" s="22">
        <f>'Bogdanka S.A.'!F34/'Bogdanka S.A.'!F17</f>
        <v>3.0622694858627484E-2</v>
      </c>
      <c r="C3" s="23">
        <f>'Bogdanka S.A.'!E34/'Bogdanka S.A.'!E17</f>
        <v>0.14307965156235736</v>
      </c>
      <c r="D3" s="198">
        <f>'Bogdanka S.A.'!D34/'Bogdanka S.A.'!D17</f>
        <v>4.0042544036810034E-2</v>
      </c>
      <c r="E3" s="23">
        <f>'Bogdanka S.A.'!C34/'Bogdanka S.A.'!C17</f>
        <v>0.12156556796329408</v>
      </c>
      <c r="F3" s="199">
        <f>'Bogdanka S.A.'!B34/'Bogdanka S.A.'!B17</f>
        <v>7.1638016653648565E-2</v>
      </c>
      <c r="G3" s="24">
        <f>(C3-B3)/ABS(B3)</f>
        <v>3.6723403091366671</v>
      </c>
      <c r="H3" s="24">
        <f t="shared" si="0"/>
        <v>-0.72013809371517379</v>
      </c>
      <c r="I3" s="24">
        <f t="shared" si="0"/>
        <v>2.035910202197496</v>
      </c>
      <c r="J3" s="24">
        <f t="shared" si="0"/>
        <v>-0.41070470978032869</v>
      </c>
      <c r="L3" s="108" t="s">
        <v>305</v>
      </c>
      <c r="M3" s="22">
        <f>'Bogdanka S.A.'!F26/'Bogdanka S.A.'!F17</f>
        <v>3.5309400565046042E-2</v>
      </c>
      <c r="N3" s="23">
        <f>'Bogdanka S.A.'!E26/'Bogdanka S.A.'!E17</f>
        <v>0.17388608441414902</v>
      </c>
      <c r="O3" s="25">
        <f>'Bogdanka S.A.'!D26/'Bogdanka S.A.'!D17</f>
        <v>5.2269564110219352E-2</v>
      </c>
      <c r="P3" s="201">
        <f>'Bogdanka S.A.'!C26/'Bogdanka S.A.'!C17</f>
        <v>0.15468354643905402</v>
      </c>
      <c r="Q3" s="22">
        <f>'Bogdanka S.A.'!B26/'Bogdanka S.A.'!B17</f>
        <v>8.1705663178632107E-2</v>
      </c>
      <c r="R3" s="207">
        <f t="shared" si="1"/>
        <v>3.9246399437968562</v>
      </c>
      <c r="S3" s="207">
        <f t="shared" si="1"/>
        <v>-0.69940340950039703</v>
      </c>
      <c r="T3" s="207">
        <f t="shared" si="2"/>
        <v>1.9593425748276225</v>
      </c>
      <c r="U3" s="207">
        <f t="shared" si="2"/>
        <v>-0.47178827315790506</v>
      </c>
      <c r="W3" s="108" t="s">
        <v>305</v>
      </c>
      <c r="X3" s="16">
        <f>'Bogdanka S.A.'!F17+'Bogdanka S.A.'!F24</f>
        <v>1791604</v>
      </c>
      <c r="Y3" s="35">
        <f>'Bogdanka S.A.'!E17+'Bogdanka S.A.'!E24</f>
        <v>2163128</v>
      </c>
      <c r="Z3" s="36">
        <f>'Bogdanka S.A.'!D17+'Bogdanka S.A.'!D24</f>
        <v>1829849</v>
      </c>
      <c r="AA3" s="35">
        <f>'Bogdanka S.A.'!C17+'Bogdanka S.A.'!C24</f>
        <v>2376503</v>
      </c>
      <c r="AB3" s="16">
        <f>'Bogdanka S.A.'!B17+'Bogdanka S.A.'!B24</f>
        <v>2455055</v>
      </c>
      <c r="AC3" s="207">
        <f>(Y3-X3)/ABS(X3)</f>
        <v>0.20736948566759172</v>
      </c>
      <c r="AD3" s="207">
        <f t="shared" si="3"/>
        <v>-0.15407271321900506</v>
      </c>
      <c r="AE3" s="207">
        <f t="shared" si="3"/>
        <v>0.29874268313942842</v>
      </c>
      <c r="AF3" s="207">
        <f t="shared" si="3"/>
        <v>3.3053608600536168E-2</v>
      </c>
    </row>
    <row r="4" spans="1:32" ht="16.2" thickBot="1">
      <c r="A4" s="108" t="s">
        <v>55</v>
      </c>
      <c r="B4" s="22">
        <v>6.3799999999999996E-2</v>
      </c>
      <c r="C4" s="23">
        <v>-0.2389</v>
      </c>
      <c r="D4" s="25">
        <v>-0.11749999999999999</v>
      </c>
      <c r="E4" s="23">
        <v>6.3700000000000007E-2</v>
      </c>
      <c r="F4" s="22">
        <v>0.32250000000000001</v>
      </c>
      <c r="G4" s="24">
        <f>(C4-B4)/ABS(B4)</f>
        <v>-4.7445141065830718</v>
      </c>
      <c r="H4" s="24">
        <f t="shared" si="0"/>
        <v>0.50816241105064885</v>
      </c>
      <c r="I4" s="24">
        <f t="shared" si="0"/>
        <v>1.5421276595744682</v>
      </c>
      <c r="J4" s="24">
        <f t="shared" si="0"/>
        <v>4.0627943485086346</v>
      </c>
      <c r="L4" s="108" t="s">
        <v>55</v>
      </c>
      <c r="M4" s="22">
        <f>2607063/25991167</f>
        <v>0.10030573078923313</v>
      </c>
      <c r="N4" s="23">
        <f>-8236465/31535825</f>
        <v>-0.26117804116429488</v>
      </c>
      <c r="O4" s="25">
        <f>-2692555/34185962</f>
        <v>-7.8762007633425668E-2</v>
      </c>
      <c r="P4" s="23">
        <f>3740292/37365386</f>
        <v>0.10010045125721437</v>
      </c>
      <c r="Q4" s="22">
        <f>9733909/24574828</f>
        <v>0.39609266034333995</v>
      </c>
      <c r="R4" s="207">
        <f t="shared" si="1"/>
        <v>-3.6038197330229695</v>
      </c>
      <c r="S4" s="207">
        <f t="shared" si="1"/>
        <v>0.69843556800443196</v>
      </c>
      <c r="T4" s="207">
        <f t="shared" si="2"/>
        <v>2.2709230537025178</v>
      </c>
      <c r="U4" s="207">
        <f t="shared" si="2"/>
        <v>2.956951795607345</v>
      </c>
      <c r="W4" s="108" t="s">
        <v>55</v>
      </c>
      <c r="X4" s="16">
        <v>25991167</v>
      </c>
      <c r="Y4" s="35">
        <v>31535825</v>
      </c>
      <c r="Z4" s="36">
        <v>34185962</v>
      </c>
      <c r="AA4" s="35">
        <v>37365386</v>
      </c>
      <c r="AB4" s="16">
        <v>24574828</v>
      </c>
      <c r="AC4" s="207">
        <f>(Y4-X4)/ABS(X4)</f>
        <v>0.21332855119587357</v>
      </c>
      <c r="AD4" s="207">
        <f t="shared" si="3"/>
        <v>8.4035759330856261E-2</v>
      </c>
      <c r="AE4" s="207">
        <f t="shared" si="3"/>
        <v>9.3003789099162987E-2</v>
      </c>
      <c r="AF4" s="207">
        <f t="shared" si="3"/>
        <v>-0.34231034037758901</v>
      </c>
    </row>
    <row r="5" spans="1:32">
      <c r="A5" s="208" t="s">
        <v>498</v>
      </c>
      <c r="L5" s="184" t="s">
        <v>497</v>
      </c>
      <c r="W5" t="s">
        <v>499</v>
      </c>
    </row>
    <row r="6" spans="1:32" ht="15.6">
      <c r="A6" s="195" t="s">
        <v>489</v>
      </c>
    </row>
    <row r="24" spans="1:32">
      <c r="A24" s="184" t="s">
        <v>488</v>
      </c>
    </row>
    <row r="29" spans="1:32" ht="15" thickBot="1">
      <c r="A29" s="166" t="s">
        <v>490</v>
      </c>
      <c r="L29" s="166" t="s">
        <v>492</v>
      </c>
    </row>
    <row r="30" spans="1:32" ht="36.450000000000003" customHeight="1" thickBot="1">
      <c r="A30" s="14" t="s">
        <v>19</v>
      </c>
      <c r="B30" s="105">
        <v>2018</v>
      </c>
      <c r="C30" s="109">
        <v>2019</v>
      </c>
      <c r="D30" s="110">
        <v>2020</v>
      </c>
      <c r="E30" s="111">
        <v>2021</v>
      </c>
      <c r="F30" s="112">
        <v>2022</v>
      </c>
      <c r="G30" s="113" t="s">
        <v>120</v>
      </c>
      <c r="H30" s="113" t="s">
        <v>121</v>
      </c>
      <c r="I30" s="113" t="s">
        <v>122</v>
      </c>
      <c r="J30" s="113" t="s">
        <v>123</v>
      </c>
      <c r="L30" s="14" t="s">
        <v>116</v>
      </c>
      <c r="M30" s="105">
        <v>2018</v>
      </c>
      <c r="N30" s="109">
        <v>2019</v>
      </c>
      <c r="O30" s="110">
        <v>2020</v>
      </c>
      <c r="P30" s="111">
        <v>2021</v>
      </c>
      <c r="Q30" s="112">
        <v>2022</v>
      </c>
      <c r="R30" s="113" t="s">
        <v>120</v>
      </c>
      <c r="S30" s="113" t="s">
        <v>121</v>
      </c>
      <c r="T30" s="113" t="s">
        <v>122</v>
      </c>
      <c r="U30" s="113" t="s">
        <v>123</v>
      </c>
      <c r="W30" s="14" t="s">
        <v>118</v>
      </c>
      <c r="X30" s="105">
        <v>2018</v>
      </c>
      <c r="Y30" s="109">
        <v>2019</v>
      </c>
      <c r="Z30" s="110">
        <v>2020</v>
      </c>
      <c r="AA30" s="111">
        <v>2021</v>
      </c>
      <c r="AB30" s="112">
        <v>2022</v>
      </c>
      <c r="AC30" s="113" t="s">
        <v>120</v>
      </c>
      <c r="AD30" s="113" t="s">
        <v>121</v>
      </c>
      <c r="AE30" s="113" t="s">
        <v>122</v>
      </c>
      <c r="AF30" s="113" t="s">
        <v>123</v>
      </c>
    </row>
    <row r="31" spans="1:32" ht="16.2" thickBot="1">
      <c r="A31" s="108" t="s">
        <v>307</v>
      </c>
      <c r="B31" s="22">
        <f>'Spółka JSW'!F31/'Spółka JSW'!F35</f>
        <v>0.1278883883156518</v>
      </c>
      <c r="C31" s="23">
        <f>'Spółka JSW'!E31/'Spółka JSW'!E35</f>
        <v>4.3520205809840284E-2</v>
      </c>
      <c r="D31" s="25">
        <f>'Spółka JSW'!D31/'Spółka JSW'!D35</f>
        <v>-0.10228263111324006</v>
      </c>
      <c r="E31" s="23">
        <f>'Spółka JSW'!C31/'Spółka JSW'!C35</f>
        <v>5.9679985966495007E-2</v>
      </c>
      <c r="F31" s="199">
        <f>'Spółka JSW'!B31/'Spółka JSW'!B35</f>
        <v>0.2816367554175892</v>
      </c>
      <c r="G31" s="24">
        <f>(C31-B31)/ABS(B31)</f>
        <v>-0.65970166343464665</v>
      </c>
      <c r="H31" s="24">
        <f t="shared" ref="H31:J33" si="4">(D31-C31)/ABS(C31)</f>
        <v>-3.3502331666389567</v>
      </c>
      <c r="I31" s="24">
        <f t="shared" si="4"/>
        <v>1.5834811376764601</v>
      </c>
      <c r="J31" s="24">
        <f t="shared" si="4"/>
        <v>3.7191156441575428</v>
      </c>
      <c r="L31" s="108" t="s">
        <v>307</v>
      </c>
      <c r="M31" s="167">
        <f>'Spółka JSW'!F19/'Spółka JSW'!F17</f>
        <v>0.29269038637985523</v>
      </c>
      <c r="N31" s="188">
        <f>'Spółka JSW'!E19/'Spółka JSW'!E17</f>
        <v>0.18492123895846307</v>
      </c>
      <c r="O31" s="189">
        <f>'Spółka JSW'!D19/'Spółka JSW'!D17</f>
        <v>-5.7857554786620531E-2</v>
      </c>
      <c r="P31" s="188">
        <f>'Spółka JSW'!C19/'Spółka JSW'!C17</f>
        <v>0.24415990065010207</v>
      </c>
      <c r="Q31" s="167">
        <f>'Spółka JSW'!B19/'Spółka JSW'!B17</f>
        <v>0.52706884174567414</v>
      </c>
      <c r="R31" s="24">
        <f t="shared" ref="R31:U33" si="5">(N31-M31)/ABS(M31)</f>
        <v>-0.3682018694031472</v>
      </c>
      <c r="S31" s="24">
        <f t="shared" si="5"/>
        <v>-1.312876742079456</v>
      </c>
      <c r="T31" s="24">
        <f t="shared" si="5"/>
        <v>5.2200176200077442</v>
      </c>
      <c r="U31" s="24">
        <f t="shared" si="5"/>
        <v>1.1587035395341188</v>
      </c>
      <c r="W31" s="108" t="s">
        <v>307</v>
      </c>
      <c r="X31" s="16">
        <f>'Spółka JSW'!F18+'Spółka JSW'!F20+'Spółka JSW'!F21+'Spółka JSW'!F24</f>
        <v>-9169000</v>
      </c>
      <c r="Y31" s="204">
        <f>'Spółka JSW'!E18+'Spółka JSW'!E20+'Spółka JSW'!E21+'Spółka JSW'!E24</f>
        <v>-8134100</v>
      </c>
      <c r="Z31" s="205">
        <f>'Spółka JSW'!D18+'Spółka JSW'!D20+'Spółka JSW'!D21+'Spółka JSW'!D24</f>
        <v>-9031200</v>
      </c>
      <c r="AA31" s="204">
        <f>'Spółka JSW'!C18+'Spółka JSW'!C20+'Spółka JSW'!C21+'Spółka JSW'!C24</f>
        <v>-9957000</v>
      </c>
      <c r="AB31" s="16">
        <f>'Spółka JSW'!B18+'Spółka JSW'!B20+'Spółka JSW'!B21+'Spółka JSW'!B24</f>
        <v>-11221800</v>
      </c>
      <c r="AC31" s="207">
        <f>(Y31-X31)/ABS(X31)</f>
        <v>0.11286945141236776</v>
      </c>
      <c r="AD31" s="207">
        <f t="shared" ref="AD31:AF33" si="6">(Z31-Y31)/ABS(Y31)</f>
        <v>-0.11028878425394327</v>
      </c>
      <c r="AE31" s="207">
        <f t="shared" si="6"/>
        <v>-0.10251129418017539</v>
      </c>
      <c r="AF31" s="207">
        <f t="shared" si="6"/>
        <v>-0.1270262127146731</v>
      </c>
    </row>
    <row r="32" spans="1:32" ht="16.2" thickBot="1">
      <c r="A32" s="108" t="s">
        <v>305</v>
      </c>
      <c r="B32" s="22">
        <f>'Bogdanka S.A.'!F34/'Bogdanka S.A.'!F38</f>
        <v>1.3676379250160995E-2</v>
      </c>
      <c r="C32" s="23">
        <f>'Bogdanka S.A.'!E34/'Bogdanka S.A.'!E38</f>
        <v>7.2604024396208874E-2</v>
      </c>
      <c r="D32" s="25">
        <f>'Bogdanka S.A.'!D34/'Bogdanka S.A.'!D38</f>
        <v>1.6676026104030774E-2</v>
      </c>
      <c r="E32" s="23">
        <f>'Bogdanka S.A.'!C34/'Bogdanka S.A.'!C38</f>
        <v>6.1306529670926091E-2</v>
      </c>
      <c r="F32" s="22">
        <f>'Bogdanka S.A.'!B34/'Bogdanka S.A.'!B38</f>
        <v>3.644876667173718E-2</v>
      </c>
      <c r="G32" s="24">
        <f>(C32-B32)/ABS(B32)</f>
        <v>4.3087168078754621</v>
      </c>
      <c r="H32" s="24">
        <f t="shared" si="4"/>
        <v>-0.77031540272440413</v>
      </c>
      <c r="I32" s="24">
        <f t="shared" si="4"/>
        <v>2.6763272789617214</v>
      </c>
      <c r="J32" s="24">
        <f t="shared" si="4"/>
        <v>-0.40546680969576093</v>
      </c>
      <c r="L32" s="108" t="s">
        <v>305</v>
      </c>
      <c r="M32" s="167">
        <f>'Bogdanka S.A.'!F19/'Bogdanka S.A.'!F17</f>
        <v>9.8310952933133189E-2</v>
      </c>
      <c r="N32" s="188">
        <f>'Bogdanka S.A.'!E19/'Bogdanka S.A.'!E17</f>
        <v>0.23712231696110175</v>
      </c>
      <c r="O32" s="189">
        <f>'Bogdanka S.A.'!D19/'Bogdanka S.A.'!D17</f>
        <v>0.13648721922691909</v>
      </c>
      <c r="P32" s="188">
        <f>'Bogdanka S.A.'!C19/'Bogdanka S.A.'!C17</f>
        <v>0.22903790357950138</v>
      </c>
      <c r="Q32" s="167">
        <f>'Bogdanka S.A.'!B19/'Bogdanka S.A.'!B17</f>
        <v>0.16657931284835309</v>
      </c>
      <c r="R32" s="24">
        <f t="shared" si="5"/>
        <v>1.411962348919372</v>
      </c>
      <c r="S32" s="24">
        <f t="shared" si="5"/>
        <v>-0.42440162960574962</v>
      </c>
      <c r="T32" s="24">
        <f t="shared" si="5"/>
        <v>0.67809048258731552</v>
      </c>
      <c r="U32" s="24">
        <f t="shared" si="5"/>
        <v>-0.27269980101554797</v>
      </c>
      <c r="W32" s="108" t="s">
        <v>305</v>
      </c>
      <c r="X32" s="16">
        <f>'Bogdanka S.A.'!F18+'Bogdanka S.A.'!F20+'Bogdanka S.A.'!F21+'Bogdanka S.A.'!F22+'Bogdanka S.A.'!F25</f>
        <v>-1729577</v>
      </c>
      <c r="Y32" s="204">
        <f>'Bogdanka S.A.'!E18+'Bogdanka S.A.'!E20+'Bogdanka S.A.'!E21+'Bogdanka S.A.'!E22+'Bogdanka S.A.'!E25</f>
        <v>-1800658</v>
      </c>
      <c r="Z32" s="205">
        <f>'Bogdanka S.A.'!D18+'Bogdanka S.A.'!D20+'Bogdanka S.A.'!D21+'Bogdanka S.A.'!D22+'Bogdanka S.A.'!D25</f>
        <v>-2099294</v>
      </c>
      <c r="AA32" s="204">
        <f>'Bogdanka S.A.'!C18+'Bogdanka S.A.'!C20+'Bogdanka S.A.'!C21+'Bogdanka S.A.'!C22+'Bogdanka S.A.'!C25</f>
        <v>-2439856</v>
      </c>
      <c r="AB32" s="16">
        <f>'Bogdanka S.A.'!B18+'Bogdanka S.A.'!B20+'Bogdanka S.A.'!B21+'Bogdanka S.A.'!B22+'Bogdanka S.A.'!B25</f>
        <v>-2653207</v>
      </c>
      <c r="AC32" s="207">
        <f>(Y32-X32)/ABS(X32)</f>
        <v>-4.1097331890976814E-2</v>
      </c>
      <c r="AD32" s="207">
        <f t="shared" si="6"/>
        <v>-0.16584826213528611</v>
      </c>
      <c r="AE32" s="207">
        <f t="shared" si="6"/>
        <v>-0.16222692009789957</v>
      </c>
      <c r="AF32" s="207">
        <f t="shared" si="6"/>
        <v>-8.7444095061347885E-2</v>
      </c>
    </row>
    <row r="33" spans="1:32" ht="16.2" thickBot="1">
      <c r="A33" s="108" t="s">
        <v>55</v>
      </c>
      <c r="B33" s="22">
        <v>5.3999999999999999E-2</v>
      </c>
      <c r="C33" s="23">
        <v>-0.34839999999999999</v>
      </c>
      <c r="D33" s="25">
        <v>-0.23799999999999999</v>
      </c>
      <c r="E33" s="23">
        <v>0.12720000000000001</v>
      </c>
      <c r="F33" s="49">
        <v>0.39610000000000001</v>
      </c>
      <c r="G33" s="24">
        <f>(C33-B33)/ABS(B33)</f>
        <v>-7.4518518518518517</v>
      </c>
      <c r="H33" s="24">
        <f t="shared" si="4"/>
        <v>0.31687715269804823</v>
      </c>
      <c r="I33" s="24">
        <f t="shared" si="4"/>
        <v>1.5344537815126049</v>
      </c>
      <c r="J33" s="24">
        <f t="shared" si="4"/>
        <v>2.1139937106918238</v>
      </c>
      <c r="L33" s="108" t="s">
        <v>55</v>
      </c>
      <c r="M33" s="167">
        <v>0.1857</v>
      </c>
      <c r="N33" s="168">
        <v>-0.1547</v>
      </c>
      <c r="O33" s="169">
        <v>0.01</v>
      </c>
      <c r="P33" s="168">
        <v>6.2199999999999998E-2</v>
      </c>
      <c r="Q33" s="167">
        <v>0.4733</v>
      </c>
      <c r="R33" s="24">
        <f t="shared" si="5"/>
        <v>-1.8330640818524504</v>
      </c>
      <c r="S33" s="24">
        <f t="shared" si="5"/>
        <v>1.0646412411118293</v>
      </c>
      <c r="T33" s="24">
        <f t="shared" si="5"/>
        <v>5.22</v>
      </c>
      <c r="U33" s="24">
        <f t="shared" si="5"/>
        <v>6.609324758842444</v>
      </c>
      <c r="W33" s="108" t="s">
        <v>55</v>
      </c>
      <c r="X33" s="16">
        <f>21132142+3175086+908430</f>
        <v>25215658</v>
      </c>
      <c r="Y33" s="35">
        <f>36415832+11757402+1078471</f>
        <v>49251705</v>
      </c>
      <c r="Z33" s="36">
        <f>33845740+4213417+1217531</f>
        <v>39276688</v>
      </c>
      <c r="AA33" s="35">
        <f>35039986+4098094+1196631</f>
        <v>40334711</v>
      </c>
      <c r="AB33" s="16">
        <f>12942408+1756224+438680</f>
        <v>15137312</v>
      </c>
      <c r="AC33" s="207">
        <f>(Y33-X33)/ABS(X33)</f>
        <v>0.95321910695330658</v>
      </c>
      <c r="AD33" s="207">
        <f t="shared" si="6"/>
        <v>-0.20253140475035331</v>
      </c>
      <c r="AE33" s="207">
        <f t="shared" si="6"/>
        <v>2.6937683747672411E-2</v>
      </c>
      <c r="AF33" s="207">
        <f t="shared" si="6"/>
        <v>-0.62470756267473937</v>
      </c>
    </row>
    <row r="34" spans="1:32">
      <c r="A34" s="184" t="s">
        <v>498</v>
      </c>
      <c r="L34" s="184" t="s">
        <v>498</v>
      </c>
      <c r="W34" t="s">
        <v>499</v>
      </c>
    </row>
    <row r="58" spans="1:32" ht="15" thickBot="1">
      <c r="A58" s="166" t="s">
        <v>491</v>
      </c>
    </row>
    <row r="59" spans="1:32" ht="47.4" thickBot="1">
      <c r="A59" s="14" t="s">
        <v>20</v>
      </c>
      <c r="B59" s="105">
        <v>2018</v>
      </c>
      <c r="C59" s="109">
        <v>2019</v>
      </c>
      <c r="D59" s="110">
        <v>2020</v>
      </c>
      <c r="E59" s="111">
        <v>2021</v>
      </c>
      <c r="F59" s="112">
        <v>2022</v>
      </c>
      <c r="G59" s="113" t="s">
        <v>120</v>
      </c>
      <c r="H59" s="113" t="s">
        <v>121</v>
      </c>
      <c r="I59" s="113" t="s">
        <v>122</v>
      </c>
      <c r="J59" s="113" t="s">
        <v>123</v>
      </c>
      <c r="W59" s="14" t="s">
        <v>119</v>
      </c>
      <c r="X59" s="105">
        <v>2018</v>
      </c>
      <c r="Y59" s="109">
        <v>2019</v>
      </c>
      <c r="Z59" s="110">
        <v>2020</v>
      </c>
      <c r="AA59" s="111">
        <v>2021</v>
      </c>
      <c r="AB59" s="112">
        <v>2022</v>
      </c>
      <c r="AC59" s="113" t="s">
        <v>120</v>
      </c>
      <c r="AD59" s="113" t="s">
        <v>121</v>
      </c>
      <c r="AE59" s="113" t="s">
        <v>122</v>
      </c>
      <c r="AF59" s="113" t="s">
        <v>123</v>
      </c>
    </row>
    <row r="60" spans="1:32" ht="16.2" thickBot="1">
      <c r="A60" s="108" t="s">
        <v>307</v>
      </c>
      <c r="B60" s="22">
        <f>'Spółka JSW'!F31/'Spółka JSW'!F59</f>
        <v>0.20840734162226168</v>
      </c>
      <c r="C60" s="202">
        <f>'Spółka JSW'!E31/'Spółka JSW'!E59</f>
        <v>7.3388691182285484E-2</v>
      </c>
      <c r="D60" s="203">
        <f>'Spółka JSW'!D31/'Spółka JSW'!D59</f>
        <v>-0.21011056292793592</v>
      </c>
      <c r="E60" s="202">
        <f>'Spółka JSW'!C31/'Spółka JSW'!C59</f>
        <v>0.1148015136542216</v>
      </c>
      <c r="F60" s="22">
        <f>'Spółka JSW'!B31/'Spółka JSW'!B59</f>
        <v>0.47647372549019607</v>
      </c>
      <c r="G60" s="24">
        <f>(C60-B60)/ABS(B60)</f>
        <v>-0.64785937668499938</v>
      </c>
      <c r="H60" s="24">
        <f t="shared" ref="H60:J62" si="7">(D60-C60)/ABS(C60)</f>
        <v>-3.8629828321376616</v>
      </c>
      <c r="I60" s="24">
        <f t="shared" si="7"/>
        <v>1.54638620759679</v>
      </c>
      <c r="J60" s="24">
        <f t="shared" si="7"/>
        <v>3.1504132682894697</v>
      </c>
      <c r="W60" s="108" t="s">
        <v>307</v>
      </c>
      <c r="X60" s="16">
        <f>'Spółka JSW'!F25</f>
        <v>2254000</v>
      </c>
      <c r="Y60" s="35">
        <f>'Spółka JSW'!E25</f>
        <v>905600</v>
      </c>
      <c r="Z60" s="36">
        <f>'Spółka JSW'!D25</f>
        <v>-1780600</v>
      </c>
      <c r="AA60" s="35">
        <f>'Spółka JSW'!C25</f>
        <v>1262400</v>
      </c>
      <c r="AB60" s="16">
        <f>'Spółka JSW'!B25</f>
        <v>9336400</v>
      </c>
      <c r="AC60" s="24">
        <f>(Y60-X60)/ABS(X60)</f>
        <v>-0.59822537710736468</v>
      </c>
      <c r="AD60" s="24">
        <f>(Z60-Y60)/ABS(Y60)</f>
        <v>-2.9662102473498235</v>
      </c>
      <c r="AE60" s="24">
        <f>(AA60-Z60)/ABS(Z60)</f>
        <v>1.7089745029765249</v>
      </c>
      <c r="AF60" s="24">
        <f>(AB60-AA60)/ABS(AA60)</f>
        <v>6.3957541191381493</v>
      </c>
    </row>
    <row r="61" spans="1:32" ht="16.2" thickBot="1">
      <c r="A61" s="108" t="s">
        <v>305</v>
      </c>
      <c r="B61" s="22">
        <f>'Bogdanka S.A.'!F34/'Bogdanka S.A.'!F60</f>
        <v>1.8234537218197521E-2</v>
      </c>
      <c r="C61" s="202">
        <f>'Bogdanka S.A.'!E34/'Bogdanka S.A.'!E60</f>
        <v>9.563134853253924E-2</v>
      </c>
      <c r="D61" s="203">
        <f>'Bogdanka S.A.'!D34/'Bogdanka S.A.'!D60</f>
        <v>2.2110856114578126E-2</v>
      </c>
      <c r="E61" s="202">
        <f>'Bogdanka S.A.'!C34/'Bogdanka S.A.'!C60</f>
        <v>8.0214062963918337E-2</v>
      </c>
      <c r="F61" s="22">
        <f>'Bogdanka S.A.'!B34/'Bogdanka S.A.'!B60</f>
        <v>4.73710670654083E-2</v>
      </c>
      <c r="G61" s="24">
        <f>(C61-B61)/ABS(B61)</f>
        <v>4.2445174444625895</v>
      </c>
      <c r="H61" s="24">
        <f t="shared" si="7"/>
        <v>-0.76879071085090112</v>
      </c>
      <c r="I61" s="24">
        <f t="shared" si="7"/>
        <v>2.6278135296186753</v>
      </c>
      <c r="J61" s="24">
        <f t="shared" si="7"/>
        <v>-0.40944186947971184</v>
      </c>
      <c r="W61" s="108" t="s">
        <v>305</v>
      </c>
      <c r="X61" s="16">
        <f>'Bogdanka S.A.'!F26</f>
        <v>62027</v>
      </c>
      <c r="Y61" s="35">
        <f>'Bogdanka S.A.'!E26</f>
        <v>375222</v>
      </c>
      <c r="Z61" s="36">
        <f>'Bogdanka S.A.'!D26</f>
        <v>95241</v>
      </c>
      <c r="AA61" s="35">
        <f>'Bogdanka S.A.'!C26</f>
        <v>366798</v>
      </c>
      <c r="AB61" s="16">
        <f>'Bogdanka S.A.'!B26</f>
        <v>200319</v>
      </c>
      <c r="AC61" s="24">
        <f>(Y61-X60)/ABS(X60)</f>
        <v>-0.83353061224489799</v>
      </c>
      <c r="AD61" s="24">
        <f t="shared" ref="AD61:AF62" si="8">(Z61-Y61)/ABS(Y61)</f>
        <v>-0.74617426483521754</v>
      </c>
      <c r="AE61" s="24">
        <f t="shared" si="8"/>
        <v>2.8512615365231362</v>
      </c>
      <c r="AF61" s="24">
        <f t="shared" si="8"/>
        <v>-0.45387106799928023</v>
      </c>
    </row>
    <row r="62" spans="1:32" ht="16.2" thickBot="1">
      <c r="A62" s="108" t="s">
        <v>55</v>
      </c>
      <c r="B62" s="22">
        <f>1658724/30689680</f>
        <v>5.4048266387919326E-2</v>
      </c>
      <c r="C62" s="23">
        <f>-7533777/21623021</f>
        <v>-0.34841463641921266</v>
      </c>
      <c r="D62" s="25">
        <f>-4016438/16875476</f>
        <v>-0.23800442725289644</v>
      </c>
      <c r="E62" s="23">
        <f>2379900/18705674</f>
        <v>0.12722877561107929</v>
      </c>
      <c r="F62" s="49">
        <f>7925000/20008020</f>
        <v>0.3960911674418558</v>
      </c>
      <c r="G62" s="24">
        <f>(C62-B62)/ABS(B62)</f>
        <v>-7.4463609973823148</v>
      </c>
      <c r="H62" s="24">
        <f t="shared" si="7"/>
        <v>0.31689314289733395</v>
      </c>
      <c r="I62" s="24">
        <f t="shared" si="7"/>
        <v>1.5345647435200429</v>
      </c>
      <c r="J62" s="24">
        <f t="shared" si="7"/>
        <v>2.1132199892628973</v>
      </c>
      <c r="W62" s="108" t="s">
        <v>55</v>
      </c>
      <c r="X62" s="16">
        <v>2607063</v>
      </c>
      <c r="Y62" s="35">
        <v>-8236465</v>
      </c>
      <c r="Z62" s="36">
        <v>-2692555</v>
      </c>
      <c r="AA62" s="35">
        <v>3740292</v>
      </c>
      <c r="AB62" s="16">
        <v>9733909</v>
      </c>
      <c r="AC62" s="24">
        <f>(Y62-X62)/ABS(X62)</f>
        <v>-4.159288824243986</v>
      </c>
      <c r="AD62" s="24">
        <f t="shared" si="8"/>
        <v>0.67309337197450603</v>
      </c>
      <c r="AE62" s="24">
        <f t="shared" si="8"/>
        <v>2.3891237133503309</v>
      </c>
      <c r="AF62" s="24">
        <f t="shared" si="8"/>
        <v>1.602446279595283</v>
      </c>
    </row>
    <row r="63" spans="1:32">
      <c r="A63" t="s">
        <v>498</v>
      </c>
      <c r="W63" s="184" t="s">
        <v>497</v>
      </c>
    </row>
    <row r="83" spans="1:32">
      <c r="A83" s="28"/>
    </row>
    <row r="84" spans="1:32">
      <c r="A84" s="28"/>
    </row>
    <row r="90" spans="1:32" ht="15" thickBot="1"/>
    <row r="91" spans="1:32" ht="27.6" thickBot="1">
      <c r="W91" s="14" t="s">
        <v>496</v>
      </c>
      <c r="X91" s="105">
        <v>2018</v>
      </c>
      <c r="Y91" s="109">
        <v>2019</v>
      </c>
      <c r="Z91" s="110">
        <v>2020</v>
      </c>
      <c r="AA91" s="111">
        <v>2021</v>
      </c>
      <c r="AB91" s="112">
        <v>2022</v>
      </c>
      <c r="AC91" s="113" t="s">
        <v>120</v>
      </c>
      <c r="AD91" s="113" t="s">
        <v>121</v>
      </c>
      <c r="AE91" s="113" t="s">
        <v>122</v>
      </c>
      <c r="AF91" s="113" t="s">
        <v>123</v>
      </c>
    </row>
    <row r="92" spans="1:32" ht="16.2" thickBot="1">
      <c r="W92" s="108" t="s">
        <v>307</v>
      </c>
      <c r="X92" s="16">
        <f>'Spółka JSW'!F31</f>
        <v>1760000</v>
      </c>
      <c r="Y92" s="204">
        <f>'Spółka JSW'!E31</f>
        <v>649600</v>
      </c>
      <c r="Z92" s="205">
        <f>'Spółka JSW'!D31</f>
        <v>-1537400</v>
      </c>
      <c r="AA92" s="204">
        <f>'Spółka JSW'!C31</f>
        <v>952600</v>
      </c>
      <c r="AB92" s="16">
        <f>'Spółka JSW'!B31</f>
        <v>7593800</v>
      </c>
      <c r="AC92" s="24">
        <f>(Y92-X92)/ABS(X92)</f>
        <v>-0.63090909090909086</v>
      </c>
      <c r="AD92" s="24">
        <f t="shared" ref="AD92:AF94" si="9">(Z92-Y92)/ABS(Y92)</f>
        <v>-3.3666871921182264</v>
      </c>
      <c r="AE92" s="24">
        <f t="shared" si="9"/>
        <v>1.619617536099909</v>
      </c>
      <c r="AF92" s="24">
        <f t="shared" si="9"/>
        <v>6.9716565190006294</v>
      </c>
    </row>
    <row r="93" spans="1:32" ht="16.2" thickBot="1">
      <c r="W93" s="108" t="s">
        <v>305</v>
      </c>
      <c r="X93" s="16">
        <f>'Bogdanka S.A.'!F34</f>
        <v>53794</v>
      </c>
      <c r="Y93" s="204">
        <f>'Bogdanka S.A.'!E34</f>
        <v>308746</v>
      </c>
      <c r="Z93" s="205">
        <f>'Bogdanka S.A.'!D34</f>
        <v>72962</v>
      </c>
      <c r="AA93" s="204">
        <f>'Bogdanka S.A.'!C34</f>
        <v>288266</v>
      </c>
      <c r="AB93" s="16">
        <f>'Bogdanka S.A.'!B34</f>
        <v>175636</v>
      </c>
      <c r="AC93" s="24">
        <f>(Y93-X93)/ABS(X93)</f>
        <v>4.7394133174703494</v>
      </c>
      <c r="AD93" s="24">
        <f t="shared" si="9"/>
        <v>-0.76368276835975202</v>
      </c>
      <c r="AE93" s="24">
        <f t="shared" si="9"/>
        <v>2.9509059510430089</v>
      </c>
      <c r="AF93" s="24">
        <f t="shared" si="9"/>
        <v>-0.39071551969361629</v>
      </c>
    </row>
    <row r="94" spans="1:32" ht="16.2" thickBot="1">
      <c r="W94" s="108" t="s">
        <v>55</v>
      </c>
      <c r="X94" s="16">
        <v>1658724</v>
      </c>
      <c r="Y94" s="35">
        <v>-7533777</v>
      </c>
      <c r="Z94" s="36">
        <v>-4016438</v>
      </c>
      <c r="AA94" s="35">
        <v>2379900</v>
      </c>
      <c r="AB94" s="16">
        <v>7925000</v>
      </c>
      <c r="AC94" s="24">
        <f>(Y94-X94)/ABS(X94)</f>
        <v>-5.5419111316891776</v>
      </c>
      <c r="AD94" s="24">
        <f>(Z94-Y94)/ABS(Y94)</f>
        <v>0.46687591098064091</v>
      </c>
      <c r="AE94" s="206">
        <f t="shared" si="9"/>
        <v>1.5925399570465173</v>
      </c>
      <c r="AF94" s="24">
        <f t="shared" si="9"/>
        <v>2.32997184755662</v>
      </c>
    </row>
    <row r="95" spans="1:32">
      <c r="W95" t="s">
        <v>497</v>
      </c>
    </row>
  </sheetData>
  <hyperlinks>
    <hyperlink ref="A24" r:id="rId1" xr:uid="{CBBCE30F-26C1-0742-B99B-219F0E057100}"/>
    <hyperlink ref="W63" r:id="rId2" xr:uid="{171248CD-A433-1644-B0B1-56993498CEEC}"/>
    <hyperlink ref="A34" r:id="rId3" xr:uid="{B9354C6A-3CCD-2144-9DAB-1249C841BD3E}"/>
    <hyperlink ref="A5" r:id="rId4" xr:uid="{52D816AC-4D06-394A-8D5D-DD4B612EFD9B}"/>
    <hyperlink ref="L5" r:id="rId5" xr:uid="{C6588D8E-9BD9-4049-87E0-C1F14576D721}"/>
    <hyperlink ref="L34" r:id="rId6" xr:uid="{7FB39F1B-4A70-984E-89F4-780D60097AC1}"/>
  </hyperlinks>
  <pageMargins left="0.7" right="0.7" top="0.75" bottom="0.75" header="0.3" footer="0.3"/>
  <pageSetup paperSize="9" orientation="portrait" r:id="rId7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28282"/>
  </sheetPr>
  <dimension ref="A1:U30"/>
  <sheetViews>
    <sheetView zoomScaleNormal="70" workbookViewId="0">
      <selection activeCell="L19" sqref="L19"/>
    </sheetView>
  </sheetViews>
  <sheetFormatPr defaultColWidth="8.77734375" defaultRowHeight="14.4"/>
  <cols>
    <col min="1" max="1" width="31.109375" customWidth="1"/>
    <col min="2" max="6" width="11.6640625" customWidth="1"/>
    <col min="7" max="7" width="15.6640625" customWidth="1"/>
    <col min="8" max="10" width="13.77734375" customWidth="1"/>
    <col min="12" max="12" width="31.44140625" bestFit="1" customWidth="1"/>
    <col min="13" max="17" width="14.44140625" customWidth="1"/>
    <col min="18" max="21" width="13" customWidth="1"/>
  </cols>
  <sheetData>
    <row r="1" spans="1:21" ht="33.450000000000003" customHeight="1" thickBot="1">
      <c r="A1" s="14" t="s">
        <v>495</v>
      </c>
      <c r="B1" s="105">
        <v>2018</v>
      </c>
      <c r="C1" s="106">
        <v>2019</v>
      </c>
      <c r="D1" s="107">
        <v>2020</v>
      </c>
      <c r="E1" s="106">
        <v>2021</v>
      </c>
      <c r="F1" s="105">
        <v>2022</v>
      </c>
      <c r="G1" s="113" t="s">
        <v>120</v>
      </c>
      <c r="H1" s="113" t="s">
        <v>121</v>
      </c>
      <c r="I1" s="113" t="s">
        <v>122</v>
      </c>
      <c r="J1" s="113" t="s">
        <v>123</v>
      </c>
      <c r="L1" s="19" t="s">
        <v>126</v>
      </c>
      <c r="M1" s="105">
        <v>2018</v>
      </c>
      <c r="N1" s="106">
        <v>2019</v>
      </c>
      <c r="O1" s="107">
        <v>2020</v>
      </c>
      <c r="P1" s="106">
        <v>2021</v>
      </c>
      <c r="Q1" s="105">
        <v>2022</v>
      </c>
      <c r="R1" s="113" t="s">
        <v>120</v>
      </c>
      <c r="S1" s="113" t="s">
        <v>121</v>
      </c>
      <c r="T1" s="113" t="s">
        <v>122</v>
      </c>
      <c r="U1" s="113" t="s">
        <v>123</v>
      </c>
    </row>
    <row r="2" spans="1:21" ht="28.95" customHeight="1">
      <c r="A2" s="9" t="s">
        <v>17</v>
      </c>
      <c r="B2" s="10">
        <f>'Spółka JSW'!F31</f>
        <v>1760000</v>
      </c>
      <c r="C2" s="196">
        <f>'Spółka JSW'!E31</f>
        <v>649600</v>
      </c>
      <c r="D2" s="197">
        <f>'Spółka JSW'!D31</f>
        <v>-1537400</v>
      </c>
      <c r="E2" s="196">
        <f>'Spółka JSW'!C31</f>
        <v>952600</v>
      </c>
      <c r="F2" s="10">
        <f>'Spółka JSW'!B31</f>
        <v>7593800</v>
      </c>
      <c r="G2" s="200">
        <f>(C2-B2)/ABS(B2)</f>
        <v>-0.63090909090909086</v>
      </c>
      <c r="H2" s="200">
        <f t="shared" ref="H2:J3" si="0">(D2-C2)/ABS(C2)</f>
        <v>-3.3666871921182264</v>
      </c>
      <c r="I2" s="200">
        <f t="shared" si="0"/>
        <v>1.619617536099909</v>
      </c>
      <c r="J2" s="200">
        <f t="shared" si="0"/>
        <v>6.9716565190006294</v>
      </c>
      <c r="L2" s="9" t="s">
        <v>4</v>
      </c>
      <c r="M2" s="10">
        <f>'Spółka JSW'!F31</f>
        <v>1760000</v>
      </c>
      <c r="N2" s="196">
        <f>'Spółka JSW'!E31</f>
        <v>649600</v>
      </c>
      <c r="O2" s="197">
        <f>'Spółka JSW'!D31</f>
        <v>-1537400</v>
      </c>
      <c r="P2" s="196">
        <f>'Spółka JSW'!C31</f>
        <v>952600</v>
      </c>
      <c r="Q2" s="10">
        <f>'Spółka JSW'!B31</f>
        <v>7593800</v>
      </c>
      <c r="R2" s="13">
        <f>(N2-M2)/ABS(M2)</f>
        <v>-0.63090909090909086</v>
      </c>
      <c r="S2" s="13">
        <f t="shared" ref="S2:U3" si="1">(O2-N2)/ABS(N2)</f>
        <v>-3.3666871921182264</v>
      </c>
      <c r="T2" s="13">
        <f t="shared" si="1"/>
        <v>1.619617536099909</v>
      </c>
      <c r="U2" s="13">
        <f t="shared" si="1"/>
        <v>6.9716565190006294</v>
      </c>
    </row>
    <row r="3" spans="1:21" ht="28.95" customHeight="1">
      <c r="A3" s="9" t="s">
        <v>16</v>
      </c>
      <c r="B3" s="10">
        <f>'Spółka JSW'!F59+'Spółka JSW'!F67</f>
        <v>10136000</v>
      </c>
      <c r="C3" s="196">
        <f>'Spółka JSW'!E59+'Spółka JSW'!E67</f>
        <v>11432300</v>
      </c>
      <c r="D3" s="197">
        <f>'Spółka JSW'!D59+'Spółka JSW'!D67</f>
        <v>11450600</v>
      </c>
      <c r="E3" s="196">
        <f>'Spółka JSW'!C59+'Spółka JSW'!C67</f>
        <v>12112600</v>
      </c>
      <c r="F3" s="10">
        <f>'Spółka JSW'!B59+'Spółka JSW'!B67</f>
        <v>19229400</v>
      </c>
      <c r="G3" s="200">
        <f>(C3-B3)/ABS(B3)</f>
        <v>0.12789068666140491</v>
      </c>
      <c r="H3" s="200">
        <f t="shared" si="0"/>
        <v>1.6007277625674624E-3</v>
      </c>
      <c r="I3" s="200">
        <f t="shared" si="0"/>
        <v>5.7813564354706304E-2</v>
      </c>
      <c r="J3" s="200">
        <f t="shared" si="0"/>
        <v>0.58755345673100734</v>
      </c>
      <c r="L3" s="20" t="s">
        <v>15</v>
      </c>
      <c r="M3" s="10">
        <f>'Spółka JSW'!F85</f>
        <v>2818000</v>
      </c>
      <c r="N3" s="196">
        <f>'Spółka JSW'!E85</f>
        <v>1140300</v>
      </c>
      <c r="O3" s="197">
        <f>'Spółka JSW'!D85</f>
        <v>354700</v>
      </c>
      <c r="P3" s="196">
        <f>'Spółka JSW'!C85</f>
        <v>1661200</v>
      </c>
      <c r="Q3" s="10">
        <f>'Spółka JSW'!B85</f>
        <v>10689800</v>
      </c>
      <c r="R3" s="13">
        <f>(N3-M3)/ABS(M3)</f>
        <v>-0.59535131298793476</v>
      </c>
      <c r="S3" s="13">
        <f t="shared" si="1"/>
        <v>-0.68894150662106468</v>
      </c>
      <c r="T3" s="13">
        <f t="shared" si="1"/>
        <v>3.6833944178178744</v>
      </c>
      <c r="U3" s="13">
        <f t="shared" si="1"/>
        <v>5.4349867565615222</v>
      </c>
    </row>
    <row r="4" spans="1:21" ht="16.2" thickBot="1">
      <c r="B4" s="1"/>
      <c r="C4" s="1"/>
      <c r="D4" s="1"/>
      <c r="E4" s="1"/>
      <c r="F4" s="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33.450000000000003" customHeight="1" thickBot="1">
      <c r="A5" s="14" t="s">
        <v>124</v>
      </c>
      <c r="B5" s="105">
        <v>2018</v>
      </c>
      <c r="C5" s="106">
        <v>2019</v>
      </c>
      <c r="D5" s="107">
        <v>2020</v>
      </c>
      <c r="E5" s="106">
        <v>2021</v>
      </c>
      <c r="F5" s="105">
        <v>2022</v>
      </c>
      <c r="G5" s="113" t="s">
        <v>120</v>
      </c>
      <c r="H5" s="113" t="s">
        <v>121</v>
      </c>
      <c r="I5" s="113" t="s">
        <v>122</v>
      </c>
      <c r="J5" s="113" t="s">
        <v>123</v>
      </c>
      <c r="L5" s="19" t="s">
        <v>127</v>
      </c>
      <c r="M5" s="105">
        <v>2018</v>
      </c>
      <c r="N5" s="106">
        <v>2019</v>
      </c>
      <c r="O5" s="107">
        <v>2020</v>
      </c>
      <c r="P5" s="106">
        <v>2021</v>
      </c>
      <c r="Q5" s="105">
        <v>2022</v>
      </c>
      <c r="R5" s="113" t="s">
        <v>120</v>
      </c>
      <c r="S5" s="113" t="s">
        <v>121</v>
      </c>
      <c r="T5" s="113" t="s">
        <v>122</v>
      </c>
      <c r="U5" s="113" t="s">
        <v>123</v>
      </c>
    </row>
    <row r="6" spans="1:21" ht="29.55" customHeight="1">
      <c r="A6" s="9" t="s">
        <v>17</v>
      </c>
      <c r="B6" s="10">
        <f>'Bogdanka S.A.'!F34</f>
        <v>53794</v>
      </c>
      <c r="C6" s="11">
        <f>'Bogdanka S.A.'!E34</f>
        <v>308746</v>
      </c>
      <c r="D6" s="12">
        <f>'Bogdanka S.A.'!D34</f>
        <v>72962</v>
      </c>
      <c r="E6" s="11">
        <f>'Bogdanka S.A.'!C34</f>
        <v>288266</v>
      </c>
      <c r="F6" s="10">
        <f>'Bogdanka S.A.'!B34</f>
        <v>175636</v>
      </c>
      <c r="G6" s="13">
        <f>(C6-B6)/ABS(B6)</f>
        <v>4.7394133174703494</v>
      </c>
      <c r="H6" s="13">
        <f t="shared" ref="H6:J7" si="2">(D6-C6)/ABS(C6)</f>
        <v>-0.76368276835975202</v>
      </c>
      <c r="I6" s="13">
        <f t="shared" si="2"/>
        <v>2.9509059510430089</v>
      </c>
      <c r="J6" s="13">
        <f t="shared" si="2"/>
        <v>-0.39071551969361629</v>
      </c>
      <c r="L6" s="9" t="s">
        <v>4</v>
      </c>
      <c r="M6" s="10">
        <f>'Bogdanka S.A.'!F34</f>
        <v>53794</v>
      </c>
      <c r="N6" s="11">
        <f>'Bogdanka S.A.'!E34</f>
        <v>308746</v>
      </c>
      <c r="O6" s="12">
        <f>'Bogdanka S.A.'!D34</f>
        <v>72962</v>
      </c>
      <c r="P6" s="11">
        <f>'Bogdanka S.A.'!C34</f>
        <v>288266</v>
      </c>
      <c r="Q6" s="10">
        <f>'Bogdanka S.A.'!B34</f>
        <v>175636</v>
      </c>
      <c r="R6" s="13">
        <f>(N6-M6)/M6</f>
        <v>4.7394133174703494</v>
      </c>
      <c r="S6" s="13">
        <f t="shared" ref="S6:U7" si="3">(O6-N6)/N6</f>
        <v>-0.76368276835975202</v>
      </c>
      <c r="T6" s="13">
        <f t="shared" si="3"/>
        <v>2.9509059510430089</v>
      </c>
      <c r="U6" s="13">
        <f t="shared" si="3"/>
        <v>-0.39071551969361629</v>
      </c>
    </row>
    <row r="7" spans="1:21" ht="29.55" customHeight="1">
      <c r="A7" s="9" t="s">
        <v>16</v>
      </c>
      <c r="B7" s="10">
        <f>'Bogdanka S.A.'!F60+'Bogdanka S.A.'!F67</f>
        <v>3486548</v>
      </c>
      <c r="C7" s="196">
        <f>'Bogdanka S.A.'!E60+'Bogdanka S.A.'!E67</f>
        <v>3878302</v>
      </c>
      <c r="D7" s="197">
        <f>'Bogdanka S.A.'!D60+'Bogdanka S.A.'!D67</f>
        <v>4014877</v>
      </c>
      <c r="E7" s="196">
        <f>'Bogdanka S.A.'!C60+'Bogdanka S.A.'!C67</f>
        <v>4186520</v>
      </c>
      <c r="F7" s="10">
        <f>'Bogdanka S.A.'!B60+'Bogdanka S.A.'!B67</f>
        <v>4369552</v>
      </c>
      <c r="G7" s="13">
        <f>(C7-B7)/ABS(B7)</f>
        <v>0.11236156794628957</v>
      </c>
      <c r="H7" s="13">
        <f t="shared" si="2"/>
        <v>3.5215153435704596E-2</v>
      </c>
      <c r="I7" s="13">
        <f t="shared" si="2"/>
        <v>4.2751745570287707E-2</v>
      </c>
      <c r="J7" s="13">
        <f t="shared" si="2"/>
        <v>4.3719365965049731E-2</v>
      </c>
      <c r="L7" s="20" t="s">
        <v>15</v>
      </c>
      <c r="M7" s="10">
        <f>'Bogdanka S.A.'!F86</f>
        <v>458874</v>
      </c>
      <c r="N7" s="196">
        <f>'Bogdanka S.A.'!E86</f>
        <v>720977</v>
      </c>
      <c r="O7" s="197">
        <f>'Bogdanka S.A.'!D86</f>
        <v>476960</v>
      </c>
      <c r="P7" s="196">
        <f>'Bogdanka S.A.'!C86</f>
        <v>762812</v>
      </c>
      <c r="Q7" s="10">
        <f>'Bogdanka S.A.'!B86</f>
        <v>624375</v>
      </c>
      <c r="R7" s="13">
        <f>(N7-M7)/M7</f>
        <v>0.57118729760239195</v>
      </c>
      <c r="S7" s="13">
        <f t="shared" si="3"/>
        <v>-0.33845323775931824</v>
      </c>
      <c r="T7" s="13">
        <f t="shared" si="3"/>
        <v>0.59932069775243202</v>
      </c>
      <c r="U7" s="13">
        <f t="shared" si="3"/>
        <v>-0.18148246225806622</v>
      </c>
    </row>
    <row r="8" spans="1:21" ht="16.2" thickBot="1"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33.450000000000003" customHeight="1" thickBot="1">
      <c r="A9" s="19" t="s">
        <v>125</v>
      </c>
      <c r="B9" s="105">
        <v>2018</v>
      </c>
      <c r="C9" s="106">
        <v>2019</v>
      </c>
      <c r="D9" s="107">
        <v>2020</v>
      </c>
      <c r="E9" s="106">
        <v>2021</v>
      </c>
      <c r="F9" s="105">
        <v>2022</v>
      </c>
      <c r="G9" s="113" t="s">
        <v>120</v>
      </c>
      <c r="H9" s="113" t="s">
        <v>121</v>
      </c>
      <c r="I9" s="113" t="s">
        <v>122</v>
      </c>
      <c r="J9" s="113" t="s">
        <v>123</v>
      </c>
      <c r="L9" s="19" t="s">
        <v>128</v>
      </c>
      <c r="M9" s="105">
        <v>2018</v>
      </c>
      <c r="N9" s="106">
        <v>2019</v>
      </c>
      <c r="O9" s="107">
        <v>2020</v>
      </c>
      <c r="P9" s="106">
        <v>2021</v>
      </c>
      <c r="Q9" s="105">
        <v>2022</v>
      </c>
      <c r="R9" s="113" t="s">
        <v>120</v>
      </c>
      <c r="S9" s="113" t="s">
        <v>121</v>
      </c>
      <c r="T9" s="113" t="s">
        <v>122</v>
      </c>
      <c r="U9" s="113" t="s">
        <v>123</v>
      </c>
    </row>
    <row r="10" spans="1:21" ht="29.55" customHeight="1">
      <c r="A10" s="15" t="s">
        <v>17</v>
      </c>
      <c r="B10" s="16">
        <v>1658724</v>
      </c>
      <c r="C10" s="17">
        <v>-7533777</v>
      </c>
      <c r="D10" s="18">
        <v>-4016438</v>
      </c>
      <c r="E10" s="17">
        <v>2379900</v>
      </c>
      <c r="F10" s="16">
        <f>7925000</f>
        <v>7925000</v>
      </c>
      <c r="G10" s="13">
        <f>(C10-B10)/ABS(B10)</f>
        <v>-5.5419111316891776</v>
      </c>
      <c r="H10" s="13">
        <f t="shared" ref="H10:J11" si="4">(D10-C10)/ABS(C10)</f>
        <v>0.46687591098064091</v>
      </c>
      <c r="I10" s="13">
        <f t="shared" si="4"/>
        <v>1.5925399570465173</v>
      </c>
      <c r="J10" s="13">
        <f t="shared" si="4"/>
        <v>2.32997184755662</v>
      </c>
      <c r="L10" s="9" t="s">
        <v>4</v>
      </c>
      <c r="M10" s="10">
        <v>1658724</v>
      </c>
      <c r="N10" s="11">
        <v>-7533777</v>
      </c>
      <c r="O10" s="12">
        <v>-4016438</v>
      </c>
      <c r="P10" s="11">
        <v>2379900</v>
      </c>
      <c r="Q10" s="10">
        <f>7925000</f>
        <v>7925000</v>
      </c>
      <c r="R10" s="13">
        <f>(N10-M10)/ABS(M10)</f>
        <v>-5.5419111316891776</v>
      </c>
      <c r="S10" s="13">
        <f t="shared" ref="S10:U11" si="5">(O10-N10)/ABS(N10)</f>
        <v>0.46687591098064091</v>
      </c>
      <c r="T10" s="13">
        <f t="shared" si="5"/>
        <v>1.5925399570465173</v>
      </c>
      <c r="U10" s="13">
        <f t="shared" si="5"/>
        <v>2.32997184755662</v>
      </c>
    </row>
    <row r="11" spans="1:21" ht="29.55" customHeight="1">
      <c r="A11" s="15" t="s">
        <v>16</v>
      </c>
      <c r="B11" s="16">
        <f>30689680+21054873</f>
        <v>51744553</v>
      </c>
      <c r="C11" s="17">
        <f>21623021+26052843</f>
        <v>47675864</v>
      </c>
      <c r="D11" s="18">
        <f>16875476+26371560</f>
        <v>43247036</v>
      </c>
      <c r="E11" s="17">
        <f>18705674+21064878</f>
        <v>39770552</v>
      </c>
      <c r="F11" s="16">
        <f>20008020+4600774</f>
        <v>24608794</v>
      </c>
      <c r="G11" s="13">
        <f>(C11-B11)/ABS(B11)</f>
        <v>-7.8630285974255101E-2</v>
      </c>
      <c r="H11" s="13">
        <f t="shared" si="4"/>
        <v>-9.2894551423336552E-2</v>
      </c>
      <c r="I11" s="13">
        <f t="shared" si="4"/>
        <v>-8.0386641988597782E-2</v>
      </c>
      <c r="J11" s="13">
        <f t="shared" si="4"/>
        <v>-0.38123076591946725</v>
      </c>
      <c r="L11" s="20" t="s">
        <v>15</v>
      </c>
      <c r="M11" s="10">
        <v>4609433</v>
      </c>
      <c r="N11" s="11">
        <v>-5724224</v>
      </c>
      <c r="O11" s="12">
        <v>1354166</v>
      </c>
      <c r="P11" s="11">
        <v>6387194</v>
      </c>
      <c r="Q11" s="10">
        <v>1250147</v>
      </c>
      <c r="R11" s="13">
        <f>(N11-M11)/ABS(M11)</f>
        <v>-2.2418499195020298</v>
      </c>
      <c r="S11" s="13">
        <f t="shared" si="5"/>
        <v>1.236567611609888</v>
      </c>
      <c r="T11" s="13">
        <f t="shared" si="5"/>
        <v>3.7166994297597191</v>
      </c>
      <c r="U11" s="13">
        <f t="shared" si="5"/>
        <v>-0.80427289354292353</v>
      </c>
    </row>
    <row r="12" spans="1:21">
      <c r="A12" s="184" t="s">
        <v>494</v>
      </c>
    </row>
    <row r="13" spans="1:21">
      <c r="L13" t="s">
        <v>493</v>
      </c>
    </row>
    <row r="17" spans="1:12">
      <c r="L17" s="2"/>
    </row>
    <row r="18" spans="1:12">
      <c r="L18" s="3"/>
    </row>
    <row r="19" spans="1:12">
      <c r="L19" s="4"/>
    </row>
    <row r="20" spans="1:12">
      <c r="A20" s="7"/>
      <c r="L20" s="5"/>
    </row>
    <row r="21" spans="1:12">
      <c r="L21" s="2"/>
    </row>
    <row r="22" spans="1:12">
      <c r="L22" s="6"/>
    </row>
    <row r="23" spans="1:12">
      <c r="L23" s="4"/>
    </row>
    <row r="24" spans="1:12">
      <c r="L24" s="5"/>
    </row>
    <row r="25" spans="1:12">
      <c r="L25" s="2"/>
    </row>
    <row r="26" spans="1:12">
      <c r="L26" s="2"/>
    </row>
    <row r="27" spans="1:12">
      <c r="L27" s="2"/>
    </row>
    <row r="28" spans="1:12">
      <c r="L28" s="2"/>
    </row>
    <row r="29" spans="1:12">
      <c r="L29" s="2"/>
    </row>
    <row r="30" spans="1:12">
      <c r="L30" s="2"/>
    </row>
  </sheetData>
  <hyperlinks>
    <hyperlink ref="A12" r:id="rId1" xr:uid="{A38D4D5F-BAAE-434C-A161-B351F990A70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Spółka JSW</vt:lpstr>
      <vt:lpstr>Bogdanka S.A.</vt:lpstr>
      <vt:lpstr>Bilans w formie analitycznej</vt:lpstr>
      <vt:lpstr>RZiS w formie analitycznej</vt:lpstr>
      <vt:lpstr>Rachunek przepływów pienieżnych</vt:lpstr>
      <vt:lpstr>Statyczna analiza płynności</vt:lpstr>
      <vt:lpstr>Dynamiczna analiza płynności</vt:lpstr>
      <vt:lpstr>Wskaźniki rentowności</vt:lpstr>
      <vt:lpstr>Wzorcowa analiza nierówności</vt:lpstr>
      <vt:lpstr>Wskaźniki analizy majątkowo-kap</vt:lpstr>
      <vt:lpstr>Pozycja rynkowa spółki</vt:lpstr>
      <vt:lpstr>Pozycja rynkowa(sektor)</vt:lpstr>
      <vt:lpstr>sektor</vt:lpstr>
      <vt:lpstr>Analiza dyskryminacyjna</vt:lpstr>
      <vt:lpstr>Analiza logitowa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Sebastian</dc:creator>
  <cp:keywords/>
  <dc:description/>
  <cp:lastModifiedBy>Hoang Linh Le Thi (273951)</cp:lastModifiedBy>
  <cp:lastPrinted>2021-05-20T18:16:04Z</cp:lastPrinted>
  <dcterms:created xsi:type="dcterms:W3CDTF">2021-04-28T10:04:33Z</dcterms:created>
  <dcterms:modified xsi:type="dcterms:W3CDTF">2025-02-10T19:15:51Z</dcterms:modified>
  <cp:category/>
</cp:coreProperties>
</file>