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do\Dropbox\LTH\I. Entrepreneurship\Plus One Ventures\"/>
    </mc:Choice>
  </mc:AlternateContent>
  <xr:revisionPtr revIDLastSave="0" documentId="8_{A6FA9820-6D94-4564-B376-9E169926B558}" xr6:coauthVersionLast="47" xr6:coauthVersionMax="47" xr10:uidLastSave="{00000000-0000-0000-0000-000000000000}"/>
  <bookViews>
    <workbookView xWindow="-96" yWindow="-96" windowWidth="23232" windowHeight="13872" activeTab="1" xr2:uid="{9FD2C289-BB98-4C06-9687-7DA4FDAFB104}"/>
  </bookViews>
  <sheets>
    <sheet name="Control Panel" sheetId="2" r:id="rId1"/>
    <sheet name="Model" sheetId="1" r:id="rId2"/>
  </sheets>
  <definedNames>
    <definedName name="_xlnm.Print_Area" localSheetId="1">Model!$A$1:$AP$105</definedName>
  </definedNames>
  <calcPr calcId="191029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2" l="1"/>
  <c r="R7" i="2"/>
  <c r="S7" i="2"/>
  <c r="T7" i="2"/>
  <c r="Q8" i="2"/>
  <c r="R8" i="2"/>
  <c r="S8" i="2"/>
  <c r="T8" i="2"/>
  <c r="L8" i="2" a="1"/>
  <c r="L8" i="2" s="1"/>
  <c r="M8" i="2" a="1"/>
  <c r="M8" i="2"/>
  <c r="N8" i="2" a="1"/>
  <c r="N8" i="2" s="1"/>
  <c r="O8" i="2" a="1"/>
  <c r="O8" i="2" s="1"/>
  <c r="E95" i="1"/>
  <c r="T6" i="2"/>
  <c r="S6" i="2"/>
  <c r="R6" i="2"/>
  <c r="Q6" i="2"/>
  <c r="L5" i="2"/>
  <c r="M5" i="2"/>
  <c r="N5" i="2"/>
  <c r="O5" i="2"/>
  <c r="Q5" i="2"/>
  <c r="R5" i="2"/>
  <c r="S5" i="2"/>
  <c r="T5" i="2"/>
  <c r="E20" i="2"/>
  <c r="F20" i="2"/>
  <c r="G20" i="2"/>
  <c r="I23" i="2"/>
  <c r="J23" i="2"/>
  <c r="K23" i="2" s="1"/>
  <c r="L23" i="2" s="1"/>
  <c r="Q23" i="2"/>
  <c r="R23" i="2"/>
  <c r="S23" i="2"/>
  <c r="T23" i="2"/>
  <c r="P24" i="2"/>
  <c r="F25" i="2"/>
  <c r="H24" i="2" s="1"/>
  <c r="Q24" i="2" s="1"/>
  <c r="I25" i="2"/>
  <c r="I24" i="2" s="1"/>
  <c r="J25" i="2"/>
  <c r="J24" i="2" s="1"/>
  <c r="K25" i="2"/>
  <c r="K24" i="2" s="1"/>
  <c r="L25" i="2"/>
  <c r="L24" i="2" s="1"/>
  <c r="P25" i="2"/>
  <c r="Q25" i="2" s="1"/>
  <c r="R25" i="2" s="1"/>
  <c r="S25" i="2" s="1"/>
  <c r="T25" i="2" s="1"/>
  <c r="P26" i="2"/>
  <c r="Q26" i="2"/>
  <c r="R26" i="2" s="1"/>
  <c r="S26" i="2" s="1"/>
  <c r="T26" i="2" s="1"/>
  <c r="P27" i="2"/>
  <c r="Q27" i="2"/>
  <c r="R27" i="2" s="1"/>
  <c r="S27" i="2" s="1"/>
  <c r="T27" i="2" s="1"/>
  <c r="D29" i="2"/>
  <c r="D20" i="1" s="1"/>
  <c r="AI20" i="1" s="1"/>
  <c r="D30" i="2"/>
  <c r="D21" i="1" s="1"/>
  <c r="AI21" i="1" s="1"/>
  <c r="D31" i="2"/>
  <c r="D32" i="2"/>
  <c r="M34" i="2"/>
  <c r="N34" i="2" s="1"/>
  <c r="O34" i="2" s="1"/>
  <c r="P34" i="2" s="1"/>
  <c r="AI36" i="1"/>
  <c r="D89" i="1"/>
  <c r="E101" i="1"/>
  <c r="E103" i="1" s="1"/>
  <c r="D51" i="1"/>
  <c r="D50" i="1"/>
  <c r="D48" i="1"/>
  <c r="E92" i="1" a="1"/>
  <c r="E92" i="1" s="1"/>
  <c r="E91" i="1" a="1"/>
  <c r="E91" i="1" s="1"/>
  <c r="E90" i="1" a="1"/>
  <c r="E90" i="1" s="1"/>
  <c r="E88" i="1" a="1"/>
  <c r="E88" i="1" s="1"/>
  <c r="F60" i="1"/>
  <c r="E60" i="1" s="1"/>
  <c r="E59" i="1" s="1"/>
  <c r="D99" i="1"/>
  <c r="D98" i="1"/>
  <c r="D97" i="1"/>
  <c r="D95" i="1"/>
  <c r="D93" i="1"/>
  <c r="D92" i="1"/>
  <c r="D91" i="1"/>
  <c r="D90" i="1"/>
  <c r="D88" i="1"/>
  <c r="D87" i="1"/>
  <c r="D86" i="1"/>
  <c r="D83" i="1"/>
  <c r="D82" i="1"/>
  <c r="D81" i="1"/>
  <c r="D80" i="1"/>
  <c r="D79" i="1"/>
  <c r="D78" i="1"/>
  <c r="D77" i="1"/>
  <c r="D72" i="1"/>
  <c r="D71" i="1"/>
  <c r="D67" i="1"/>
  <c r="D62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G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AJ42" i="1"/>
  <c r="AI42" i="1"/>
  <c r="AI44" i="1"/>
  <c r="AI45" i="1"/>
  <c r="AI46" i="1"/>
  <c r="J18" i="2" s="1"/>
  <c r="AI9" i="1"/>
  <c r="AI14" i="1"/>
  <c r="J14" i="2" s="1"/>
  <c r="AI18" i="1"/>
  <c r="J15" i="2" s="1"/>
  <c r="AI19" i="1"/>
  <c r="J16" i="2" s="1"/>
  <c r="AI24" i="1"/>
  <c r="AI25" i="1"/>
  <c r="AI26" i="1"/>
  <c r="AI27" i="1"/>
  <c r="AI28" i="1"/>
  <c r="AI29" i="1"/>
  <c r="J19" i="2" s="1"/>
  <c r="AI30" i="1"/>
  <c r="AI33" i="1"/>
  <c r="AI34" i="1"/>
  <c r="J20" i="2" s="1"/>
  <c r="AI35" i="1"/>
  <c r="AI37" i="1"/>
  <c r="AI38" i="1"/>
  <c r="AI39" i="1"/>
  <c r="AI40" i="1"/>
  <c r="J17" i="2" s="1"/>
  <c r="AJ6" i="1"/>
  <c r="AK7" i="1"/>
  <c r="AL7" i="1" s="1"/>
  <c r="AM7" i="1" s="1"/>
  <c r="D31" i="1"/>
  <c r="AI31" i="1" s="1"/>
  <c r="D32" i="1"/>
  <c r="AI32" i="1" s="1"/>
  <c r="D23" i="1"/>
  <c r="AI23" i="1" s="1"/>
  <c r="D22" i="1"/>
  <c r="AI22" i="1" s="1"/>
  <c r="D17" i="1"/>
  <c r="AI17" i="1" s="1"/>
  <c r="D16" i="1"/>
  <c r="D69" i="1" s="1"/>
  <c r="D15" i="1"/>
  <c r="AI15" i="1" s="1"/>
  <c r="D13" i="1"/>
  <c r="D12" i="1"/>
  <c r="D65" i="1" s="1"/>
  <c r="D11" i="1"/>
  <c r="D10" i="1"/>
  <c r="AI10" i="1" s="1"/>
  <c r="D43" i="1"/>
  <c r="AI43" i="1" s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G30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2" i="1"/>
  <c r="G31" i="1"/>
  <c r="G5" i="1"/>
  <c r="F58" i="1" s="1"/>
  <c r="G6" i="1"/>
  <c r="F59" i="1" s="1"/>
  <c r="L7" i="1"/>
  <c r="M7" i="1" s="1"/>
  <c r="N7" i="1" s="1"/>
  <c r="O7" i="1" s="1"/>
  <c r="O6" i="1" s="1"/>
  <c r="N59" i="1" s="1"/>
  <c r="H7" i="1"/>
  <c r="K7" i="2" l="1" a="1"/>
  <c r="K7" i="2" s="1"/>
  <c r="O7" i="2" a="1"/>
  <c r="O7" i="2" s="1"/>
  <c r="N7" i="2" a="1"/>
  <c r="N7" i="2" s="1"/>
  <c r="L7" i="2" a="1"/>
  <c r="L7" i="2" s="1"/>
  <c r="M7" i="2" a="1"/>
  <c r="M7" i="2" s="1"/>
  <c r="K8" i="2" a="1"/>
  <c r="K8" i="2" s="1"/>
  <c r="R24" i="2"/>
  <c r="S24" i="2" s="1"/>
  <c r="T24" i="2" s="1"/>
  <c r="F48" i="1"/>
  <c r="E48" i="1"/>
  <c r="E78" i="1" a="1"/>
  <c r="E78" i="1" s="1"/>
  <c r="E77" i="1" a="1"/>
  <c r="E77" i="1" s="1"/>
  <c r="D85" i="1"/>
  <c r="E84" i="1" a="1"/>
  <c r="E84" i="1" s="1"/>
  <c r="D63" i="1"/>
  <c r="D68" i="1"/>
  <c r="E62" i="1" a="1"/>
  <c r="E62" i="1" s="1"/>
  <c r="E83" i="1" a="1"/>
  <c r="E83" i="1" s="1"/>
  <c r="I7" i="1"/>
  <c r="I5" i="1" s="1"/>
  <c r="H58" i="1" s="1"/>
  <c r="H57" i="1" s="1"/>
  <c r="G60" i="1"/>
  <c r="G48" i="1" s="1"/>
  <c r="AI11" i="1"/>
  <c r="D64" i="1"/>
  <c r="AI13" i="1"/>
  <c r="D66" i="1"/>
  <c r="E58" i="1"/>
  <c r="E57" i="1" s="1"/>
  <c r="F57" i="1"/>
  <c r="K60" i="1"/>
  <c r="K48" i="1" s="1"/>
  <c r="L60" i="1"/>
  <c r="L48" i="1" s="1"/>
  <c r="M60" i="1"/>
  <c r="M48" i="1" s="1"/>
  <c r="N60" i="1"/>
  <c r="N48" i="1" s="1"/>
  <c r="W26" i="1"/>
  <c r="D70" i="1"/>
  <c r="D73" i="1"/>
  <c r="D74" i="1"/>
  <c r="D75" i="1"/>
  <c r="D76" i="1"/>
  <c r="D84" i="1"/>
  <c r="D96" i="1"/>
  <c r="AE26" i="1"/>
  <c r="O13" i="1"/>
  <c r="G11" i="1"/>
  <c r="G26" i="1"/>
  <c r="T26" i="1"/>
  <c r="U26" i="1"/>
  <c r="V26" i="1"/>
  <c r="H26" i="1"/>
  <c r="I26" i="1"/>
  <c r="J26" i="1"/>
  <c r="N26" i="1"/>
  <c r="P26" i="1"/>
  <c r="K26" i="1"/>
  <c r="L26" i="1"/>
  <c r="M26" i="1"/>
  <c r="O26" i="1"/>
  <c r="G13" i="1"/>
  <c r="Q26" i="1"/>
  <c r="R26" i="1"/>
  <c r="G12" i="1"/>
  <c r="S26" i="1"/>
  <c r="X26" i="1"/>
  <c r="Y26" i="1"/>
  <c r="Z26" i="1"/>
  <c r="O12" i="1"/>
  <c r="AA26" i="1"/>
  <c r="AB26" i="1"/>
  <c r="AC26" i="1"/>
  <c r="O11" i="1"/>
  <c r="AD26" i="1"/>
  <c r="AI16" i="1"/>
  <c r="O15" i="1" a="1"/>
  <c r="O15" i="1" s="1"/>
  <c r="O16" i="1" a="1"/>
  <c r="O16" i="1" s="1"/>
  <c r="O17" i="1" a="1"/>
  <c r="O17" i="1" s="1"/>
  <c r="G17" i="1" a="1"/>
  <c r="G17" i="1" s="1"/>
  <c r="G16" i="1" a="1"/>
  <c r="G16" i="1" s="1"/>
  <c r="G15" i="1" a="1"/>
  <c r="G15" i="1" s="1"/>
  <c r="AI12" i="1"/>
  <c r="AK6" i="1"/>
  <c r="AN7" i="1"/>
  <c r="AN6" i="1" s="1"/>
  <c r="AM6" i="1"/>
  <c r="AL6" i="1"/>
  <c r="O21" i="1"/>
  <c r="O22" i="1"/>
  <c r="O23" i="1"/>
  <c r="G23" i="1"/>
  <c r="G21" i="1"/>
  <c r="G22" i="1"/>
  <c r="G10" i="1"/>
  <c r="O20" i="1"/>
  <c r="P7" i="1"/>
  <c r="O60" i="1" s="1"/>
  <c r="O48" i="1" s="1"/>
  <c r="H5" i="1"/>
  <c r="G58" i="1" s="1"/>
  <c r="G57" i="1" s="1"/>
  <c r="N6" i="1"/>
  <c r="M59" i="1" s="1"/>
  <c r="M6" i="1"/>
  <c r="L59" i="1" s="1"/>
  <c r="L6" i="1"/>
  <c r="K59" i="1" s="1"/>
  <c r="H6" i="1"/>
  <c r="G59" i="1" s="1"/>
  <c r="Q7" i="1"/>
  <c r="P60" i="1" s="1"/>
  <c r="P48" i="1" s="1"/>
  <c r="AE80" i="1" l="1"/>
  <c r="I6" i="1"/>
  <c r="H59" i="1" s="1"/>
  <c r="J7" i="1"/>
  <c r="H60" i="1"/>
  <c r="H48" i="1" s="1"/>
  <c r="E79" i="1" a="1"/>
  <c r="E79" i="1" s="1"/>
  <c r="N11" i="1"/>
  <c r="P6" i="1"/>
  <c r="P17" i="1" s="1" a="1"/>
  <c r="P17" i="1" s="1"/>
  <c r="Q6" i="1"/>
  <c r="Q21" i="1" s="1"/>
  <c r="H13" i="1"/>
  <c r="H16" i="1" a="1"/>
  <c r="H16" i="1" s="1"/>
  <c r="H11" i="1"/>
  <c r="H12" i="1"/>
  <c r="M17" i="1" a="1"/>
  <c r="M17" i="1" s="1"/>
  <c r="M13" i="1"/>
  <c r="M11" i="1"/>
  <c r="N13" i="1"/>
  <c r="L11" i="1"/>
  <c r="N12" i="1"/>
  <c r="H10" i="1"/>
  <c r="M12" i="1"/>
  <c r="L13" i="1"/>
  <c r="L17" i="1" a="1"/>
  <c r="L17" i="1" s="1"/>
  <c r="L12" i="1"/>
  <c r="H17" i="1" a="1"/>
  <c r="H17" i="1" s="1"/>
  <c r="N15" i="1" a="1"/>
  <c r="N15" i="1" s="1"/>
  <c r="N16" i="1" a="1"/>
  <c r="N16" i="1" s="1"/>
  <c r="N17" i="1" a="1"/>
  <c r="N17" i="1" s="1"/>
  <c r="H15" i="1" a="1"/>
  <c r="H15" i="1" s="1"/>
  <c r="L15" i="1" a="1"/>
  <c r="L15" i="1" s="1"/>
  <c r="L16" i="1" a="1"/>
  <c r="L16" i="1" s="1"/>
  <c r="M15" i="1" a="1"/>
  <c r="M15" i="1" s="1"/>
  <c r="M16" i="1" a="1"/>
  <c r="M16" i="1" s="1"/>
  <c r="H21" i="1"/>
  <c r="L21" i="1"/>
  <c r="G20" i="1"/>
  <c r="M21" i="1"/>
  <c r="N22" i="1"/>
  <c r="M23" i="1"/>
  <c r="L22" i="1"/>
  <c r="M22" i="1"/>
  <c r="H20" i="1"/>
  <c r="L20" i="1"/>
  <c r="M20" i="1"/>
  <c r="N20" i="1"/>
  <c r="H23" i="1"/>
  <c r="N21" i="1"/>
  <c r="H22" i="1"/>
  <c r="N23" i="1"/>
  <c r="L23" i="1"/>
  <c r="G14" i="1"/>
  <c r="O10" i="1"/>
  <c r="O18" i="1"/>
  <c r="O27" i="1" s="1"/>
  <c r="G18" i="1"/>
  <c r="R7" i="1"/>
  <c r="Q60" i="1" s="1"/>
  <c r="Q48" i="1" s="1"/>
  <c r="V7" i="1"/>
  <c r="U60" i="1" s="1"/>
  <c r="U48" i="1" s="1"/>
  <c r="I15" i="1" l="1" a="1"/>
  <c r="I15" i="1" s="1"/>
  <c r="I17" i="1" a="1"/>
  <c r="I17" i="1" s="1"/>
  <c r="Q12" i="1"/>
  <c r="I16" i="1" a="1"/>
  <c r="I16" i="1" s="1"/>
  <c r="I12" i="1"/>
  <c r="I20" i="1"/>
  <c r="I21" i="1"/>
  <c r="I11" i="1"/>
  <c r="I13" i="1"/>
  <c r="Q17" i="1" a="1"/>
  <c r="Q17" i="1" s="1"/>
  <c r="I22" i="1"/>
  <c r="Q16" i="1" a="1"/>
  <c r="Q16" i="1" s="1"/>
  <c r="Q22" i="1"/>
  <c r="Q20" i="1"/>
  <c r="Q23" i="1"/>
  <c r="I10" i="1"/>
  <c r="I23" i="1"/>
  <c r="Q11" i="1"/>
  <c r="P59" i="1"/>
  <c r="P21" i="1"/>
  <c r="O59" i="1"/>
  <c r="P13" i="1"/>
  <c r="J6" i="1"/>
  <c r="I60" i="1"/>
  <c r="I48" i="1" s="1"/>
  <c r="K7" i="1"/>
  <c r="Q5" i="1" s="1"/>
  <c r="P58" i="1" s="1"/>
  <c r="P57" i="1" s="1"/>
  <c r="J5" i="1"/>
  <c r="I58" i="1" s="1"/>
  <c r="I57" i="1" s="1"/>
  <c r="Q15" i="1" a="1"/>
  <c r="Q15" i="1" s="1"/>
  <c r="AE67" i="1"/>
  <c r="P23" i="1"/>
  <c r="P16" i="1" a="1"/>
  <c r="P16" i="1" s="1"/>
  <c r="P15" i="1" a="1"/>
  <c r="P15" i="1" s="1"/>
  <c r="Q13" i="1"/>
  <c r="P12" i="1"/>
  <c r="P20" i="1"/>
  <c r="P22" i="1"/>
  <c r="P11" i="1"/>
  <c r="M10" i="1"/>
  <c r="M14" i="1" s="1"/>
  <c r="P10" i="1"/>
  <c r="N10" i="1"/>
  <c r="N14" i="1" s="1"/>
  <c r="L10" i="1"/>
  <c r="G27" i="1"/>
  <c r="Q10" i="1"/>
  <c r="O14" i="1"/>
  <c r="G19" i="1"/>
  <c r="H18" i="1"/>
  <c r="H27" i="1" s="1"/>
  <c r="H14" i="1"/>
  <c r="L18" i="1"/>
  <c r="N18" i="1"/>
  <c r="N27" i="1" s="1"/>
  <c r="M18" i="1"/>
  <c r="M27" i="1" s="1"/>
  <c r="W7" i="1"/>
  <c r="V60" i="1" s="1"/>
  <c r="V48" i="1" s="1"/>
  <c r="V6" i="1"/>
  <c r="U59" i="1" s="1"/>
  <c r="AA7" i="1"/>
  <c r="Z60" i="1" s="1"/>
  <c r="Z48" i="1" s="1"/>
  <c r="S7" i="1"/>
  <c r="R60" i="1" s="1"/>
  <c r="R48" i="1" s="1"/>
  <c r="R6" i="1"/>
  <c r="Q59" i="1" s="1"/>
  <c r="I18" i="1" l="1"/>
  <c r="I14" i="1"/>
  <c r="I27" i="1"/>
  <c r="P18" i="1"/>
  <c r="Q18" i="1"/>
  <c r="P14" i="1"/>
  <c r="P19" i="1" s="1"/>
  <c r="R5" i="1"/>
  <c r="Q58" i="1" s="1"/>
  <c r="Q57" i="1" s="1"/>
  <c r="M5" i="1"/>
  <c r="L58" i="1" s="1"/>
  <c r="L57" i="1" s="1"/>
  <c r="N5" i="1"/>
  <c r="M58" i="1" s="1"/>
  <c r="M57" i="1" s="1"/>
  <c r="O5" i="1"/>
  <c r="N58" i="1" s="1"/>
  <c r="N57" i="1" s="1"/>
  <c r="P5" i="1"/>
  <c r="O58" i="1" s="1"/>
  <c r="O57" i="1" s="1"/>
  <c r="K5" i="1"/>
  <c r="J58" i="1" s="1"/>
  <c r="J57" i="1" s="1"/>
  <c r="J60" i="1"/>
  <c r="J48" i="1" s="1"/>
  <c r="L5" i="1"/>
  <c r="K58" i="1" s="1"/>
  <c r="K57" i="1" s="1"/>
  <c r="K6" i="1"/>
  <c r="I59" i="1"/>
  <c r="J22" i="1"/>
  <c r="J17" i="1" a="1"/>
  <c r="J17" i="1" s="1"/>
  <c r="J13" i="1"/>
  <c r="J16" i="1" a="1"/>
  <c r="J16" i="1" s="1"/>
  <c r="J21" i="1"/>
  <c r="J23" i="1"/>
  <c r="J15" i="1" a="1"/>
  <c r="J15" i="1" s="1"/>
  <c r="J11" i="1"/>
  <c r="J12" i="1"/>
  <c r="J20" i="1"/>
  <c r="J10" i="1"/>
  <c r="P27" i="1"/>
  <c r="R10" i="1"/>
  <c r="R11" i="1"/>
  <c r="R13" i="1"/>
  <c r="R12" i="1"/>
  <c r="V11" i="1"/>
  <c r="V12" i="1"/>
  <c r="V13" i="1"/>
  <c r="G28" i="1"/>
  <c r="G29" i="1" s="1"/>
  <c r="R15" i="1" a="1"/>
  <c r="R15" i="1" s="1"/>
  <c r="R16" i="1" a="1"/>
  <c r="R16" i="1" s="1"/>
  <c r="R17" i="1" a="1"/>
  <c r="R17" i="1" s="1"/>
  <c r="V15" i="1" a="1"/>
  <c r="V15" i="1" s="1"/>
  <c r="V16" i="1" a="1"/>
  <c r="V16" i="1" s="1"/>
  <c r="V17" i="1" a="1"/>
  <c r="V17" i="1" s="1"/>
  <c r="L27" i="1"/>
  <c r="Q27" i="1"/>
  <c r="L14" i="1"/>
  <c r="V10" i="1"/>
  <c r="M19" i="1"/>
  <c r="M28" i="1" s="1"/>
  <c r="M29" i="1" s="1"/>
  <c r="N19" i="1"/>
  <c r="N28" i="1" s="1"/>
  <c r="N29" i="1" s="1"/>
  <c r="O19" i="1"/>
  <c r="O28" i="1" s="1"/>
  <c r="H19" i="1"/>
  <c r="H28" i="1" s="1"/>
  <c r="H29" i="1" s="1"/>
  <c r="R20" i="1"/>
  <c r="R21" i="1"/>
  <c r="R22" i="1"/>
  <c r="R23" i="1"/>
  <c r="V21" i="1"/>
  <c r="V20" i="1"/>
  <c r="V23" i="1"/>
  <c r="V22" i="1"/>
  <c r="S5" i="1"/>
  <c r="R58" i="1" s="1"/>
  <c r="R57" i="1" s="1"/>
  <c r="T7" i="1"/>
  <c r="S60" i="1" s="1"/>
  <c r="S48" i="1" s="1"/>
  <c r="S6" i="1"/>
  <c r="R59" i="1" s="1"/>
  <c r="AB7" i="1"/>
  <c r="AA60" i="1" s="1"/>
  <c r="AA48" i="1" s="1"/>
  <c r="AA6" i="1"/>
  <c r="Z59" i="1" s="1"/>
  <c r="X7" i="1"/>
  <c r="W60" i="1" s="1"/>
  <c r="W48" i="1" s="1"/>
  <c r="W6" i="1"/>
  <c r="V59" i="1" s="1"/>
  <c r="I19" i="1" l="1"/>
  <c r="I28" i="1" s="1"/>
  <c r="I33" i="1" s="1"/>
  <c r="I34" i="1" s="1"/>
  <c r="AK5" i="1"/>
  <c r="AJ5" i="1"/>
  <c r="P28" i="1"/>
  <c r="P29" i="1" s="1"/>
  <c r="J14" i="1"/>
  <c r="J27" i="1"/>
  <c r="J18" i="1"/>
  <c r="J59" i="1"/>
  <c r="K20" i="1"/>
  <c r="K12" i="1"/>
  <c r="K13" i="1"/>
  <c r="K23" i="1"/>
  <c r="K11" i="1"/>
  <c r="K22" i="1"/>
  <c r="K21" i="1"/>
  <c r="K10" i="1"/>
  <c r="K15" i="1" a="1"/>
  <c r="K15" i="1" s="1"/>
  <c r="K16" i="1" a="1"/>
  <c r="K16" i="1" s="1"/>
  <c r="K17" i="1" a="1"/>
  <c r="K17" i="1" s="1"/>
  <c r="AA13" i="1"/>
  <c r="AA12" i="1"/>
  <c r="AA11" i="1"/>
  <c r="W12" i="1"/>
  <c r="W13" i="1"/>
  <c r="W11" i="1"/>
  <c r="W10" i="1"/>
  <c r="S11" i="1"/>
  <c r="S10" i="1"/>
  <c r="S12" i="1"/>
  <c r="S13" i="1"/>
  <c r="G33" i="1"/>
  <c r="S15" i="1" a="1"/>
  <c r="S15" i="1" s="1"/>
  <c r="S16" i="1" a="1"/>
  <c r="S16" i="1" s="1"/>
  <c r="S17" i="1" a="1"/>
  <c r="S17" i="1" s="1"/>
  <c r="W15" i="1" a="1"/>
  <c r="W15" i="1" s="1"/>
  <c r="W16" i="1" a="1"/>
  <c r="W16" i="1" s="1"/>
  <c r="W17" i="1" a="1"/>
  <c r="W17" i="1" s="1"/>
  <c r="AA16" i="1" a="1"/>
  <c r="AA16" i="1" s="1"/>
  <c r="AA17" i="1" a="1"/>
  <c r="AA17" i="1" s="1"/>
  <c r="AA15" i="1" a="1"/>
  <c r="AA15" i="1" s="1"/>
  <c r="Q14" i="1"/>
  <c r="Q19" i="1" s="1"/>
  <c r="Q28" i="1" s="1"/>
  <c r="L19" i="1"/>
  <c r="L28" i="1" s="1"/>
  <c r="L33" i="1" s="1"/>
  <c r="L34" i="1" s="1"/>
  <c r="O33" i="1"/>
  <c r="O34" i="1" s="1"/>
  <c r="O29" i="1"/>
  <c r="AA10" i="1"/>
  <c r="V14" i="1"/>
  <c r="H33" i="1"/>
  <c r="N33" i="1"/>
  <c r="N34" i="1" s="1"/>
  <c r="M33" i="1"/>
  <c r="W22" i="1"/>
  <c r="W20" i="1"/>
  <c r="W23" i="1"/>
  <c r="W21" i="1"/>
  <c r="AA20" i="1"/>
  <c r="AA23" i="1"/>
  <c r="AA21" i="1"/>
  <c r="AA22" i="1"/>
  <c r="S20" i="1"/>
  <c r="S23" i="1"/>
  <c r="S21" i="1"/>
  <c r="S22" i="1"/>
  <c r="R18" i="1"/>
  <c r="V18" i="1"/>
  <c r="V27" i="1" s="1"/>
  <c r="R14" i="1"/>
  <c r="T6" i="1"/>
  <c r="S59" i="1" s="1"/>
  <c r="U7" i="1"/>
  <c r="T60" i="1" s="1"/>
  <c r="T48" i="1" s="1"/>
  <c r="T5" i="1"/>
  <c r="S58" i="1" s="1"/>
  <c r="S57" i="1" s="1"/>
  <c r="Y7" i="1"/>
  <c r="X60" i="1" s="1"/>
  <c r="X48" i="1" s="1"/>
  <c r="X6" i="1"/>
  <c r="W59" i="1" s="1"/>
  <c r="AC7" i="1"/>
  <c r="AB60" i="1" s="1"/>
  <c r="AB48" i="1" s="1"/>
  <c r="AB6" i="1"/>
  <c r="AA59" i="1" s="1"/>
  <c r="I29" i="1" l="1"/>
  <c r="J19" i="1"/>
  <c r="J28" i="1" s="1"/>
  <c r="K14" i="1"/>
  <c r="K18" i="1"/>
  <c r="K27" i="1" s="1"/>
  <c r="P33" i="1"/>
  <c r="P34" i="1" s="1"/>
  <c r="U6" i="1"/>
  <c r="X12" i="1"/>
  <c r="X13" i="1"/>
  <c r="X11" i="1"/>
  <c r="X10" i="1"/>
  <c r="T11" i="1"/>
  <c r="T12" i="1"/>
  <c r="T10" i="1"/>
  <c r="T13" i="1"/>
  <c r="AB13" i="1"/>
  <c r="AB11" i="1"/>
  <c r="AB10" i="1"/>
  <c r="AB12" i="1"/>
  <c r="G34" i="1"/>
  <c r="X15" i="1" a="1"/>
  <c r="X15" i="1" s="1"/>
  <c r="X16" i="1" a="1"/>
  <c r="X16" i="1" s="1"/>
  <c r="X17" i="1" a="1"/>
  <c r="X17" i="1" s="1"/>
  <c r="T15" i="1" a="1"/>
  <c r="T15" i="1" s="1"/>
  <c r="T16" i="1" a="1"/>
  <c r="T16" i="1" s="1"/>
  <c r="T17" i="1" a="1"/>
  <c r="T17" i="1" s="1"/>
  <c r="AB16" i="1" a="1"/>
  <c r="AB16" i="1" s="1"/>
  <c r="AB17" i="1" a="1"/>
  <c r="AB17" i="1" s="1"/>
  <c r="AB15" i="1" a="1"/>
  <c r="AB15" i="1" s="1"/>
  <c r="L29" i="1"/>
  <c r="R27" i="1"/>
  <c r="Q33" i="1"/>
  <c r="Q34" i="1" s="1"/>
  <c r="Q29" i="1"/>
  <c r="M34" i="1"/>
  <c r="H34" i="1"/>
  <c r="AA14" i="1"/>
  <c r="V19" i="1"/>
  <c r="V28" i="1" s="1"/>
  <c r="V29" i="1" s="1"/>
  <c r="R19" i="1"/>
  <c r="T21" i="1"/>
  <c r="T23" i="1"/>
  <c r="T22" i="1"/>
  <c r="T20" i="1"/>
  <c r="S27" i="1"/>
  <c r="AB23" i="1"/>
  <c r="AB20" i="1"/>
  <c r="AB21" i="1"/>
  <c r="AB22" i="1"/>
  <c r="X22" i="1"/>
  <c r="X21" i="1"/>
  <c r="X20" i="1"/>
  <c r="X23" i="1"/>
  <c r="AA18" i="1"/>
  <c r="AA27" i="1" s="1"/>
  <c r="W18" i="1"/>
  <c r="S14" i="1"/>
  <c r="W14" i="1"/>
  <c r="S18" i="1"/>
  <c r="V5" i="1"/>
  <c r="U58" i="1" s="1"/>
  <c r="U57" i="1" s="1"/>
  <c r="W5" i="1"/>
  <c r="V58" i="1" s="1"/>
  <c r="V57" i="1" s="1"/>
  <c r="X5" i="1"/>
  <c r="W58" i="1" s="1"/>
  <c r="W57" i="1" s="1"/>
  <c r="U5" i="1"/>
  <c r="T58" i="1" s="1"/>
  <c r="T57" i="1" s="1"/>
  <c r="Y6" i="1"/>
  <c r="X59" i="1" s="1"/>
  <c r="Z7" i="1"/>
  <c r="Y60" i="1" s="1"/>
  <c r="Y48" i="1" s="1"/>
  <c r="Y5" i="1"/>
  <c r="X58" i="1" s="1"/>
  <c r="X57" i="1" s="1"/>
  <c r="AD7" i="1"/>
  <c r="AC60" i="1" s="1"/>
  <c r="AC48" i="1" s="1"/>
  <c r="AC6" i="1"/>
  <c r="AB59" i="1" s="1"/>
  <c r="J29" i="1" l="1"/>
  <c r="J33" i="1"/>
  <c r="J34" i="1" s="1"/>
  <c r="K19" i="1"/>
  <c r="K28" i="1" s="1"/>
  <c r="U16" i="1" a="1"/>
  <c r="U16" i="1" s="1"/>
  <c r="T59" i="1"/>
  <c r="K29" i="1"/>
  <c r="K33" i="1"/>
  <c r="U10" i="1"/>
  <c r="U13" i="1"/>
  <c r="U12" i="1"/>
  <c r="U11" i="1"/>
  <c r="U22" i="1"/>
  <c r="U20" i="1"/>
  <c r="U21" i="1"/>
  <c r="U15" i="1" a="1"/>
  <c r="U15" i="1" s="1"/>
  <c r="U23" i="1"/>
  <c r="U17" i="1" a="1"/>
  <c r="U17" i="1" s="1"/>
  <c r="Z6" i="1"/>
  <c r="AE7" i="1"/>
  <c r="AL5" i="1"/>
  <c r="AC13" i="1"/>
  <c r="AC10" i="1"/>
  <c r="AC11" i="1"/>
  <c r="AC12" i="1"/>
  <c r="Z12" i="1"/>
  <c r="Z13" i="1"/>
  <c r="Y12" i="1"/>
  <c r="Y13" i="1"/>
  <c r="Y11" i="1"/>
  <c r="Y10" i="1"/>
  <c r="AC16" i="1" a="1"/>
  <c r="AC16" i="1" s="1"/>
  <c r="AC17" i="1" a="1"/>
  <c r="AC17" i="1" s="1"/>
  <c r="AC15" i="1" a="1"/>
  <c r="AC15" i="1" s="1"/>
  <c r="Y15" i="1" a="1"/>
  <c r="Y15" i="1" s="1"/>
  <c r="Y16" i="1" a="1"/>
  <c r="Y16" i="1" s="1"/>
  <c r="Y17" i="1" a="1"/>
  <c r="Y17" i="1" s="1"/>
  <c r="R28" i="1"/>
  <c r="R33" i="1" s="1"/>
  <c r="R34" i="1" s="1"/>
  <c r="W27" i="1"/>
  <c r="V33" i="1"/>
  <c r="W19" i="1"/>
  <c r="AA19" i="1"/>
  <c r="AA28" i="1" s="1"/>
  <c r="S19" i="1"/>
  <c r="S28" i="1" s="1"/>
  <c r="AC20" i="1"/>
  <c r="AC23" i="1"/>
  <c r="AC21" i="1"/>
  <c r="AC22" i="1"/>
  <c r="Z22" i="1"/>
  <c r="Y22" i="1"/>
  <c r="Y20" i="1"/>
  <c r="Y23" i="1"/>
  <c r="Y21" i="1"/>
  <c r="X18" i="1"/>
  <c r="X27" i="1" s="1"/>
  <c r="T14" i="1"/>
  <c r="X14" i="1"/>
  <c r="T18" i="1"/>
  <c r="T27" i="1" s="1"/>
  <c r="AB14" i="1"/>
  <c r="AB18" i="1"/>
  <c r="AB27" i="1" s="1"/>
  <c r="AB5" i="1"/>
  <c r="AA58" i="1" s="1"/>
  <c r="AA57" i="1" s="1"/>
  <c r="AA5" i="1"/>
  <c r="Z58" i="1" s="1"/>
  <c r="Z57" i="1" s="1"/>
  <c r="Z5" i="1"/>
  <c r="Y58" i="1" s="1"/>
  <c r="Y57" i="1" s="1"/>
  <c r="AC5" i="1"/>
  <c r="AB58" i="1" s="1"/>
  <c r="AB57" i="1" s="1"/>
  <c r="AD6" i="1"/>
  <c r="AC59" i="1" s="1"/>
  <c r="AD5" i="1"/>
  <c r="AC58" i="1" s="1"/>
  <c r="AC57" i="1" s="1"/>
  <c r="U14" i="1" l="1"/>
  <c r="AE6" i="1"/>
  <c r="AJ25" i="1" s="1"/>
  <c r="AD60" i="1"/>
  <c r="Z10" i="1"/>
  <c r="Y59" i="1"/>
  <c r="K34" i="1"/>
  <c r="U18" i="1"/>
  <c r="U27" i="1" s="1"/>
  <c r="AE5" i="1"/>
  <c r="Z16" i="1" a="1"/>
  <c r="Z16" i="1" s="1"/>
  <c r="Z15" i="1" a="1"/>
  <c r="Z15" i="1" s="1"/>
  <c r="Z21" i="1"/>
  <c r="Z11" i="1"/>
  <c r="Z17" i="1" a="1"/>
  <c r="Z17" i="1" s="1"/>
  <c r="Z23" i="1"/>
  <c r="Z20" i="1"/>
  <c r="AM5" i="1"/>
  <c r="AD10" i="1"/>
  <c r="AD13" i="1"/>
  <c r="AD11" i="1"/>
  <c r="AD12" i="1"/>
  <c r="R29" i="1"/>
  <c r="AD16" i="1" a="1"/>
  <c r="AD16" i="1" s="1"/>
  <c r="AD17" i="1" a="1"/>
  <c r="AD17" i="1" s="1"/>
  <c r="AD15" i="1" a="1"/>
  <c r="AD15" i="1" s="1"/>
  <c r="T19" i="1"/>
  <c r="T28" i="1" s="1"/>
  <c r="S33" i="1"/>
  <c r="S34" i="1" s="1"/>
  <c r="S29" i="1"/>
  <c r="AA33" i="1"/>
  <c r="AA34" i="1" s="1"/>
  <c r="AA29" i="1"/>
  <c r="V34" i="1"/>
  <c r="W28" i="1"/>
  <c r="AB19" i="1"/>
  <c r="AB28" i="1" s="1"/>
  <c r="X19" i="1"/>
  <c r="X28" i="1" s="1"/>
  <c r="AD20" i="1"/>
  <c r="AD23" i="1"/>
  <c r="AD22" i="1"/>
  <c r="AD21" i="1"/>
  <c r="AC18" i="1"/>
  <c r="AC27" i="1" s="1"/>
  <c r="Y18" i="1"/>
  <c r="Y27" i="1" s="1"/>
  <c r="AC14" i="1"/>
  <c r="Y14" i="1"/>
  <c r="AK23" i="1" l="1"/>
  <c r="AJ9" i="1"/>
  <c r="AK39" i="1"/>
  <c r="AL32" i="1"/>
  <c r="AE60" i="1"/>
  <c r="AD48" i="1"/>
  <c r="AM9" i="1"/>
  <c r="Z18" i="1"/>
  <c r="AM18" i="1" s="1"/>
  <c r="N15" i="2" s="1"/>
  <c r="Z14" i="1"/>
  <c r="Z19" i="1" s="1"/>
  <c r="U19" i="1"/>
  <c r="U28" i="1" s="1"/>
  <c r="U29" i="1" s="1"/>
  <c r="AL14" i="1"/>
  <c r="M14" i="2" s="1"/>
  <c r="AM45" i="1"/>
  <c r="AJ10" i="1"/>
  <c r="AM25" i="1"/>
  <c r="AE17" i="1" a="1"/>
  <c r="AE17" i="1" s="1"/>
  <c r="E70" i="1" s="1" a="1"/>
  <c r="E70" i="1" s="1"/>
  <c r="AM24" i="1"/>
  <c r="AJ45" i="1"/>
  <c r="AJ12" i="1"/>
  <c r="AL35" i="1"/>
  <c r="AL30" i="1"/>
  <c r="AE10" i="1"/>
  <c r="E63" i="1" s="1" a="1"/>
  <c r="E63" i="1" s="1"/>
  <c r="AK15" i="1"/>
  <c r="AN25" i="1"/>
  <c r="AK22" i="1"/>
  <c r="AL45" i="1"/>
  <c r="AL25" i="1"/>
  <c r="AJ13" i="1"/>
  <c r="AL9" i="1"/>
  <c r="AK20" i="1"/>
  <c r="AJ30" i="1"/>
  <c r="AK38" i="1"/>
  <c r="AL11" i="1"/>
  <c r="AE15" i="1" a="1"/>
  <c r="AE15" i="1" s="1"/>
  <c r="E68" i="1" s="1" a="1"/>
  <c r="AK31" i="1"/>
  <c r="AJ35" i="1"/>
  <c r="AE16" i="1" a="1"/>
  <c r="AE16" i="1" s="1"/>
  <c r="E69" i="1" s="1" a="1"/>
  <c r="E69" i="1" s="1"/>
  <c r="AK26" i="1"/>
  <c r="AJ14" i="1"/>
  <c r="K14" i="2" s="1"/>
  <c r="AK12" i="1"/>
  <c r="AK30" i="1"/>
  <c r="AE12" i="1"/>
  <c r="E65" i="1" s="1" a="1"/>
  <c r="E65" i="1" s="1"/>
  <c r="AJ20" i="1"/>
  <c r="AJ17" i="1"/>
  <c r="AM35" i="1"/>
  <c r="AK11" i="1"/>
  <c r="AJ44" i="1"/>
  <c r="AK21" i="1"/>
  <c r="AK32" i="1"/>
  <c r="AN39" i="1"/>
  <c r="AM31" i="1"/>
  <c r="AN24" i="1"/>
  <c r="AL16" i="1"/>
  <c r="AM38" i="1"/>
  <c r="AJ21" i="1"/>
  <c r="AM37" i="1"/>
  <c r="AM30" i="1"/>
  <c r="AM44" i="1"/>
  <c r="AJ16" i="1"/>
  <c r="AL26" i="1"/>
  <c r="AK35" i="1"/>
  <c r="AN9" i="1"/>
  <c r="AJ23" i="1"/>
  <c r="AM11" i="1"/>
  <c r="AN45" i="1"/>
  <c r="AN26" i="1"/>
  <c r="AE13" i="1"/>
  <c r="AN13" i="1" s="1"/>
  <c r="AJ38" i="1"/>
  <c r="AK17" i="1"/>
  <c r="AE11" i="1"/>
  <c r="E64" i="1" s="1" a="1"/>
  <c r="E64" i="1" s="1"/>
  <c r="AL12" i="1"/>
  <c r="AL31" i="1"/>
  <c r="AK16" i="1"/>
  <c r="AM26" i="1"/>
  <c r="AJ26" i="1"/>
  <c r="AL24" i="1"/>
  <c r="AK14" i="1"/>
  <c r="L14" i="2" s="1"/>
  <c r="AK45" i="1"/>
  <c r="AM32" i="1"/>
  <c r="AM10" i="1"/>
  <c r="AJ11" i="1"/>
  <c r="AK18" i="1"/>
  <c r="L15" i="2" s="1"/>
  <c r="AL37" i="1"/>
  <c r="AJ18" i="1"/>
  <c r="K15" i="2" s="1"/>
  <c r="AJ22" i="1"/>
  <c r="AE22" i="1"/>
  <c r="E75" i="1" s="1" a="1"/>
  <c r="E75" i="1" s="1"/>
  <c r="AM39" i="1"/>
  <c r="AL39" i="1"/>
  <c r="AK10" i="1"/>
  <c r="AJ15" i="1"/>
  <c r="AM16" i="1"/>
  <c r="AE21" i="1"/>
  <c r="AN21" i="1" s="1"/>
  <c r="AK24" i="1"/>
  <c r="AJ31" i="1"/>
  <c r="AL10" i="1"/>
  <c r="AL21" i="1"/>
  <c r="AE23" i="1"/>
  <c r="AN23" i="1" s="1"/>
  <c r="AN44" i="1"/>
  <c r="AJ32" i="1"/>
  <c r="AJ39" i="1"/>
  <c r="AL44" i="1"/>
  <c r="AE20" i="1"/>
  <c r="E73" i="1" s="1" a="1"/>
  <c r="AN31" i="1"/>
  <c r="AJ37" i="1"/>
  <c r="AK44" i="1"/>
  <c r="AN30" i="1"/>
  <c r="AN32" i="1"/>
  <c r="AK9" i="1"/>
  <c r="AK25" i="1"/>
  <c r="AN35" i="1"/>
  <c r="AJ24" i="1"/>
  <c r="AL38" i="1"/>
  <c r="AN38" i="1"/>
  <c r="AK37" i="1"/>
  <c r="AN37" i="1"/>
  <c r="AK13" i="1"/>
  <c r="AM21" i="1"/>
  <c r="AN5" i="1"/>
  <c r="AD58" i="1"/>
  <c r="AD59" i="1"/>
  <c r="Z27" i="1"/>
  <c r="AL15" i="1"/>
  <c r="AM15" i="1"/>
  <c r="AL17" i="1"/>
  <c r="AM17" i="1"/>
  <c r="AM13" i="1"/>
  <c r="AL13" i="1"/>
  <c r="AL20" i="1"/>
  <c r="AM20" i="1"/>
  <c r="AM12" i="1"/>
  <c r="AC19" i="1"/>
  <c r="AC28" i="1" s="1"/>
  <c r="AC33" i="1" s="1"/>
  <c r="AC34" i="1" s="1"/>
  <c r="AL22" i="1"/>
  <c r="AM22" i="1"/>
  <c r="AL23" i="1"/>
  <c r="AM23" i="1"/>
  <c r="X33" i="1"/>
  <c r="X34" i="1" s="1"/>
  <c r="X29" i="1"/>
  <c r="AB33" i="1"/>
  <c r="AB34" i="1" s="1"/>
  <c r="AB29" i="1"/>
  <c r="W33" i="1"/>
  <c r="W34" i="1" s="1"/>
  <c r="W29" i="1"/>
  <c r="T33" i="1"/>
  <c r="T34" i="1" s="1"/>
  <c r="T29" i="1"/>
  <c r="Y19" i="1"/>
  <c r="Y28" i="1" s="1"/>
  <c r="Y29" i="1" s="1"/>
  <c r="AD18" i="1"/>
  <c r="AD27" i="1" s="1"/>
  <c r="AD14" i="1"/>
  <c r="Q14" i="2" l="1"/>
  <c r="Q15" i="2"/>
  <c r="R14" i="2"/>
  <c r="Z28" i="1"/>
  <c r="Z33" i="1" s="1"/>
  <c r="Z34" i="1" s="1"/>
  <c r="AE59" i="1"/>
  <c r="AE48" i="1"/>
  <c r="U33" i="1"/>
  <c r="U34" i="1" s="1"/>
  <c r="E74" i="1" a="1"/>
  <c r="E74" i="1" s="1"/>
  <c r="AN12" i="1"/>
  <c r="AN20" i="1"/>
  <c r="AK27" i="1"/>
  <c r="AN10" i="1"/>
  <c r="AK19" i="1"/>
  <c r="L16" i="2" s="1"/>
  <c r="AJ27" i="1"/>
  <c r="AN11" i="1"/>
  <c r="AN15" i="1"/>
  <c r="AN17" i="1"/>
  <c r="AJ19" i="1"/>
  <c r="K16" i="2" s="1"/>
  <c r="AN22" i="1"/>
  <c r="AE14" i="1"/>
  <c r="AN14" i="1" s="1"/>
  <c r="O14" i="2" s="1"/>
  <c r="AE18" i="1"/>
  <c r="AN18" i="1" s="1"/>
  <c r="O15" i="2" s="1"/>
  <c r="AN16" i="1"/>
  <c r="E68" i="1"/>
  <c r="E71" i="1" s="1"/>
  <c r="F71" i="1"/>
  <c r="G71" i="1"/>
  <c r="H71" i="1"/>
  <c r="I71" i="1"/>
  <c r="J71" i="1"/>
  <c r="T71" i="1"/>
  <c r="U71" i="1"/>
  <c r="V71" i="1"/>
  <c r="W71" i="1"/>
  <c r="X71" i="1"/>
  <c r="Y71" i="1"/>
  <c r="Z71" i="1"/>
  <c r="AA71" i="1"/>
  <c r="M71" i="1"/>
  <c r="N71" i="1"/>
  <c r="AD71" i="1"/>
  <c r="K71" i="1"/>
  <c r="L71" i="1"/>
  <c r="AE71" i="1"/>
  <c r="AE72" i="1" s="1"/>
  <c r="AE81" i="1" s="1"/>
  <c r="AE86" i="1" s="1"/>
  <c r="AE93" i="1" s="1"/>
  <c r="AE96" i="1" s="1"/>
  <c r="O71" i="1"/>
  <c r="Q71" i="1"/>
  <c r="S71" i="1"/>
  <c r="AC71" i="1"/>
  <c r="P71" i="1"/>
  <c r="R71" i="1"/>
  <c r="AB71" i="1"/>
  <c r="AD57" i="1"/>
  <c r="AE58" i="1"/>
  <c r="AE57" i="1" s="1"/>
  <c r="E73" i="1"/>
  <c r="AM27" i="1"/>
  <c r="AL27" i="1"/>
  <c r="AC29" i="1"/>
  <c r="AM14" i="1"/>
  <c r="N14" i="2" s="1"/>
  <c r="S14" i="2" s="1"/>
  <c r="AE27" i="1"/>
  <c r="AL18" i="1"/>
  <c r="M15" i="2" s="1"/>
  <c r="R15" i="2" s="1"/>
  <c r="Y33" i="1"/>
  <c r="Y34" i="1" s="1"/>
  <c r="AD19" i="1"/>
  <c r="AD28" i="1" s="1"/>
  <c r="T15" i="2" l="1"/>
  <c r="T14" i="2"/>
  <c r="Q16" i="2"/>
  <c r="S15" i="2"/>
  <c r="Z29" i="1"/>
  <c r="K10" i="2"/>
  <c r="K11" i="2"/>
  <c r="L10" i="2"/>
  <c r="Q10" i="2" s="1"/>
  <c r="L11" i="2"/>
  <c r="Q11" i="2" s="1"/>
  <c r="AN27" i="1"/>
  <c r="AE19" i="1"/>
  <c r="AE28" i="1" s="1"/>
  <c r="AE29" i="1" s="1"/>
  <c r="AJ28" i="1"/>
  <c r="AJ33" i="1" s="1"/>
  <c r="AK28" i="1"/>
  <c r="AK33" i="1" s="1"/>
  <c r="E76" i="1" a="1"/>
  <c r="E85" i="1" a="1"/>
  <c r="E85" i="1" s="1"/>
  <c r="E66" i="1" a="1"/>
  <c r="AL19" i="1"/>
  <c r="AM19" i="1"/>
  <c r="AN19" i="1"/>
  <c r="O16" i="2" s="1"/>
  <c r="AD33" i="1"/>
  <c r="AD34" i="1" s="1"/>
  <c r="AD29" i="1"/>
  <c r="O11" i="2" l="1"/>
  <c r="O10" i="2"/>
  <c r="AM28" i="1"/>
  <c r="AM29" i="1" s="1"/>
  <c r="N19" i="2" s="1"/>
  <c r="N16" i="2"/>
  <c r="AL28" i="1"/>
  <c r="AL33" i="1" s="1"/>
  <c r="AL34" i="1" s="1"/>
  <c r="M20" i="2" s="1"/>
  <c r="M16" i="2"/>
  <c r="R16" i="2" s="1"/>
  <c r="AK29" i="1"/>
  <c r="L19" i="2" s="1"/>
  <c r="AJ29" i="1"/>
  <c r="K19" i="2" s="1"/>
  <c r="AK34" i="1"/>
  <c r="L20" i="2" s="1"/>
  <c r="E66" i="1"/>
  <c r="E67" i="1" s="1"/>
  <c r="E72" i="1" s="1"/>
  <c r="AD67" i="1"/>
  <c r="AD72" i="1" s="1"/>
  <c r="Y67" i="1"/>
  <c r="Y72" i="1" s="1"/>
  <c r="X67" i="1"/>
  <c r="X72" i="1" s="1"/>
  <c r="W67" i="1"/>
  <c r="W72" i="1" s="1"/>
  <c r="V67" i="1"/>
  <c r="V72" i="1" s="1"/>
  <c r="U67" i="1"/>
  <c r="U72" i="1" s="1"/>
  <c r="R67" i="1"/>
  <c r="R72" i="1" s="1"/>
  <c r="Q67" i="1"/>
  <c r="Q72" i="1" s="1"/>
  <c r="P67" i="1"/>
  <c r="P72" i="1" s="1"/>
  <c r="O67" i="1"/>
  <c r="O72" i="1" s="1"/>
  <c r="N67" i="1"/>
  <c r="N72" i="1" s="1"/>
  <c r="L67" i="1"/>
  <c r="L72" i="1" s="1"/>
  <c r="I67" i="1"/>
  <c r="I72" i="1" s="1"/>
  <c r="T67" i="1"/>
  <c r="T72" i="1" s="1"/>
  <c r="H67" i="1"/>
  <c r="H72" i="1" s="1"/>
  <c r="G67" i="1"/>
  <c r="G72" i="1" s="1"/>
  <c r="F67" i="1"/>
  <c r="F72" i="1" s="1"/>
  <c r="J67" i="1"/>
  <c r="J72" i="1" s="1"/>
  <c r="AB67" i="1"/>
  <c r="AB72" i="1" s="1"/>
  <c r="AC67" i="1"/>
  <c r="AC72" i="1" s="1"/>
  <c r="AA67" i="1"/>
  <c r="AA72" i="1" s="1"/>
  <c r="Z67" i="1"/>
  <c r="Z72" i="1" s="1"/>
  <c r="M67" i="1"/>
  <c r="M72" i="1" s="1"/>
  <c r="K67" i="1"/>
  <c r="K72" i="1" s="1"/>
  <c r="S67" i="1"/>
  <c r="S72" i="1" s="1"/>
  <c r="E76" i="1"/>
  <c r="E80" i="1" s="1"/>
  <c r="AA80" i="1"/>
  <c r="AB80" i="1"/>
  <c r="AC80" i="1"/>
  <c r="AD80" i="1"/>
  <c r="N80" i="1"/>
  <c r="O80" i="1"/>
  <c r="P80" i="1"/>
  <c r="Q80" i="1"/>
  <c r="R80" i="1"/>
  <c r="V80" i="1"/>
  <c r="S80" i="1"/>
  <c r="T80" i="1"/>
  <c r="U80" i="1"/>
  <c r="F80" i="1"/>
  <c r="I80" i="1"/>
  <c r="K80" i="1"/>
  <c r="M80" i="1"/>
  <c r="Y80" i="1"/>
  <c r="L80" i="1"/>
  <c r="G80" i="1"/>
  <c r="J80" i="1"/>
  <c r="X80" i="1"/>
  <c r="Z80" i="1"/>
  <c r="H80" i="1"/>
  <c r="W80" i="1"/>
  <c r="AM33" i="1"/>
  <c r="AJ34" i="1"/>
  <c r="K20" i="2" s="1"/>
  <c r="AL29" i="1"/>
  <c r="M19" i="2" s="1"/>
  <c r="R19" i="2" s="1"/>
  <c r="AN28" i="1"/>
  <c r="AN33" i="1" s="1"/>
  <c r="AE33" i="1"/>
  <c r="AE34" i="1" s="1"/>
  <c r="Q20" i="2" l="1"/>
  <c r="R20" i="2"/>
  <c r="S16" i="2"/>
  <c r="S19" i="2"/>
  <c r="T16" i="2"/>
  <c r="Q19" i="2"/>
  <c r="M10" i="2"/>
  <c r="R10" i="2" s="1"/>
  <c r="M11" i="2"/>
  <c r="R11" i="2" s="1"/>
  <c r="N10" i="2"/>
  <c r="S10" i="2" s="1"/>
  <c r="N11" i="2"/>
  <c r="S11" i="2" s="1"/>
  <c r="J81" i="1"/>
  <c r="J86" i="1" s="1"/>
  <c r="I81" i="1"/>
  <c r="I86" i="1" s="1"/>
  <c r="R81" i="1"/>
  <c r="R86" i="1" s="1"/>
  <c r="AA81" i="1"/>
  <c r="AA86" i="1" s="1"/>
  <c r="H81" i="1"/>
  <c r="H86" i="1" s="1"/>
  <c r="G81" i="1"/>
  <c r="G86" i="1" s="1"/>
  <c r="L81" i="1"/>
  <c r="L86" i="1" s="1"/>
  <c r="F81" i="1"/>
  <c r="F86" i="1" s="1"/>
  <c r="Q81" i="1"/>
  <c r="Q86" i="1" s="1"/>
  <c r="P81" i="1"/>
  <c r="P86" i="1" s="1"/>
  <c r="V81" i="1"/>
  <c r="V86" i="1" s="1"/>
  <c r="AD81" i="1"/>
  <c r="AD86" i="1" s="1"/>
  <c r="Z81" i="1"/>
  <c r="Z86" i="1" s="1"/>
  <c r="M81" i="1"/>
  <c r="M86" i="1" s="1"/>
  <c r="U81" i="1"/>
  <c r="U86" i="1" s="1"/>
  <c r="T81" i="1"/>
  <c r="T86" i="1" s="1"/>
  <c r="S81" i="1"/>
  <c r="S86" i="1" s="1"/>
  <c r="K81" i="1"/>
  <c r="K86" i="1" s="1"/>
  <c r="O81" i="1"/>
  <c r="O86" i="1" s="1"/>
  <c r="W81" i="1"/>
  <c r="W86" i="1" s="1"/>
  <c r="N81" i="1"/>
  <c r="N86" i="1" s="1"/>
  <c r="X81" i="1"/>
  <c r="X86" i="1" s="1"/>
  <c r="Y81" i="1"/>
  <c r="Y86" i="1" s="1"/>
  <c r="AC81" i="1"/>
  <c r="AC86" i="1" s="1"/>
  <c r="AB81" i="1"/>
  <c r="AB86" i="1" s="1"/>
  <c r="E81" i="1"/>
  <c r="E86" i="1" s="1"/>
  <c r="AM34" i="1"/>
  <c r="N20" i="2" s="1"/>
  <c r="S20" i="2" s="1"/>
  <c r="AN29" i="1"/>
  <c r="O19" i="2" s="1"/>
  <c r="T19" i="2" s="1"/>
  <c r="AN34" i="1"/>
  <c r="O20" i="2" s="1"/>
  <c r="T20" i="2" s="1"/>
  <c r="T10" i="2" l="1"/>
  <c r="T11" i="2"/>
  <c r="K12" i="2" l="1"/>
  <c r="L12" i="2"/>
  <c r="M12" i="2"/>
  <c r="N12" i="2"/>
  <c r="O12" i="2"/>
  <c r="Q12" i="2"/>
  <c r="R12" i="2"/>
  <c r="S12" i="2"/>
  <c r="T12" i="2"/>
  <c r="K17" i="2"/>
  <c r="L17" i="2"/>
  <c r="M17" i="2"/>
  <c r="N17" i="2"/>
  <c r="O17" i="2"/>
  <c r="Q17" i="2"/>
  <c r="R17" i="2"/>
  <c r="S17" i="2"/>
  <c r="T17" i="2"/>
  <c r="K18" i="2"/>
  <c r="L18" i="2"/>
  <c r="M18" i="2"/>
  <c r="N18" i="2"/>
  <c r="O18" i="2"/>
  <c r="Q18" i="2"/>
  <c r="R18" i="2"/>
  <c r="S18" i="2"/>
  <c r="T18" i="2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J36" i="1"/>
  <c r="AK36" i="1"/>
  <c r="AL36" i="1"/>
  <c r="AM36" i="1"/>
  <c r="AN36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J40" i="1"/>
  <c r="AK40" i="1"/>
  <c r="AL40" i="1"/>
  <c r="AM40" i="1"/>
  <c r="AN40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K42" i="1"/>
  <c r="AL42" i="1"/>
  <c r="AM42" i="1"/>
  <c r="AN42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J43" i="1"/>
  <c r="AK43" i="1"/>
  <c r="AL43" i="1"/>
  <c r="AM43" i="1"/>
  <c r="AN43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J46" i="1"/>
  <c r="AK46" i="1"/>
  <c r="AL46" i="1"/>
  <c r="AM46" i="1"/>
  <c r="AN46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E89" i="1" a="1"/>
  <c r="E89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tc={A0603AA0-8155-4BFF-9E03-095BF81AC1CA}</author>
    <author>tc={56A556B8-85A0-4C2F-A5D9-F8BA618DF8D9}</author>
    <author>tc={3826C5FF-D022-4054-AD7E-24F82486AC60}</author>
    <author>tc={03FE3042-D9E6-40BD-B110-562D3431033A}</author>
    <author>tc={8A6CBCBC-207C-49B6-845C-377A89DA4CBC}</author>
    <author>tc={17CA3DA0-1D88-4222-AB43-ADE153926704}</author>
    <author>tc={4D96DFD6-D2B4-4AA3-BE26-09271FEA6041}</author>
    <author>tc={ACBB4C6B-3AEE-48FF-8E6B-9AD305641FBC}</author>
    <author>tc={A35470DA-9E7B-4C9F-A554-F1341981E2E1}</author>
    <author>tc={F45AA100-76E3-4BC4-B402-C0319F295DDA}</author>
  </authors>
  <commentList>
    <comment ref="E20" authorId="0" shapeId="0" xr:uid="{A0603AA0-8155-4BFF-9E03-095BF81AC1CA}">
      <text>
        <t>[Threaded comment]
Your version of Excel allows you to read this threaded comment; however, any edits to it will get removed if the file is opened in a newer version of Excel. Learn more: https://go.microsoft.com/fwlink/?linkid=870924
Comment:
    $150 facility rental for 2 h</t>
      </text>
    </comment>
    <comment ref="F20" authorId="1" shapeId="0" xr:uid="{56A556B8-85A0-4C2F-A5D9-F8BA618DF8D9}">
      <text>
        <t>[Threaded comment]
Your version of Excel allows you to read this threaded comment; however, any edits to it will get removed if the file is opened in a newer version of Excel. Learn more: https://go.microsoft.com/fwlink/?linkid=870924
Comment:
    $150 pp F&amp;B minimum</t>
      </text>
    </comment>
    <comment ref="G20" authorId="2" shapeId="0" xr:uid="{3826C5FF-D022-4054-AD7E-24F82486AC60}">
      <text>
        <t>[Threaded comment]
Your version of Excel allows you to read this threaded comment; however, any edits to it will get removed if the file is opened in a newer version of Excel. Learn more: https://go.microsoft.com/fwlink/?linkid=870924
Comment:
    $150 pp F&amp;B minimum</t>
      </text>
    </comment>
    <comment ref="D24" authorId="3" shapeId="0" xr:uid="{03FE3042-D9E6-40BD-B110-562D3431033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Charged per person</t>
      </text>
    </comment>
    <comment ref="D25" authorId="4" shapeId="0" xr:uid="{8A6CBCBC-207C-49B6-845C-377A89DA4CBC}">
      <text>
        <t>[Threaded comment]
Your version of Excel allows you to read this threaded comment; however, any edits to it will get removed if the file is opened in a newer version of Excel. Learn more: https://go.microsoft.com/fwlink/?linkid=870924
Comment:
    In-person sample delivery + social reel
Reply:
    Charged per person</t>
      </text>
    </comment>
    <comment ref="D26" authorId="5" shapeId="0" xr:uid="{17CA3DA0-1D88-4222-AB43-ADE153926704}">
      <text>
        <t>[Threaded comment]
Your version of Excel allows you to read this threaded comment; however, any edits to it will get removed if the file is opened in a newer version of Excel. Learn more: https://go.microsoft.com/fwlink/?linkid=870924
Comment:
    "Powered by ___" signage + 60-second host intro
Reply:
    Charged per person</t>
      </text>
    </comment>
    <comment ref="D27" authorId="6" shapeId="0" xr:uid="{4D96DFD6-D2B4-4AA3-BE26-09271FEA6041}">
      <text>
        <t>[Threaded comment]
Your version of Excel allows you to read this threaded comment; however, any edits to it will get removed if the file is opened in a newer version of Excel. Learn more: https://go.microsoft.com/fwlink/?linkid=870924
Comment:
    One-time fee</t>
      </text>
    </comment>
    <comment ref="D35" authorId="7" shapeId="0" xr:uid="{ACBB4C6B-3AEE-48FF-8E6B-9AD305641F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Luxury group travel (Amex FH&amp;R, Inspirato) </t>
      </text>
    </comment>
    <comment ref="D36" authorId="8" shapeId="0" xr:uid="{A35470DA-9E7B-4C9F-A554-F1341981E2E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Connected fitness or Whoop annual</t>
      </text>
    </comment>
    <comment ref="D37" authorId="9" shapeId="0" xr:uid="{F45AA100-76E3-4BC4-B402-C0319F295DDA}">
      <text>
        <t>[Threaded comment]
Your version of Excel allows you to read this threaded comment; however, any edits to it will get removed if the file is opened in a newer version of Excel. Learn more: https://go.microsoft.com/fwlink/?linkid=870924
Comment:
    Premium credit card referral (Chase Sapphire, Amex Platinum)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tc={8987C543-68C2-4BA2-BD02-E19033207F35}</author>
    <author>tc={8C4F0CE3-B920-40DC-83A0-1D8CD11AB945}</author>
    <author>tc={489FF0C2-CD63-474A-8C65-73C033EC4149}</author>
    <author>tc={61054BA8-CB5F-41D2-AA31-E71AF70F3C5F}</author>
    <author>tc={0ED2E6BD-8338-423B-81C4-022829CA9EEA}</author>
    <author>tc={F776CD55-C01C-49BC-9B6D-C6AE4A166F10}</author>
    <author>tc={C0A6C5AB-09D1-436F-A9B5-4C81E17C4EB8}</author>
    <author>tc={FD2229FE-9ED6-4FD2-A9A3-D5D37312D95A}</author>
    <author>tc={9CE80E23-D2C6-458E-B627-B2FD99489F9A}</author>
    <author>tc={7100A03F-8A7F-4F8A-B0CB-8D04F8028FE1}</author>
    <author>tc={70131599-6C0F-484E-A6FA-6CC96739BF09}</author>
    <author>tc={A39915B1-A94F-43FD-938F-C35521931D3D}</author>
    <author>tc={6FF8B86C-31D7-440C-8890-2162A384B7AF}</author>
    <author>tc={B46BC922-EB0D-4971-8CE2-836FE98EE518}</author>
    <author>tc={37B95177-E73E-4258-BC16-4EDEFCFB141D}</author>
  </authors>
  <commentList>
    <comment ref="E9" authorId="0" shapeId="0" xr:uid="{8987C543-68C2-4BA2-BD02-E19033207F35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Guests pre-pay when they RSVP; Stripe clears within days. Wtd. avg. sign up time = 1 week prior to event, given behavioral trends.</t>
      </text>
    </comment>
    <comment ref="E10" authorId="1" shapeId="0" xr:uid="{8C4F0CE3-B920-40DC-83A0-1D8CD11AB945}">
      <text>
        <t>[Threaded comment]
Your version of Excel allows you to read this threaded comment; however, any edits to it will get removed if the file is opened in a newer version of Excel. Learn more: https://go.microsoft.com/fwlink/?linkid=870924
Comment:
    50% cash fee wired on contract signature; remainder delivered following the event.</t>
      </text>
    </comment>
    <comment ref="E11" authorId="2" shapeId="0" xr:uid="{489FF0C2-CD63-474A-8C65-73C033EC4149}">
      <text>
        <t>[Threaded comment]
Your version of Excel allows you to read this threaded comment; however, any edits to it will get removed if the file is opened in a newer version of Excel. Learn more: https://go.microsoft.com/fwlink/?linkid=870924
Comment:
    50% cash fee wired on contract signature; remainder delivered following the event.</t>
      </text>
    </comment>
    <comment ref="E12" authorId="3" shapeId="0" xr:uid="{61054BA8-CB5F-41D2-AA31-E71AF70F3C5F}">
      <text>
        <t>[Threaded comment]
Your version of Excel allows you to read this threaded comment; however, any edits to it will get removed if the file is opened in a newer version of Excel. Learn more: https://go.microsoft.com/fwlink/?linkid=870924
Comment:
    50% cash fee wired on contract signature; remainder delivered following the event.</t>
      </text>
    </comment>
    <comment ref="E13" authorId="4" shapeId="0" xr:uid="{0ED2E6BD-8338-423B-81C4-022829CA9E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Season lump-sum paid up-front—often 50 % on signature, 50 % halfway through season. </t>
      </text>
    </comment>
    <comment ref="E15" authorId="5" shapeId="0" xr:uid="{F776CD55-C01C-49BC-9B6D-C6AE4A166F1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Platforms batch-pay the prior month’s confirmed commissions after returns window closes. </t>
      </text>
    </comment>
    <comment ref="E16" authorId="6" shapeId="0" xr:uid="{C0A6C5AB-09D1-436F-A9B5-4C81E17C4EB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Platforms batch-pay the prior month’s confirmed commissions after returns window closes. </t>
      </text>
    </comment>
    <comment ref="E17" authorId="7" shapeId="0" xr:uid="{FD2229FE-9ED6-4FD2-A9A3-D5D37312D9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Platforms batch-pay the prior month’s confirmed commissions after returns window closes. </t>
      </text>
    </comment>
    <comment ref="E24" authorId="8" shapeId="0" xr:uid="{9CE80E23-D2C6-458E-B627-B2FD99489F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Caterer/venue reconciles covers after the event; net is due on 10-day terms.</t>
      </text>
    </comment>
    <comment ref="E25" authorId="9" shapeId="0" xr:uid="{7100A03F-8A7F-4F8A-B0CB-8D04F8028FE1}">
      <text>
        <t>[Threaded comment]
Your version of Excel allows you to read this threaded comment; however, any edits to it will get removed if the file is opened in a newer version of Excel. Learn more: https://go.microsoft.com/fwlink/?linkid=870924
Comment:
    Invoices once deliverables are presented.</t>
      </text>
    </comment>
    <comment ref="E26" authorId="10" shapeId="0" xr:uid="{70131599-6C0F-484E-A6FA-6CC96739BF09}">
      <text>
        <t>[Threaded comment]
Your version of Excel allows you to read this threaded comment; however, any edits to it will get removed if the file is opened in a newer version of Excel. Learn more: https://go.microsoft.com/fwlink/?linkid=870924
Comment:
    Balance of minimum-spend is settled when the final F&amp;B bill closes. Balanced against deposit proxy, wtd. avg. timing for rental costs is 0.25 months prior to event date.</t>
      </text>
    </comment>
    <comment ref="E30" authorId="11" shapeId="0" xr:uid="{A39915B1-A94F-43FD-938F-C35521931D3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Contractor invoices at month-end, net 5. </t>
      </text>
    </comment>
    <comment ref="E31" authorId="12" shapeId="0" xr:uid="{6FF8B86C-31D7-440C-8890-2162A384B7AF}">
      <text>
        <t>[Threaded comment]
Your version of Excel allows you to read this threaded comment; however, any edits to it will get removed if the file is opened in a newer version of Excel. Learn more: https://go.microsoft.com/fwlink/?linkid=870924
Comment:
    SaaS auto-charges the card on the 1st of each month.</t>
      </text>
    </comment>
    <comment ref="E32" authorId="13" shapeId="0" xr:uid="{B46BC922-EB0D-4971-8CE2-836FE98EE5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Full premium paid at renewal start of season; you expense it monthly. </t>
      </text>
    </comment>
    <comment ref="D103" authorId="14" shapeId="0" xr:uid="{37B95177-E73E-4258-BC16-4EDEFCFB141D}">
      <text>
        <t>[Threaded comment]
Your version of Excel allows you to read this threaded comment; however, any edits to it will get removed if the file is opened in a newer version of Excel. Learn more: https://go.microsoft.com/fwlink/?linkid=870924
Comment:
    NTS: Turn this into a proper monthly model then hide off-seasons.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<sst xmlns="http://schemas.openxmlformats.org/spreadsheetml/2006/main" count="96" uniqueCount="88">
  <si>
    <t>Avg. paid attendees per event</t>
  </si>
  <si>
    <t>Avg. ticket price (gross)</t>
  </si>
  <si>
    <t>Charter flight (2030)</t>
  </si>
  <si>
    <t>Bahamas weekend ground package</t>
  </si>
  <si>
    <t>Period</t>
  </si>
  <si>
    <t>Year</t>
  </si>
  <si>
    <t>End of period date</t>
  </si>
  <si>
    <t>Active months per season</t>
  </si>
  <si>
    <t>Events per month</t>
  </si>
  <si>
    <t>Gross profit</t>
  </si>
  <si>
    <t>Gross margin</t>
  </si>
  <si>
    <t>Wellness</t>
  </si>
  <si>
    <t>Social</t>
  </si>
  <si>
    <t>General</t>
  </si>
  <si>
    <t>Operating assumptions</t>
  </si>
  <si>
    <t>Social-media manager per month</t>
  </si>
  <si>
    <t>Photo/videography per event</t>
  </si>
  <si>
    <t>Annual insurance policy</t>
  </si>
  <si>
    <t>Ticketing</t>
  </si>
  <si>
    <t>Net income</t>
  </si>
  <si>
    <t>(-) Capex</t>
  </si>
  <si>
    <t>(-) Δ NWC</t>
  </si>
  <si>
    <t>Free cash flow</t>
  </si>
  <si>
    <t>(+) D&amp;A</t>
  </si>
  <si>
    <t>BOP cash balance</t>
  </si>
  <si>
    <t>EOP cash balance</t>
  </si>
  <si>
    <t>(-) Equity distributions</t>
  </si>
  <si>
    <t>(+) Equity contributions</t>
  </si>
  <si>
    <t>Event-specific assumptions</t>
  </si>
  <si>
    <t>Sponsorship ladder</t>
  </si>
  <si>
    <t>Inv. / szn</t>
  </si>
  <si>
    <t>Affiliate marketing</t>
  </si>
  <si>
    <t>Base rate</t>
  </si>
  <si>
    <t>%</t>
  </si>
  <si>
    <t>Rate changes</t>
  </si>
  <si>
    <t>Denom.</t>
  </si>
  <si>
    <t>Cam. / szn</t>
  </si>
  <si>
    <t>Reach</t>
  </si>
  <si>
    <t>CTR</t>
  </si>
  <si>
    <t>Conv. rate</t>
  </si>
  <si>
    <t>AOV</t>
  </si>
  <si>
    <t xml:space="preserve">Comm. </t>
  </si>
  <si>
    <t>KPIs</t>
  </si>
  <si>
    <t>IG followers</t>
  </si>
  <si>
    <t>Single event sponsor</t>
  </si>
  <si>
    <t>Sell-through (sponsorship)</t>
  </si>
  <si>
    <t>Sell-through (affiliate marketing)</t>
  </si>
  <si>
    <t>Sponsor income</t>
  </si>
  <si>
    <t>Product promo sponsor</t>
  </si>
  <si>
    <t>Event series sponsor</t>
  </si>
  <si>
    <t>Presenting partner</t>
  </si>
  <si>
    <t>Partner 1 (luxe travel)</t>
  </si>
  <si>
    <t>Partner 2 (wearable tech)</t>
  </si>
  <si>
    <t>Partner 3 (premium credit card)</t>
  </si>
  <si>
    <t>Event services cost per head</t>
  </si>
  <si>
    <t>Event services</t>
  </si>
  <si>
    <t>Venue rental/activation cost</t>
  </si>
  <si>
    <t>Venue rental/activation</t>
  </si>
  <si>
    <t>Total costs of goods sold</t>
  </si>
  <si>
    <t>Total income</t>
  </si>
  <si>
    <t>Photo/videography</t>
  </si>
  <si>
    <t>Social media manager retainer</t>
  </si>
  <si>
    <t>Software stack</t>
  </si>
  <si>
    <t>Net margin</t>
  </si>
  <si>
    <t>FYE</t>
  </si>
  <si>
    <t>KPIs – growth</t>
  </si>
  <si>
    <t>Rev / event</t>
  </si>
  <si>
    <t>Rev / attendee</t>
  </si>
  <si>
    <t>Affiliate income</t>
  </si>
  <si>
    <t>FCF / attendee</t>
  </si>
  <si>
    <t>Dining</t>
  </si>
  <si>
    <t>Cash Timing</t>
  </si>
  <si>
    <t>beg. / mid.</t>
  </si>
  <si>
    <t>beg.</t>
  </si>
  <si>
    <t>Monthly Model – Cash Accounting</t>
  </si>
  <si>
    <t>Monthly Model – Accrual Accounting</t>
  </si>
  <si>
    <t>Annual Model – Accrual Accounting</t>
  </si>
  <si>
    <t>Cash v. accrual timing disparity</t>
  </si>
  <si>
    <t>BOP HY cash account</t>
  </si>
  <si>
    <t>EOP HY cash account</t>
  </si>
  <si>
    <t>Deposits</t>
  </si>
  <si>
    <t>Interest income</t>
  </si>
  <si>
    <t>HY cash account int rate</t>
  </si>
  <si>
    <t>(-) Cash interest paid</t>
  </si>
  <si>
    <t>(+) Interest income</t>
  </si>
  <si>
    <t>TBD</t>
  </si>
  <si>
    <t>Sponsors</t>
  </si>
  <si>
    <t>Affiliate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</si>
</sst>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164" formatCode="#,##0;\(#,##0\);&quot;–&quot;;@"/>
    <numFmt numFmtId="165" formatCode="0.0%"/>
    <numFmt numFmtId="166" formatCode="&quot;$&quot;#,##0_);[Red]\(&quot;$&quot;#,##0\);\-\-_)"/>
    <numFmt numFmtId="167" formatCode="\+\ #,##0;\-\ #,##0;\-\-"/>
    <numFmt numFmtId="168" formatCode="0.0"/>
    <numFmt numFmtId="169" formatCode="&quot;M + &quot;0.00;&quot;M -&quot;\ 0.00"/>
    <numFmt numFmtId="170" formatCode="_(#,##0.0%_);\(#,##0.0%\);_(&quot;–&quot;_)_%;_(@_)_%"/>
  </numFmts>
  <fonts count="10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FF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</font>
    <font>
      <sz val="11"/>
      <color rgb="FF800080"/>
      <name val="Calibri"/>
      <family val="2"/>
    </font>
    <font>
      <sz val="11"/>
      <color rgb="FF00B050"/>
      <name val="Calibri"/>
      <family val="2"/>
    </font>
    <font>
      <b/>
      <sz val="11"/>
      <color rgb="FF0000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6" fontId="3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2" fillId="0" borderId="0" xfId="0" applyFont="1"/>
    <xf numFmtId="0" fontId="2" fillId="0" borderId="2" xfId="0" applyFont="1" applyBorder="1"/>
    <xf numFmtId="6" fontId="2" fillId="0" borderId="2" xfId="0" applyNumberFormat="1" applyFont="1" applyBorder="1"/>
    <xf numFmtId="6" fontId="0" fillId="0" borderId="0" xfId="0" applyNumberFormat="1"/>
    <xf numFmtId="0" fontId="5" fillId="0" borderId="0" xfId="0" applyFont="1" applyAlignment="1">
      <alignment horizontal="left" vertical="center" indent="1"/>
    </xf>
    <xf numFmtId="165" fontId="3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6" fontId="2" fillId="0" borderId="0" xfId="0" applyNumberFormat="1" applyFont="1"/>
    <xf numFmtId="6" fontId="0" fillId="0" borderId="2" xfId="0" applyNumberFormat="1" applyBorder="1"/>
    <xf numFmtId="0" fontId="0" fillId="0" borderId="2" xfId="0" applyBorder="1"/>
    <xf numFmtId="6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indent="1"/>
    </xf>
    <xf numFmtId="166" fontId="0" fillId="0" borderId="0" xfId="0" applyNumberFormat="1"/>
    <xf numFmtId="166" fontId="3" fillId="0" borderId="0" xfId="0" applyNumberFormat="1" applyFont="1"/>
    <xf numFmtId="166" fontId="3" fillId="0" borderId="1" xfId="0" applyNumberFormat="1" applyFont="1" applyBorder="1"/>
    <xf numFmtId="0" fontId="2" fillId="2" borderId="0" xfId="0" applyFont="1" applyFill="1" applyAlignment="1">
      <alignment horizontal="centerContinuous"/>
    </xf>
    <xf numFmtId="6" fontId="3" fillId="0" borderId="1" xfId="0" applyNumberFormat="1" applyFont="1" applyBorder="1" applyAlignment="1">
      <alignment horizontal="center"/>
    </xf>
    <xf numFmtId="6" fontId="6" fillId="0" borderId="1" xfId="0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6" fontId="7" fillId="0" borderId="1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  <xf numFmtId="0" fontId="2" fillId="0" borderId="7" xfId="0" applyFont="1" applyBorder="1"/>
    <xf numFmtId="0" fontId="2" fillId="0" borderId="8" xfId="0" applyFont="1" applyBorder="1"/>
    <xf numFmtId="0" fontId="5" fillId="0" borderId="7" xfId="0" applyFont="1" applyBorder="1"/>
    <xf numFmtId="165" fontId="5" fillId="0" borderId="0" xfId="1" applyNumberFormat="1" applyFont="1" applyBorder="1"/>
    <xf numFmtId="0" fontId="5" fillId="0" borderId="8" xfId="0" applyFont="1" applyBorder="1"/>
    <xf numFmtId="0" fontId="0" fillId="0" borderId="9" xfId="0" applyBorder="1"/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14" fontId="0" fillId="0" borderId="10" xfId="0" applyNumberFormat="1" applyBorder="1"/>
    <xf numFmtId="6" fontId="8" fillId="0" borderId="1" xfId="0" applyNumberFormat="1" applyFont="1" applyBorder="1"/>
    <xf numFmtId="166" fontId="6" fillId="0" borderId="0" xfId="0" applyNumberFormat="1" applyFont="1"/>
    <xf numFmtId="6" fontId="0" fillId="0" borderId="6" xfId="0" applyNumberFormat="1" applyBorder="1"/>
    <xf numFmtId="6" fontId="0" fillId="0" borderId="8" xfId="0" applyNumberFormat="1" applyBorder="1"/>
    <xf numFmtId="166" fontId="6" fillId="0" borderId="8" xfId="0" applyNumberFormat="1" applyFont="1" applyBorder="1"/>
    <xf numFmtId="166" fontId="3" fillId="0" borderId="8" xfId="0" applyNumberFormat="1" applyFont="1" applyBorder="1"/>
    <xf numFmtId="0" fontId="2" fillId="3" borderId="12" xfId="0" applyFont="1" applyFill="1" applyBorder="1"/>
    <xf numFmtId="6" fontId="2" fillId="3" borderId="4" xfId="0" applyNumberFormat="1" applyFont="1" applyFill="1" applyBorder="1"/>
    <xf numFmtId="6" fontId="2" fillId="3" borderId="3" xfId="0" applyNumberFormat="1" applyFont="1" applyFill="1" applyBorder="1"/>
    <xf numFmtId="0" fontId="2" fillId="3" borderId="2" xfId="0" applyFont="1" applyFill="1" applyBorder="1"/>
    <xf numFmtId="6" fontId="2" fillId="3" borderId="2" xfId="0" applyNumberFormat="1" applyFont="1" applyFill="1" applyBorder="1"/>
    <xf numFmtId="0" fontId="2" fillId="0" borderId="0" xfId="0" applyFont="1" applyAlignment="1">
      <alignment horizontal="right" indent="1"/>
    </xf>
    <xf numFmtId="6" fontId="6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7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center" vertical="center"/>
    </xf>
    <xf numFmtId="0" fontId="2" fillId="3" borderId="4" xfId="0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9" fontId="3" fillId="0" borderId="1" xfId="0" applyNumberFormat="1" applyFont="1" applyBorder="1" applyAlignment="1">
      <alignment horizontal="center"/>
    </xf>
    <xf numFmtId="169" fontId="0" fillId="0" borderId="0" xfId="0" applyNumberFormat="1" applyAlignment="1">
      <alignment horizontal="left" indent="1"/>
    </xf>
    <xf numFmtId="165" fontId="0" fillId="0" borderId="0" xfId="0" applyNumberFormat="1" applyAlignment="1">
      <alignment horizontal="left" indent="1"/>
    </xf>
    <xf numFmtId="166" fontId="0" fillId="0" borderId="0" xfId="0" applyNumberFormat="1" applyAlignment="1">
      <alignment horizontal="right"/>
    </xf>
    <xf numFmtId="166" fontId="2" fillId="0" borderId="0" xfId="0" applyNumberFormat="1" applyFont="1" applyAlignment="1">
      <alignment horizontal="right"/>
    </xf>
    <xf numFmtId="166" fontId="2" fillId="0" borderId="0" xfId="0" applyNumberFormat="1" applyFont="1"/>
    <xf numFmtId="0" fontId="0" fillId="0" borderId="0" xfId="0" applyAlignment="1">
      <alignment horizontal="right"/>
    </xf>
    <xf numFmtId="0" fontId="4" fillId="0" borderId="0" xfId="0" applyFont="1"/>
    <xf numFmtId="14" fontId="5" fillId="0" borderId="0" xfId="0" applyNumberFormat="1" applyFont="1"/>
    <xf numFmtId="6" fontId="5" fillId="0" borderId="0" xfId="0" applyNumberFormat="1" applyFont="1"/>
    <xf numFmtId="165" fontId="3" fillId="0" borderId="1" xfId="0" applyNumberFormat="1" applyFont="1" applyBorder="1" applyAlignment="1">
      <alignment horizontal="center" vertical="center"/>
    </xf>
    <xf numFmtId="0" fontId="2" fillId="7" borderId="12" xfId="0" applyFont="1" applyFill="1" applyBorder="1"/>
    <xf numFmtId="6" fontId="2" fillId="7" borderId="4" xfId="0" applyNumberFormat="1" applyFont="1" applyFill="1" applyBorder="1"/>
    <xf numFmtId="6" fontId="2" fillId="7" borderId="3" xfId="0" applyNumberFormat="1" applyFont="1" applyFill="1" applyBorder="1"/>
    <xf numFmtId="6" fontId="0" fillId="0" borderId="0" xfId="0" applyNumberFormat="1" applyAlignment="1">
      <alignment horizontal="right"/>
    </xf>
    <xf numFmtId="0" fontId="5" fillId="0" borderId="2" xfId="0" applyFont="1" applyBorder="1"/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Continuous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Continuous"/>
    </xf>
    <xf numFmtId="0" fontId="0" fillId="0" borderId="0" xfId="0" applyAlignment="1">
      <alignment horizontal="left" vertical="center" wrapText="1"/>
    </xf>
    <xf numFmtId="6" fontId="5" fillId="0" borderId="0" xfId="0" applyNumberFormat="1" applyFont="1" applyAlignment="1">
      <alignment horizontal="left" vertical="center" indent="1"/>
    </xf>
    <xf numFmtId="0" fontId="0" fillId="0" borderId="10" xfId="0" applyBorder="1" applyAlignment="1">
      <alignment vertical="center" wrapText="1"/>
    </xf>
    <xf numFmtId="6" fontId="3" fillId="0" borderId="10" xfId="0" applyNumberFormat="1" applyFont="1" applyBorder="1" applyAlignment="1">
      <alignment horizontal="center" vertical="center"/>
    </xf>
    <xf numFmtId="6" fontId="5" fillId="0" borderId="10" xfId="0" applyNumberFormat="1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/>
    </xf>
    <xf numFmtId="0" fontId="0" fillId="8" borderId="7" xfId="0" applyFill="1" applyBorder="1"/>
    <xf numFmtId="170" fontId="0" fillId="0" borderId="1" xfId="1" applyNumberFormat="1" applyFont="1" applyBorder="1" applyAlignment="1">
      <alignment horizontal="right"/>
    </xf>
    <xf numFmtId="6" fontId="9" fillId="6" borderId="1" xfId="0" applyNumberFormat="1" applyFont="1" applyFill="1" applyBorder="1" applyAlignment="1">
      <alignment horizontal="center" vertical="center"/>
    </xf>
    <xf numFmtId="166" fontId="8" fillId="0" borderId="1" xfId="0" applyNumberFormat="1" applyFont="1" applyBorder="1"/>
    <xf numFmtId="164" fontId="6" fillId="0" borderId="1" xfId="0" applyNumberFormat="1" applyFont="1" applyBorder="1" applyAlignment="1">
      <alignment horizontal="right" vertical="center"/>
    </xf>
    <xf numFmtId="0" fontId="0" fillId="0" borderId="8" xfId="0" applyBorder="1" applyAlignment="1">
      <alignment horizontal="right"/>
    </xf>
  </cellXfs>
  <cellStyles count="2">
    <cellStyle name="Normal" xfId="0" builtinId="0"/>
    <cellStyle name="Percent" xfId="1" builtinId="5"/>
  </cellStyles>
  <dxfs count="1">
    <dxf>
      <font>
        <color rgb="FF00B050"/>
      </font>
    </dxf>
  </dxfs>
  <tableStyles count="0" defaultTableStyle="TableStyleMedium2" defaultPivotStyle="PivotStyleLight16"/>
  <colors>
    <mruColors>
      <color rgb="FF0000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Don Harris" id="{754ADDCF-F4A1-4ED2-A46A-2BA566EB4FF4}" userId="37ee146ee958e1b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0" dT="2025-05-06T02:17:13.30" personId="{754ADDCF-F4A1-4ED2-A46A-2BA566EB4FF4}" id="{A0603AA0-8155-4BFF-9E03-095BF81AC1CA}">
    <text>$150 facility rental for 2 h</text>
  </threadedComment>
  <threadedComment ref="F20" dT="2025-05-06T02:10:25.76" personId="{754ADDCF-F4A1-4ED2-A46A-2BA566EB4FF4}" id="{56A556B8-85A0-4C2F-A5D9-F8BA618DF8D9}">
    <text>$150 pp F&amp;B minimum</text>
  </threadedComment>
  <threadedComment ref="G20" dT="2025-05-06T02:10:25.76" personId="{754ADDCF-F4A1-4ED2-A46A-2BA566EB4FF4}" id="{3826C5FF-D022-4054-AD7E-24F82486AC60}">
    <text>$150 pp F&amp;B minimum</text>
  </threadedComment>
  <threadedComment ref="D24" dT="2025-05-05T23:31:59.61" personId="{754ADDCF-F4A1-4ED2-A46A-2BA566EB4FF4}" id="{03FE3042-D9E6-40BD-B110-562D3431033A}">
    <text>Charged per person</text>
  </threadedComment>
  <threadedComment ref="D25" dT="2025-05-05T20:35:02.48" personId="{754ADDCF-F4A1-4ED2-A46A-2BA566EB4FF4}" id="{8A6CBCBC-207C-49B6-845C-377A89DA4CBC}">
    <text>In-person sample delivery + social reel</text>
  </threadedComment>
  <threadedComment ref="D25" dT="2025-05-05T23:32:06.11" personId="{754ADDCF-F4A1-4ED2-A46A-2BA566EB4FF4}" id="{553A9754-9BE7-4290-8154-8D15F18CF108}" parentId="{8A6CBCBC-207C-49B6-845C-377A89DA4CBC}">
    <text>Charged per person</text>
  </threadedComment>
  <threadedComment ref="D26" dT="2025-05-05T20:35:10.39" personId="{754ADDCF-F4A1-4ED2-A46A-2BA566EB4FF4}" id="{17CA3DA0-1D88-4222-AB43-ADE153926704}">
    <text>"Powered by ___" signage + 60-second host intro</text>
  </threadedComment>
  <threadedComment ref="D26" dT="2025-05-05T23:32:15.51" personId="{754ADDCF-F4A1-4ED2-A46A-2BA566EB4FF4}" id="{4E3F9211-06B0-4D08-9A95-7B4CFD490344}" parentId="{17CA3DA0-1D88-4222-AB43-ADE153926704}">
    <text>Charged per person</text>
  </threadedComment>
  <threadedComment ref="D27" dT="2025-05-05T23:32:26.04" personId="{754ADDCF-F4A1-4ED2-A46A-2BA566EB4FF4}" id="{4D96DFD6-D2B4-4AA3-BE26-09271FEA6041}">
    <text>One-time fee</text>
  </threadedComment>
  <threadedComment ref="D35" dT="2025-05-05T21:39:44.75" personId="{754ADDCF-F4A1-4ED2-A46A-2BA566EB4FF4}" id="{ACBB4C6B-3AEE-48FF-8E6B-9AD305641FBC}">
    <text xml:space="preserve">Luxury group travel (Amex FH&amp;R, Inspirato) </text>
  </threadedComment>
  <threadedComment ref="D36" dT="2025-05-05T21:41:06.06" personId="{754ADDCF-F4A1-4ED2-A46A-2BA566EB4FF4}" id="{A35470DA-9E7B-4C9F-A554-F1341981E2E1}">
    <text>Connected fitness or Whoop annual</text>
  </threadedComment>
  <threadedComment ref="D37" dT="2025-05-05T21:40:06.83" personId="{754ADDCF-F4A1-4ED2-A46A-2BA566EB4FF4}" id="{F45AA100-76E3-4BC4-B402-C0319F295DDA}">
    <text>Premium credit card referral (Chase Sapphire, Amex Platinum)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9" dT="2025-05-06T03:19:26.72" personId="{754ADDCF-F4A1-4ED2-A46A-2BA566EB4FF4}" id="{8987C543-68C2-4BA2-BD02-E19033207F35}">
    <text>Guests pre-pay when they RSVP; Stripe clears within days. Wtd. avg. sign up time = 1 week prior to event, given behavioral trends.</text>
  </threadedComment>
  <threadedComment ref="E10" dT="2025-05-06T03:20:11.72" personId="{754ADDCF-F4A1-4ED2-A46A-2BA566EB4FF4}" id="{8C4F0CE3-B920-40DC-83A0-1D8CD11AB945}">
    <text>50% cash fee wired on contract signature; remainder delivered following the event.</text>
  </threadedComment>
  <threadedComment ref="E11" dT="2025-05-06T03:20:11.72" personId="{754ADDCF-F4A1-4ED2-A46A-2BA566EB4FF4}" id="{489FF0C2-CD63-474A-8C65-73C033EC4149}">
    <text>50% cash fee wired on contract signature; remainder delivered following the event.</text>
  </threadedComment>
  <threadedComment ref="E12" dT="2025-05-06T03:20:11.72" personId="{754ADDCF-F4A1-4ED2-A46A-2BA566EB4FF4}" id="{61054BA8-CB5F-41D2-AA31-E71AF70F3C5F}">
    <text>50% cash fee wired on contract signature; remainder delivered following the event.</text>
  </threadedComment>
  <threadedComment ref="E13" dT="2025-05-06T03:17:17.16" personId="{754ADDCF-F4A1-4ED2-A46A-2BA566EB4FF4}" id="{0ED2E6BD-8338-423B-81C4-022829CA9EEA}">
    <text xml:space="preserve">Season lump-sum paid up-front—often 50 % on signature, 50 % halfway through season. </text>
  </threadedComment>
  <threadedComment ref="E15" dT="2025-05-06T03:16:45.31" personId="{754ADDCF-F4A1-4ED2-A46A-2BA566EB4FF4}" id="{F776CD55-C01C-49BC-9B6D-C6AE4A166F10}">
    <text xml:space="preserve">Platforms batch-pay the prior month’s confirmed commissions after returns window closes. </text>
  </threadedComment>
  <threadedComment ref="E16" dT="2025-05-06T03:16:45.31" personId="{754ADDCF-F4A1-4ED2-A46A-2BA566EB4FF4}" id="{C0A6C5AB-09D1-436F-A9B5-4C81E17C4EB8}">
    <text xml:space="preserve">Platforms batch-pay the prior month’s confirmed commissions after returns window closes. </text>
  </threadedComment>
  <threadedComment ref="E17" dT="2025-05-06T03:16:45.31" personId="{754ADDCF-F4A1-4ED2-A46A-2BA566EB4FF4}" id="{FD2229FE-9ED6-4FD2-A9A3-D5D37312D95A}">
    <text xml:space="preserve">Platforms batch-pay the prior month’s confirmed commissions after returns window closes. </text>
  </threadedComment>
  <threadedComment ref="E24" dT="2025-05-06T03:22:33.37" personId="{754ADDCF-F4A1-4ED2-A46A-2BA566EB4FF4}" id="{9CE80E23-D2C6-458E-B627-B2FD99489F9A}">
    <text>Caterer/venue reconciles covers after the event; net is due on 10-day terms.</text>
  </threadedComment>
  <threadedComment ref="E25" dT="2025-05-06T03:23:06.76" personId="{754ADDCF-F4A1-4ED2-A46A-2BA566EB4FF4}" id="{7100A03F-8A7F-4F8A-B0CB-8D04F8028FE1}">
    <text>Invoices once deliverables are presented.</text>
  </threadedComment>
  <threadedComment ref="E26" dT="2025-05-06T03:24:24.70" personId="{754ADDCF-F4A1-4ED2-A46A-2BA566EB4FF4}" id="{70131599-6C0F-484E-A6FA-6CC96739BF09}">
    <text>Balance of minimum-spend is settled when the final F&amp;B bill closes. Balanced against deposit proxy, wtd. avg. timing for rental costs is 0.25 months prior to event date.</text>
  </threadedComment>
  <threadedComment ref="E30" dT="2025-05-06T03:27:42.50" personId="{754ADDCF-F4A1-4ED2-A46A-2BA566EB4FF4}" id="{A39915B1-A94F-43FD-938F-C35521931D3D}">
    <text xml:space="preserve">Contractor invoices at month-end, net 5. </text>
  </threadedComment>
  <threadedComment ref="E31" dT="2025-05-06T03:27:57.52" personId="{754ADDCF-F4A1-4ED2-A46A-2BA566EB4FF4}" id="{6FF8B86C-31D7-440C-8890-2162A384B7AF}">
    <text>SaaS auto-charges the card on the 1st of each month.</text>
  </threadedComment>
  <threadedComment ref="E32" dT="2025-05-06T03:28:45.42" personId="{754ADDCF-F4A1-4ED2-A46A-2BA566EB4FF4}" id="{B46BC922-EB0D-4971-8CE2-836FE98EE518}">
    <text xml:space="preserve">Full premium paid at renewal start of season; you expense it monthly. </text>
  </threadedComment>
  <threadedComment ref="D103" dT="2025-05-06T06:32:59.45" personId="{754ADDCF-F4A1-4ED2-A46A-2BA566EB4FF4}" id="{37B95177-E73E-4258-BC16-4EDEFCFB141D}">
    <text>NTS: Turn this into a proper monthly model then hide off-seasons.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A133-753E-4257-938A-91340DAF806B}">
  <dimension ref="C2:AG39"/>
  <sheetViews>
    <sheetView topLeftCell="A3" zoomScale="81" workbookViewId="0">
      <selection activeCell="G17" sqref="G17"/>
    </sheetView>
  </sheetViews>
  <sheetFormatPr defaultRowHeight="14.4" outlineLevelRow="1" x14ac:dyDescent="0.55000000000000004"/>
  <cols>
    <col min="1" max="3" width="2.578125" customWidth="1"/>
    <col min="4" max="4" width="35.578125" customWidth="1"/>
    <col min="5" max="20" width="10.578125" customWidth="1"/>
    <col min="21" max="23" width="2.578125" customWidth="1"/>
  </cols>
  <sheetData>
    <row r="2" spans="3:33" x14ac:dyDescent="0.55000000000000004">
      <c r="F2" s="4"/>
      <c r="AG2" s="5"/>
    </row>
    <row r="3" spans="3:33" x14ac:dyDescent="0.55000000000000004">
      <c r="C3" s="25"/>
      <c r="D3" s="14"/>
      <c r="E3" s="14"/>
      <c r="F3" s="7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26"/>
      <c r="AG3" s="5"/>
    </row>
    <row r="4" spans="3:33" x14ac:dyDescent="0.55000000000000004">
      <c r="C4" s="27"/>
      <c r="D4" s="79" t="s">
        <v>14</v>
      </c>
      <c r="E4" s="61" t="s">
        <v>13</v>
      </c>
      <c r="F4" s="4"/>
      <c r="K4" s="80" t="s">
        <v>42</v>
      </c>
      <c r="L4" s="80"/>
      <c r="M4" s="80"/>
      <c r="N4" s="80"/>
      <c r="O4" s="80"/>
      <c r="Q4" s="80" t="s">
        <v>65</v>
      </c>
      <c r="R4" s="80"/>
      <c r="S4" s="80"/>
      <c r="T4" s="80"/>
      <c r="U4" s="28"/>
      <c r="AG4" s="5"/>
    </row>
    <row r="5" spans="3:33" x14ac:dyDescent="0.55000000000000004">
      <c r="C5" s="27"/>
      <c r="D5" s="1" t="s">
        <v>7</v>
      </c>
      <c r="E5" s="2">
        <v>5</v>
      </c>
      <c r="F5" s="9"/>
      <c r="K5" s="61">
        <v>2026</v>
      </c>
      <c r="L5" s="61">
        <f>+K5+1</f>
        <v>2027</v>
      </c>
      <c r="M5" s="61">
        <f>+L5+1</f>
        <v>2028</v>
      </c>
      <c r="N5" s="61">
        <f>+M5+1</f>
        <v>2029</v>
      </c>
      <c r="O5" s="61">
        <f>+N5+1</f>
        <v>2030</v>
      </c>
      <c r="P5" s="69"/>
      <c r="Q5" s="61">
        <f>+L5</f>
        <v>2027</v>
      </c>
      <c r="R5" s="61">
        <f>+M5</f>
        <v>2028</v>
      </c>
      <c r="S5" s="61">
        <f>+N5</f>
        <v>2029</v>
      </c>
      <c r="T5" s="61">
        <f>+O5</f>
        <v>2030</v>
      </c>
      <c r="U5" s="28"/>
      <c r="AG5" s="5"/>
    </row>
    <row r="6" spans="3:33" x14ac:dyDescent="0.55000000000000004">
      <c r="C6" s="27"/>
      <c r="D6" s="1" t="s">
        <v>15</v>
      </c>
      <c r="E6" s="3">
        <v>2100</v>
      </c>
      <c r="F6" s="9"/>
      <c r="J6" s="54" t="s">
        <v>43</v>
      </c>
      <c r="K6" s="56">
        <v>2500</v>
      </c>
      <c r="L6" s="56">
        <v>5000</v>
      </c>
      <c r="M6" s="56">
        <v>8000</v>
      </c>
      <c r="N6" s="56">
        <v>11000</v>
      </c>
      <c r="O6" s="56">
        <v>15000</v>
      </c>
      <c r="P6" s="69"/>
      <c r="Q6" s="57">
        <f t="shared" ref="Q6" si="0">+IFERROR(L6-K6,"NA")</f>
        <v>2500</v>
      </c>
      <c r="R6" s="57">
        <f t="shared" ref="R6" si="1">+IFERROR(M6-L6,"NA")</f>
        <v>3000</v>
      </c>
      <c r="S6" s="57">
        <f t="shared" ref="S6" si="2">+IFERROR(N6-M6,"NA")</f>
        <v>3000</v>
      </c>
      <c r="T6" s="57">
        <f t="shared" ref="T6" si="3">+IFERROR(O6-N6,"NA")</f>
        <v>4000</v>
      </c>
      <c r="U6" s="28"/>
      <c r="AG6" s="5"/>
    </row>
    <row r="7" spans="3:33" x14ac:dyDescent="0.55000000000000004">
      <c r="C7" s="27"/>
      <c r="D7" s="1" t="s">
        <v>16</v>
      </c>
      <c r="E7" s="3">
        <v>500</v>
      </c>
      <c r="F7" s="9"/>
      <c r="J7" s="54" t="s">
        <v>86</v>
      </c>
      <c r="K7" s="94" cm="1">
        <f t="array" ref="K7">+SUMPRODUCT($F$24:$F$27,_xlfn._xlws.FILTER($H$24:$L$27,K$5=$H$23:$L$23))</f>
        <v>13</v>
      </c>
      <c r="L7" s="94" cm="1">
        <f t="array" ref="L7">+SUMPRODUCT($F$24:$F$27,_xlfn._xlws.FILTER($H$24:$L$27,L$5=$H$23:$L$23))</f>
        <v>12</v>
      </c>
      <c r="M7" s="94" cm="1">
        <f t="array" ref="M7">+SUMPRODUCT($F$24:$F$27,_xlfn._xlws.FILTER($H$24:$L$27,M$5=$H$23:$L$23))</f>
        <v>12</v>
      </c>
      <c r="N7" s="94" cm="1">
        <f t="array" ref="N7">+SUMPRODUCT($F$24:$F$27,_xlfn._xlws.FILTER($H$24:$L$27,N$5=$H$23:$L$23))</f>
        <v>10</v>
      </c>
      <c r="O7" s="94" cm="1">
        <f t="array" ref="O7">+SUMPRODUCT($F$24:$F$27,_xlfn._xlws.FILTER($H$24:$L$27,O$5=$H$23:$L$23))</f>
        <v>10</v>
      </c>
      <c r="Q7" s="57">
        <f t="shared" ref="Q7:Q8" si="4">+IFERROR(L7-K7,"NA")</f>
        <v>-1</v>
      </c>
      <c r="R7" s="57">
        <f t="shared" ref="R7:R8" si="5">+IFERROR(M7-L7,"NA")</f>
        <v>0</v>
      </c>
      <c r="S7" s="57">
        <f t="shared" ref="S7:S8" si="6">+IFERROR(N7-M7,"NA")</f>
        <v>-2</v>
      </c>
      <c r="T7" s="57">
        <f t="shared" ref="T7:T8" si="7">+IFERROR(O7-N7,"NA")</f>
        <v>0</v>
      </c>
      <c r="U7" s="28"/>
      <c r="AG7" s="5"/>
    </row>
    <row r="8" spans="3:33" x14ac:dyDescent="0.55000000000000004">
      <c r="C8" s="27"/>
      <c r="D8" s="1" t="s">
        <v>17</v>
      </c>
      <c r="E8" s="3">
        <v>500</v>
      </c>
      <c r="F8" s="9"/>
      <c r="J8" s="54" t="s">
        <v>87</v>
      </c>
      <c r="K8" s="94" cm="1">
        <f t="array" ref="K8">+SUMPRODUCT($E$35:$E$37,_xlfn._xlws.FILTER($L$35:$P$37,K$5=$L$34:$P$34))</f>
        <v>0</v>
      </c>
      <c r="L8" s="94" cm="1">
        <f t="array" ref="L8">+SUMPRODUCT($E$35:$E$37,_xlfn._xlws.FILTER($L$35:$P$37,L$5=$L$34:$P$34))</f>
        <v>3</v>
      </c>
      <c r="M8" s="94" cm="1">
        <f t="array" ref="M8">+SUMPRODUCT($E$35:$E$37,_xlfn._xlws.FILTER($L$35:$P$37,M$5=$L$34:$P$34))</f>
        <v>6</v>
      </c>
      <c r="N8" s="94" cm="1">
        <f t="array" ref="N8">+SUMPRODUCT($E$35:$E$37,_xlfn._xlws.FILTER($L$35:$P$37,N$5=$L$34:$P$34))</f>
        <v>10</v>
      </c>
      <c r="O8" s="94" cm="1">
        <f t="array" ref="O8">+SUMPRODUCT($E$35:$E$37,_xlfn._xlws.FILTER($L$35:$P$37,O$5=$L$34:$P$34))</f>
        <v>10</v>
      </c>
      <c r="P8" s="69"/>
      <c r="Q8" s="57">
        <f t="shared" si="4"/>
        <v>3</v>
      </c>
      <c r="R8" s="57">
        <f t="shared" si="5"/>
        <v>3</v>
      </c>
      <c r="S8" s="57">
        <f t="shared" si="6"/>
        <v>4</v>
      </c>
      <c r="T8" s="57">
        <f t="shared" si="7"/>
        <v>0</v>
      </c>
      <c r="U8" s="28"/>
      <c r="AG8" s="5"/>
    </row>
    <row r="9" spans="3:33" x14ac:dyDescent="0.55000000000000004">
      <c r="C9" s="27"/>
      <c r="D9" s="1" t="s">
        <v>62</v>
      </c>
      <c r="E9" s="3">
        <v>300</v>
      </c>
      <c r="F9" s="9"/>
      <c r="P9" s="69"/>
      <c r="Q9" s="69"/>
      <c r="R9" s="69"/>
      <c r="S9" s="69"/>
      <c r="T9" s="69"/>
      <c r="U9" s="95"/>
      <c r="AG9" s="5"/>
    </row>
    <row r="10" spans="3:33" x14ac:dyDescent="0.55000000000000004">
      <c r="C10" s="27"/>
      <c r="D10" s="1" t="s">
        <v>82</v>
      </c>
      <c r="E10" s="73">
        <v>0.04</v>
      </c>
      <c r="F10" s="9"/>
      <c r="J10" s="54" t="s">
        <v>66</v>
      </c>
      <c r="K10" s="55">
        <f>+IFERROR(K$16/($E$5*SUM($E$16:$G$16)),"NA")</f>
        <v>2945.3333333333335</v>
      </c>
      <c r="L10" s="55">
        <f>+IFERROR(L$16/($E$5*SUM($E$16:$G$16)),"NA")</f>
        <v>3703.25</v>
      </c>
      <c r="M10" s="55">
        <f>+IFERROR(M$16/($E$5*SUM($E$16:$G$16)),"NA")</f>
        <v>4100.9333333333334</v>
      </c>
      <c r="N10" s="55">
        <f>+IFERROR(N$16/($E$5*SUM($E$16:$G$16)),"NA")</f>
        <v>4470.4566666666669</v>
      </c>
      <c r="O10" s="55">
        <f>+IFERROR(O$16/($E$5*SUM($E$16:$G$16)),"NA")</f>
        <v>4930.6833333333343</v>
      </c>
      <c r="Q10" s="55">
        <f t="shared" ref="Q10:Q11" si="8">+IFERROR(L10-K10,"NA")</f>
        <v>757.91666666666652</v>
      </c>
      <c r="R10" s="55">
        <f t="shared" ref="R10:R12" si="9">+IFERROR(M10-L10,"NA")</f>
        <v>397.68333333333339</v>
      </c>
      <c r="S10" s="55">
        <f t="shared" ref="S10:S12" si="10">+IFERROR(N10-M10,"NA")</f>
        <v>369.52333333333354</v>
      </c>
      <c r="T10" s="55">
        <f t="shared" ref="T10:T12" si="11">+IFERROR(O10-N10,"NA")</f>
        <v>460.22666666666737</v>
      </c>
      <c r="U10" s="28"/>
      <c r="AG10" s="5"/>
    </row>
    <row r="11" spans="3:33" x14ac:dyDescent="0.55000000000000004">
      <c r="C11" s="27"/>
      <c r="J11" s="54" t="s">
        <v>67</v>
      </c>
      <c r="K11" s="55">
        <f>+IFERROR(K$16/($E$5*SUMPRODUCT($E$16:$G$16,$E$17:$G$17)),"NA")</f>
        <v>133.87878787878788</v>
      </c>
      <c r="L11" s="55">
        <f>+IFERROR(L$16/($E$5*SUMPRODUCT($E$16:$G$16,$E$17:$G$17)),"NA")</f>
        <v>168.32954545454547</v>
      </c>
      <c r="M11" s="55">
        <f>+IFERROR(M$16/($E$5*SUMPRODUCT($E$16:$G$16,$E$17:$G$17)),"NA")</f>
        <v>186.40606060606061</v>
      </c>
      <c r="N11" s="55">
        <f>+IFERROR(N$16/($E$5*SUMPRODUCT($E$16:$G$16,$E$17:$G$17)),"NA")</f>
        <v>203.20257575757577</v>
      </c>
      <c r="O11" s="55">
        <f>+IFERROR(O$16/($E$5*SUMPRODUCT($E$16:$G$16,$E$17:$G$17)),"NA")</f>
        <v>224.12196969696973</v>
      </c>
      <c r="P11" s="69"/>
      <c r="Q11" s="55">
        <f t="shared" si="8"/>
        <v>34.450757575757592</v>
      </c>
      <c r="R11" s="55">
        <f t="shared" si="9"/>
        <v>18.076515151515139</v>
      </c>
      <c r="S11" s="55">
        <f t="shared" si="10"/>
        <v>16.796515151515166</v>
      </c>
      <c r="T11" s="55">
        <f t="shared" si="11"/>
        <v>20.919393939393956</v>
      </c>
      <c r="U11" s="28"/>
      <c r="AG11" s="5"/>
    </row>
    <row r="12" spans="3:33" x14ac:dyDescent="0.55000000000000004">
      <c r="C12" s="27"/>
      <c r="D12" s="1" t="s">
        <v>2</v>
      </c>
      <c r="E12" s="92" t="s">
        <v>85</v>
      </c>
      <c r="J12" s="54" t="s">
        <v>69</v>
      </c>
      <c r="K12" s="55">
        <f ca="1">+IFERROR(K$17/($E$5*SUMPRODUCT($E$16:$G$16,$E$17:$G$17)),"NA")</f>
        <v>-15.731869842274747</v>
      </c>
      <c r="L12" s="55">
        <f ca="1">+IFERROR(L$17/($E$5*SUMPRODUCT($E$16:$G$16,$E$17:$G$17)),"NA")</f>
        <v>18.788825649545046</v>
      </c>
      <c r="M12" s="55">
        <f ca="1">+IFERROR(M$17/($E$5*SUMPRODUCT($E$16:$G$16,$E$17:$G$17)),"NA")</f>
        <v>37.492904862851958</v>
      </c>
      <c r="N12" s="55">
        <f ca="1">+IFERROR(N$17/($E$5*SUMPRODUCT($E$16:$G$16,$E$17:$G$17)),"NA")</f>
        <v>54.36456453154458</v>
      </c>
      <c r="O12" s="55">
        <f ca="1">+IFERROR(O$17/($E$5*SUMPRODUCT($E$16:$G$16,$E$17:$G$17)),"NA")</f>
        <v>75.362164491687793</v>
      </c>
      <c r="P12" s="69"/>
      <c r="Q12" s="55">
        <f ca="1">+IFERROR(L12-K12,"NA")</f>
        <v>34.520695491819794</v>
      </c>
      <c r="R12" s="55">
        <f t="shared" ca="1" si="9"/>
        <v>18.704079213306912</v>
      </c>
      <c r="S12" s="55">
        <f t="shared" ca="1" si="10"/>
        <v>16.871659668692622</v>
      </c>
      <c r="T12" s="55">
        <f t="shared" ca="1" si="11"/>
        <v>20.997599960143212</v>
      </c>
      <c r="U12" s="28"/>
      <c r="AG12" s="5"/>
    </row>
    <row r="13" spans="3:33" x14ac:dyDescent="0.55000000000000004">
      <c r="C13" s="27"/>
      <c r="D13" s="1" t="s">
        <v>3</v>
      </c>
      <c r="E13" s="92" t="s">
        <v>85</v>
      </c>
      <c r="G13" s="81"/>
      <c r="Q13" s="69"/>
      <c r="R13" s="69"/>
      <c r="S13" s="69"/>
      <c r="T13" s="69"/>
      <c r="U13" s="28"/>
      <c r="AG13" s="5"/>
    </row>
    <row r="14" spans="3:33" x14ac:dyDescent="0.55000000000000004">
      <c r="C14" s="27"/>
      <c r="D14" s="1"/>
      <c r="E14" s="11"/>
      <c r="G14" s="81"/>
      <c r="J14" s="54" t="str">
        <f>+Model!AI14</f>
        <v>Sponsor income</v>
      </c>
      <c r="K14" s="55">
        <f>+INDEX(Model!$AJ$9:$AN$46,MATCH($J14,Model!$AI$9:$AI$46,0),MATCH(K$5,Model!$AJ$6:$AN$6,0))</f>
        <v>26180</v>
      </c>
      <c r="L14" s="55">
        <f>+INDEX(Model!$AJ$9:$AN$46,MATCH($J14,Model!$AI$9:$AI$46,0),MATCH(L$5,Model!$AJ$6:$AN$6,0))</f>
        <v>36840</v>
      </c>
      <c r="M14" s="55">
        <f>+INDEX(Model!$AJ$9:$AN$46,MATCH($J14,Model!$AI$9:$AI$46,0),MATCH(M$5,Model!$AJ$6:$AN$6,0))</f>
        <v>40700</v>
      </c>
      <c r="N14" s="55">
        <f>+INDEX(Model!$AJ$9:$AN$46,MATCH($J14,Model!$AI$9:$AI$46,0),MATCH(N$5,Model!$AJ$6:$AN$6,0))</f>
        <v>42970.000000000007</v>
      </c>
      <c r="O14" s="55">
        <f>+INDEX(Model!$AJ$9:$AN$46,MATCH($J14,Model!$AI$9:$AI$46,0),MATCH(O$5,Model!$AJ$6:$AN$6,0))</f>
        <v>47660.000000000015</v>
      </c>
      <c r="P14" s="69"/>
      <c r="Q14" s="55">
        <f t="shared" ref="Q14:Q18" si="12">+IFERROR(L14-K14,"NA")</f>
        <v>10660</v>
      </c>
      <c r="R14" s="55">
        <f t="shared" ref="R14:R20" si="13">+IFERROR(M14-L14,"NA")</f>
        <v>3860</v>
      </c>
      <c r="S14" s="55">
        <f t="shared" ref="S14:S20" si="14">+IFERROR(N14-M14,"NA")</f>
        <v>2270.0000000000073</v>
      </c>
      <c r="T14" s="55">
        <f t="shared" ref="T14:T20" si="15">+IFERROR(O14-N14,"NA")</f>
        <v>4690.0000000000073</v>
      </c>
      <c r="U14" s="28"/>
      <c r="AG14" s="5"/>
    </row>
    <row r="15" spans="3:33" x14ac:dyDescent="0.55000000000000004">
      <c r="C15" s="27"/>
      <c r="D15" s="5" t="s">
        <v>28</v>
      </c>
      <c r="E15" s="82" t="s">
        <v>11</v>
      </c>
      <c r="F15" s="82" t="s">
        <v>12</v>
      </c>
      <c r="G15" s="82" t="s">
        <v>70</v>
      </c>
      <c r="J15" s="54" t="str">
        <f>+Model!AI18</f>
        <v>Affiliate income</v>
      </c>
      <c r="K15" s="55">
        <f>+INDEX(Model!$AJ$9:$AN$46,MATCH($J15,Model!$AI$9:$AI$46,0),MATCH(K$5,Model!$AJ$6:$AN$6,0))</f>
        <v>0</v>
      </c>
      <c r="L15" s="55">
        <f>+INDEX(Model!$AJ$9:$AN$46,MATCH($J15,Model!$AI$9:$AI$46,0),MATCH(L$5,Model!$AJ$6:$AN$6,0))</f>
        <v>708.74999999999977</v>
      </c>
      <c r="M15" s="55">
        <f>+INDEX(Model!$AJ$9:$AN$46,MATCH($J15,Model!$AI$9:$AI$46,0),MATCH(M$5,Model!$AJ$6:$AN$6,0))</f>
        <v>2814</v>
      </c>
      <c r="N15" s="55">
        <f>+INDEX(Model!$AJ$9:$AN$46,MATCH($J15,Model!$AI$9:$AI$46,0),MATCH(N$5,Model!$AJ$6:$AN$6,0))</f>
        <v>6086.8499999999995</v>
      </c>
      <c r="O15" s="55">
        <f>+INDEX(Model!$AJ$9:$AN$46,MATCH($J15,Model!$AI$9:$AI$46,0),MATCH(O$5,Model!$AJ$6:$AN$6,0))</f>
        <v>8300.2499999999982</v>
      </c>
      <c r="P15" s="69"/>
      <c r="Q15" s="55">
        <f t="shared" si="12"/>
        <v>708.74999999999977</v>
      </c>
      <c r="R15" s="55">
        <f t="shared" si="13"/>
        <v>2105.25</v>
      </c>
      <c r="S15" s="55">
        <f t="shared" si="14"/>
        <v>3272.8499999999995</v>
      </c>
      <c r="T15" s="55">
        <f t="shared" si="15"/>
        <v>2213.3999999999987</v>
      </c>
      <c r="U15" s="28"/>
      <c r="AG15" s="5"/>
    </row>
    <row r="16" spans="3:33" x14ac:dyDescent="0.55000000000000004">
      <c r="C16" s="27"/>
      <c r="D16" s="1" t="s">
        <v>8</v>
      </c>
      <c r="E16" s="2">
        <v>2</v>
      </c>
      <c r="F16" s="59">
        <v>0.4</v>
      </c>
      <c r="G16" s="59">
        <v>0.6</v>
      </c>
      <c r="J16" s="54" t="str">
        <f>+Model!AI19</f>
        <v>Total income</v>
      </c>
      <c r="K16" s="55">
        <f>+INDEX(Model!$AJ$9:$AN$46,MATCH($J16,Model!$AI$9:$AI$46,0),MATCH(K$5,Model!$AJ$6:$AN$6,0))</f>
        <v>44180</v>
      </c>
      <c r="L16" s="55">
        <f>+INDEX(Model!$AJ$9:$AN$46,MATCH($J16,Model!$AI$9:$AI$46,0),MATCH(L$5,Model!$AJ$6:$AN$6,0))</f>
        <v>55548.75</v>
      </c>
      <c r="M16" s="55">
        <f>+INDEX(Model!$AJ$9:$AN$46,MATCH($J16,Model!$AI$9:$AI$46,0),MATCH(M$5,Model!$AJ$6:$AN$6,0))</f>
        <v>61514</v>
      </c>
      <c r="N16" s="55">
        <f>+INDEX(Model!$AJ$9:$AN$46,MATCH($J16,Model!$AI$9:$AI$46,0),MATCH(N$5,Model!$AJ$6:$AN$6,0))</f>
        <v>67056.850000000006</v>
      </c>
      <c r="O16" s="55">
        <f>+INDEX(Model!$AJ$9:$AN$46,MATCH($J16,Model!$AI$9:$AI$46,0),MATCH(O$5,Model!$AJ$6:$AN$6,0))</f>
        <v>73960.250000000015</v>
      </c>
      <c r="P16" s="69"/>
      <c r="Q16" s="55">
        <f t="shared" si="12"/>
        <v>11368.75</v>
      </c>
      <c r="R16" s="55">
        <f t="shared" si="13"/>
        <v>5965.25</v>
      </c>
      <c r="S16" s="55">
        <f t="shared" si="14"/>
        <v>5542.8500000000058</v>
      </c>
      <c r="T16" s="55">
        <f t="shared" si="15"/>
        <v>6903.4000000000087</v>
      </c>
      <c r="U16" s="28"/>
      <c r="AG16" s="5"/>
    </row>
    <row r="17" spans="3:33" x14ac:dyDescent="0.55000000000000004">
      <c r="C17" s="27"/>
      <c r="D17" s="1" t="s">
        <v>0</v>
      </c>
      <c r="E17" s="2">
        <v>20</v>
      </c>
      <c r="F17" s="2">
        <v>50</v>
      </c>
      <c r="G17" s="2">
        <v>10</v>
      </c>
      <c r="J17" s="54" t="str">
        <f>+Model!AI40</f>
        <v>Free cash flow</v>
      </c>
      <c r="K17" s="55">
        <f ca="1">+INDEX(Model!$AJ$9:$AN$46,MATCH($J17,Model!$AI$9:$AI$46,0),MATCH(K$5,Model!$AJ$6:$AN$6,0))</f>
        <v>-5191.5170479506669</v>
      </c>
      <c r="L17" s="55">
        <f ca="1">+INDEX(Model!$AJ$9:$AN$46,MATCH($J17,Model!$AI$9:$AI$46,0),MATCH(L$5,Model!$AJ$6:$AN$6,0))</f>
        <v>6200.312464349865</v>
      </c>
      <c r="M17" s="55">
        <f ca="1">+INDEX(Model!$AJ$9:$AN$46,MATCH($J17,Model!$AI$9:$AI$46,0),MATCH(M$5,Model!$AJ$6:$AN$6,0))</f>
        <v>12372.658604741146</v>
      </c>
      <c r="N17" s="55">
        <f ca="1">+INDEX(Model!$AJ$9:$AN$46,MATCH($J17,Model!$AI$9:$AI$46,0),MATCH(N$5,Model!$AJ$6:$AN$6,0))</f>
        <v>17940.306295409711</v>
      </c>
      <c r="O17" s="55">
        <f ca="1">+INDEX(Model!$AJ$9:$AN$46,MATCH($J17,Model!$AI$9:$AI$46,0),MATCH(O$5,Model!$AJ$6:$AN$6,0))</f>
        <v>24869.514282256972</v>
      </c>
      <c r="P17" s="69"/>
      <c r="Q17" s="55">
        <f t="shared" ca="1" si="12"/>
        <v>11391.829512300532</v>
      </c>
      <c r="R17" s="55">
        <f t="shared" ca="1" si="13"/>
        <v>6172.3461403912806</v>
      </c>
      <c r="S17" s="55">
        <f t="shared" ca="1" si="14"/>
        <v>5567.6476906685657</v>
      </c>
      <c r="T17" s="55">
        <f t="shared" ca="1" si="15"/>
        <v>6929.2079868472611</v>
      </c>
      <c r="U17" s="28"/>
      <c r="AG17" s="5"/>
    </row>
    <row r="18" spans="3:33" x14ac:dyDescent="0.55000000000000004">
      <c r="C18" s="27"/>
      <c r="D18" s="1" t="s">
        <v>1</v>
      </c>
      <c r="E18" s="3">
        <v>50</v>
      </c>
      <c r="F18" s="3">
        <v>50</v>
      </c>
      <c r="G18" s="3">
        <v>100</v>
      </c>
      <c r="J18" s="54" t="str">
        <f>+Model!AI46</f>
        <v>EOP cash balance</v>
      </c>
      <c r="K18" s="55">
        <f ca="1">+INDEX(Model!$AJ$9:$AN$46,MATCH($J18,Model!$AI$9:$AI$46,0),MATCH(K$5,Model!$AJ$6:$AN$6,0))</f>
        <v>-4191.5170479506669</v>
      </c>
      <c r="L18" s="55">
        <f ca="1">+INDEX(Model!$AJ$9:$AN$46,MATCH($J18,Model!$AI$9:$AI$46,0),MATCH(L$5,Model!$AJ$6:$AN$6,0))</f>
        <v>2008.7954163991981</v>
      </c>
      <c r="M18" s="55">
        <f ca="1">+INDEX(Model!$AJ$9:$AN$46,MATCH($J18,Model!$AI$9:$AI$46,0),MATCH(M$5,Model!$AJ$6:$AN$6,0))</f>
        <v>14381.45402114034</v>
      </c>
      <c r="N18" s="55">
        <f ca="1">+INDEX(Model!$AJ$9:$AN$46,MATCH($J18,Model!$AI$9:$AI$46,0),MATCH(N$5,Model!$AJ$6:$AN$6,0))</f>
        <v>32321.760316550059</v>
      </c>
      <c r="O18" s="55">
        <f ca="1">+INDEX(Model!$AJ$9:$AN$46,MATCH($J18,Model!$AI$9:$AI$46,0),MATCH(O$5,Model!$AJ$6:$AN$6,0))</f>
        <v>57191.274598807031</v>
      </c>
      <c r="P18" s="69"/>
      <c r="Q18" s="55">
        <f t="shared" ca="1" si="12"/>
        <v>6200.312464349865</v>
      </c>
      <c r="R18" s="55">
        <f t="shared" ca="1" si="13"/>
        <v>12372.658604741142</v>
      </c>
      <c r="S18" s="55">
        <f t="shared" ca="1" si="14"/>
        <v>17940.306295409719</v>
      </c>
      <c r="T18" s="55">
        <f t="shared" ca="1" si="15"/>
        <v>24869.514282256972</v>
      </c>
      <c r="U18" s="28"/>
      <c r="AG18" s="5"/>
    </row>
    <row r="19" spans="3:33" x14ac:dyDescent="0.55000000000000004">
      <c r="C19" s="27"/>
      <c r="D19" s="1" t="s">
        <v>54</v>
      </c>
      <c r="E19" s="3">
        <v>35</v>
      </c>
      <c r="F19" s="3">
        <v>100</v>
      </c>
      <c r="G19" s="3">
        <v>100</v>
      </c>
      <c r="J19" s="54" t="str">
        <f>+Model!AI29</f>
        <v>Gross margin</v>
      </c>
      <c r="K19" s="58">
        <f>+INDEX(Model!$AJ$9:$AN$46,MATCH($J19,Model!$AI$9:$AI$46,0),MATCH(K$5,Model!$AJ$6:$AN$6,0))</f>
        <v>0.1625169760072431</v>
      </c>
      <c r="L19" s="58">
        <f>+INDEX(Model!$AJ$9:$AN$46,MATCH($J19,Model!$AI$9:$AI$46,0),MATCH(L$5,Model!$AJ$6:$AN$6,0))</f>
        <v>0.32941785368707666</v>
      </c>
      <c r="M19" s="58">
        <f>+INDEX(Model!$AJ$9:$AN$46,MATCH($J19,Model!$AI$9:$AI$46,0),MATCH(M$5,Model!$AJ$6:$AN$6,0))</f>
        <v>0.39444679260005855</v>
      </c>
      <c r="N19" s="58">
        <f>+INDEX(Model!$AJ$9:$AN$46,MATCH($J19,Model!$AI$9:$AI$46,0),MATCH(N$5,Model!$AJ$6:$AN$6,0))</f>
        <v>0.4445011956272924</v>
      </c>
      <c r="O19" s="58">
        <f>+INDEX(Model!$AJ$9:$AN$46,MATCH($J19,Model!$AI$9:$AI$46,0),MATCH(O$5,Model!$AJ$6:$AN$6,0))</f>
        <v>0.4963510804790412</v>
      </c>
      <c r="P19" s="69"/>
      <c r="Q19" s="91">
        <f>+IFERROR(L19-K19,"NA")</f>
        <v>0.16690087767983355</v>
      </c>
      <c r="R19" s="91">
        <f t="shared" si="13"/>
        <v>6.5028938912981893E-2</v>
      </c>
      <c r="S19" s="91">
        <f t="shared" si="14"/>
        <v>5.0054403027233851E-2</v>
      </c>
      <c r="T19" s="91">
        <f t="shared" si="15"/>
        <v>5.1849884851748795E-2</v>
      </c>
      <c r="U19" s="28"/>
      <c r="AG19" s="5"/>
    </row>
    <row r="20" spans="3:33" x14ac:dyDescent="0.55000000000000004">
      <c r="C20" s="27"/>
      <c r="D20" s="1" t="s">
        <v>56</v>
      </c>
      <c r="E20" s="3">
        <f>150*2</f>
        <v>300</v>
      </c>
      <c r="F20" s="3">
        <f>150*F17-F17*F19</f>
        <v>2500</v>
      </c>
      <c r="G20" s="3">
        <f>150*G17-G17*G19</f>
        <v>500</v>
      </c>
      <c r="J20" s="54" t="str">
        <f>+Model!AI34</f>
        <v>Net margin</v>
      </c>
      <c r="K20" s="58">
        <f>+INDEX(Model!$AJ$9:$AN$46,MATCH($J20,Model!$AI$9:$AI$46,0),MATCH(K$5,Model!$AJ$6:$AN$6,0))</f>
        <v>-0.12041647804436396</v>
      </c>
      <c r="L20" s="58">
        <f>+INDEX(Model!$AJ$9:$AN$46,MATCH($J20,Model!$AI$9:$AI$46,0),MATCH(L$5,Model!$AJ$6:$AN$6,0))</f>
        <v>0.10439028781025676</v>
      </c>
      <c r="M20" s="58">
        <f>+INDEX(Model!$AJ$9:$AN$46,MATCH($J20,Model!$AI$9:$AI$46,0),MATCH(M$5,Model!$AJ$6:$AN$6,0))</f>
        <v>0.19124101830477616</v>
      </c>
      <c r="N20" s="58">
        <f>+INDEX(Model!$AJ$9:$AN$46,MATCH($J20,Model!$AI$9:$AI$46,0),MATCH(N$5,Model!$AJ$6:$AN$6,0))</f>
        <v>0.25809220087135026</v>
      </c>
      <c r="O20" s="58">
        <f>+INDEX(Model!$AJ$9:$AN$46,MATCH($J20,Model!$AI$9:$AI$46,0),MATCH(O$5,Model!$AJ$6:$AN$6,0))</f>
        <v>0.32734137594180673</v>
      </c>
      <c r="P20" s="69"/>
      <c r="Q20" s="91">
        <f t="shared" ref="Q20" si="16">+IFERROR(L20-K20,"NA")</f>
        <v>0.22480676585462073</v>
      </c>
      <c r="R20" s="91">
        <f t="shared" si="13"/>
        <v>8.6850730494519399E-2</v>
      </c>
      <c r="S20" s="91">
        <f t="shared" si="14"/>
        <v>6.6851182566574102E-2</v>
      </c>
      <c r="T20" s="91">
        <f t="shared" si="15"/>
        <v>6.924917507045647E-2</v>
      </c>
      <c r="U20" s="28"/>
      <c r="AG20" s="5"/>
    </row>
    <row r="21" spans="3:33" x14ac:dyDescent="0.55000000000000004">
      <c r="C21" s="27"/>
      <c r="D21" s="1"/>
      <c r="E21" s="15"/>
      <c r="F21" s="15"/>
      <c r="U21" s="28"/>
      <c r="AG21" s="5"/>
    </row>
    <row r="22" spans="3:33" x14ac:dyDescent="0.55000000000000004">
      <c r="C22" s="27"/>
      <c r="D22" s="1"/>
      <c r="E22" s="11"/>
      <c r="G22" s="81"/>
      <c r="H22" s="83" t="s">
        <v>45</v>
      </c>
      <c r="I22" s="83"/>
      <c r="J22" s="83"/>
      <c r="K22" s="83"/>
      <c r="L22" s="83"/>
      <c r="N22" s="83" t="s">
        <v>34</v>
      </c>
      <c r="O22" s="83"/>
      <c r="P22" s="83"/>
      <c r="Q22" s="83"/>
      <c r="R22" s="83"/>
      <c r="S22" s="83"/>
      <c r="T22" s="83"/>
      <c r="U22" s="28"/>
      <c r="AG22" s="5"/>
    </row>
    <row r="23" spans="3:33" s="5" customFormat="1" x14ac:dyDescent="0.55000000000000004">
      <c r="C23" s="33"/>
      <c r="D23" s="5" t="s">
        <v>29</v>
      </c>
      <c r="E23" s="61" t="s">
        <v>32</v>
      </c>
      <c r="F23" s="61" t="s">
        <v>30</v>
      </c>
      <c r="G23" s="81"/>
      <c r="H23" s="61">
        <v>2026</v>
      </c>
      <c r="I23" s="61">
        <f>+H23+1</f>
        <v>2027</v>
      </c>
      <c r="J23" s="61">
        <f>+I23+1</f>
        <v>2028</v>
      </c>
      <c r="K23" s="61">
        <f>+J23+1</f>
        <v>2029</v>
      </c>
      <c r="L23" s="61">
        <f>+K23+1</f>
        <v>2030</v>
      </c>
      <c r="M23"/>
      <c r="N23" s="61" t="s">
        <v>33</v>
      </c>
      <c r="O23" s="61" t="s">
        <v>35</v>
      </c>
      <c r="P23" s="61">
        <v>2026</v>
      </c>
      <c r="Q23" s="61">
        <f>+P23+1</f>
        <v>2027</v>
      </c>
      <c r="R23" s="61">
        <f>+Q23+1</f>
        <v>2028</v>
      </c>
      <c r="S23" s="61">
        <f>+R23+1</f>
        <v>2029</v>
      </c>
      <c r="T23" s="61">
        <f>+S23+1</f>
        <v>2030</v>
      </c>
      <c r="U23" s="34"/>
    </row>
    <row r="24" spans="3:33" x14ac:dyDescent="0.55000000000000004">
      <c r="C24" s="27"/>
      <c r="D24" s="84" t="s">
        <v>44</v>
      </c>
      <c r="E24" s="3">
        <v>80</v>
      </c>
      <c r="F24" s="2">
        <v>15</v>
      </c>
      <c r="G24" s="16"/>
      <c r="H24" s="10">
        <f>+($F$24-($F$25*H25)-H26*$F$26*3)/$F$24</f>
        <v>0.66666666666666663</v>
      </c>
      <c r="I24" s="10">
        <f>+($F$24-($F$25*I25)-I26*$F$26*3)/$F$24</f>
        <v>0.39999999999999986</v>
      </c>
      <c r="J24" s="10">
        <f>+($F$24-($F$25*J25)-J26*$F$26*3)/$F$24</f>
        <v>0.33333333333333309</v>
      </c>
      <c r="K24" s="10">
        <f>+($F$24-($F$25*K25)-K26*$F$26*3)/$F$24</f>
        <v>6.6666666666666305E-2</v>
      </c>
      <c r="L24" s="10">
        <f>+($F$24-($F$25*L25)-L26*$F$26*3)/$F$24</f>
        <v>-4.7369515717340012E-16</v>
      </c>
      <c r="N24" s="23">
        <v>0.05</v>
      </c>
      <c r="O24" s="21">
        <v>5</v>
      </c>
      <c r="P24" s="22">
        <f>+E24</f>
        <v>80</v>
      </c>
      <c r="Q24" s="24">
        <f t="shared" ref="Q24:T27" si="17">+CEILING(P24*(1+(H24&gt;0)*$N24),$O24)</f>
        <v>85</v>
      </c>
      <c r="R24" s="22">
        <f t="shared" si="17"/>
        <v>90</v>
      </c>
      <c r="S24" s="22">
        <f t="shared" si="17"/>
        <v>95</v>
      </c>
      <c r="T24" s="22">
        <f t="shared" si="17"/>
        <v>100</v>
      </c>
      <c r="U24" s="28"/>
      <c r="AG24" s="5"/>
    </row>
    <row r="25" spans="3:33" x14ac:dyDescent="0.55000000000000004">
      <c r="C25" s="27"/>
      <c r="D25" s="84" t="s">
        <v>48</v>
      </c>
      <c r="E25" s="3">
        <v>120</v>
      </c>
      <c r="F25" s="2">
        <f>+$E$5*SUM($E$16:$G$16)-$F$26*3</f>
        <v>6</v>
      </c>
      <c r="G25" s="16"/>
      <c r="H25" s="10">
        <v>0.33333333333333331</v>
      </c>
      <c r="I25" s="10">
        <f>+H25+0.166666666666667</f>
        <v>0.50000000000000033</v>
      </c>
      <c r="J25" s="10">
        <f>+I25+0.166666666666667</f>
        <v>0.6666666666666673</v>
      </c>
      <c r="K25" s="10">
        <f>+J25+0.166666666666667</f>
        <v>0.83333333333333426</v>
      </c>
      <c r="L25" s="10">
        <f>+K25+0.166666666666667</f>
        <v>1.0000000000000013</v>
      </c>
      <c r="N25" s="23">
        <v>0.05</v>
      </c>
      <c r="O25" s="21">
        <v>5</v>
      </c>
      <c r="P25" s="22">
        <f>+E25</f>
        <v>120</v>
      </c>
      <c r="Q25" s="24">
        <f t="shared" si="17"/>
        <v>130</v>
      </c>
      <c r="R25" s="22">
        <f t="shared" si="17"/>
        <v>140</v>
      </c>
      <c r="S25" s="22">
        <f t="shared" si="17"/>
        <v>150</v>
      </c>
      <c r="T25" s="22">
        <f t="shared" si="17"/>
        <v>160</v>
      </c>
      <c r="U25" s="28"/>
      <c r="AG25" s="5"/>
    </row>
    <row r="26" spans="3:33" x14ac:dyDescent="0.55000000000000004">
      <c r="C26" s="27"/>
      <c r="D26" s="84" t="s">
        <v>49</v>
      </c>
      <c r="E26" s="3">
        <v>150</v>
      </c>
      <c r="F26" s="2">
        <v>3</v>
      </c>
      <c r="G26" s="16"/>
      <c r="H26" s="10">
        <v>0.33333333333333331</v>
      </c>
      <c r="I26" s="10">
        <v>0.66666666666666663</v>
      </c>
      <c r="J26" s="10">
        <v>0.66666666666666663</v>
      </c>
      <c r="K26" s="10">
        <v>1</v>
      </c>
      <c r="L26" s="10">
        <v>1</v>
      </c>
      <c r="N26" s="23">
        <v>0.05</v>
      </c>
      <c r="O26" s="21">
        <v>5</v>
      </c>
      <c r="P26" s="22">
        <f>+E26</f>
        <v>150</v>
      </c>
      <c r="Q26" s="24">
        <f t="shared" si="17"/>
        <v>160</v>
      </c>
      <c r="R26" s="22">
        <f t="shared" si="17"/>
        <v>170</v>
      </c>
      <c r="S26" s="22">
        <f t="shared" si="17"/>
        <v>180</v>
      </c>
      <c r="T26" s="22">
        <f t="shared" si="17"/>
        <v>190</v>
      </c>
      <c r="U26" s="28"/>
      <c r="AG26" s="5"/>
    </row>
    <row r="27" spans="3:33" x14ac:dyDescent="0.55000000000000004">
      <c r="C27" s="27"/>
      <c r="D27" s="84" t="s">
        <v>50</v>
      </c>
      <c r="E27" s="3">
        <v>10000</v>
      </c>
      <c r="F27" s="2">
        <v>1</v>
      </c>
      <c r="G27" s="81"/>
      <c r="H27" s="10">
        <v>0</v>
      </c>
      <c r="I27" s="10">
        <v>1</v>
      </c>
      <c r="J27" s="10">
        <v>1</v>
      </c>
      <c r="K27" s="10">
        <v>1</v>
      </c>
      <c r="L27" s="10">
        <v>1</v>
      </c>
      <c r="N27" s="23">
        <v>0.1</v>
      </c>
      <c r="O27" s="21">
        <v>500</v>
      </c>
      <c r="P27" s="22">
        <f>+E27</f>
        <v>10000</v>
      </c>
      <c r="Q27" s="24">
        <f t="shared" si="17"/>
        <v>10000</v>
      </c>
      <c r="R27" s="22">
        <f t="shared" si="17"/>
        <v>11000</v>
      </c>
      <c r="S27" s="22">
        <f t="shared" si="17"/>
        <v>12500</v>
      </c>
      <c r="T27" s="22">
        <f t="shared" si="17"/>
        <v>14000</v>
      </c>
      <c r="U27" s="28"/>
      <c r="AG27" s="5"/>
    </row>
    <row r="28" spans="3:33" x14ac:dyDescent="0.55000000000000004">
      <c r="C28" s="27"/>
      <c r="D28" s="1"/>
      <c r="E28" s="11"/>
      <c r="F28" s="85"/>
      <c r="G28" s="81"/>
      <c r="H28" s="62"/>
      <c r="I28" s="62"/>
      <c r="J28" s="62"/>
      <c r="K28" s="62"/>
      <c r="L28" s="62"/>
      <c r="U28" s="28"/>
      <c r="AG28" s="5"/>
    </row>
    <row r="29" spans="3:33" hidden="1" outlineLevel="1" x14ac:dyDescent="0.55000000000000004">
      <c r="C29" s="27"/>
      <c r="D29" s="1" t="str">
        <f>+D24&amp;" servicing cost"</f>
        <v>Single event sponsor servicing cost</v>
      </c>
      <c r="E29" s="3">
        <v>0</v>
      </c>
      <c r="F29" s="85"/>
      <c r="G29" s="81"/>
      <c r="U29" s="28"/>
      <c r="AG29" s="5"/>
    </row>
    <row r="30" spans="3:33" hidden="1" outlineLevel="1" x14ac:dyDescent="0.55000000000000004">
      <c r="C30" s="27"/>
      <c r="D30" s="1" t="str">
        <f>+D25&amp;" servicing cost"</f>
        <v>Product promo sponsor servicing cost</v>
      </c>
      <c r="E30" s="3">
        <v>0</v>
      </c>
      <c r="F30" s="85"/>
      <c r="G30" s="81"/>
      <c r="U30" s="28"/>
      <c r="AG30" s="5"/>
    </row>
    <row r="31" spans="3:33" hidden="1" outlineLevel="1" x14ac:dyDescent="0.55000000000000004">
      <c r="C31" s="27"/>
      <c r="D31" s="1" t="str">
        <f>+D26&amp;" servicing cost"</f>
        <v>Event series sponsor servicing cost</v>
      </c>
      <c r="E31" s="3">
        <v>0</v>
      </c>
      <c r="F31" s="85"/>
      <c r="G31" s="81"/>
      <c r="U31" s="28"/>
      <c r="AG31" s="5"/>
    </row>
    <row r="32" spans="3:33" collapsed="1" x14ac:dyDescent="0.55000000000000004">
      <c r="C32" s="27"/>
      <c r="D32" s="1" t="str">
        <f>+D27&amp;" servicing cost"</f>
        <v>Presenting partner servicing cost</v>
      </c>
      <c r="E32" s="3">
        <v>250</v>
      </c>
      <c r="F32" s="85"/>
      <c r="G32" s="81"/>
      <c r="H32" s="62"/>
      <c r="I32" s="62"/>
      <c r="J32" s="62"/>
      <c r="K32" s="62"/>
      <c r="L32" s="62"/>
      <c r="U32" s="28"/>
      <c r="AG32" s="5"/>
    </row>
    <row r="33" spans="3:33" x14ac:dyDescent="0.55000000000000004">
      <c r="C33" s="27"/>
      <c r="D33" s="1"/>
      <c r="E33" s="11"/>
      <c r="F33" s="85"/>
      <c r="G33" s="81"/>
      <c r="L33" s="83" t="s">
        <v>46</v>
      </c>
      <c r="M33" s="83"/>
      <c r="N33" s="83"/>
      <c r="O33" s="83"/>
      <c r="P33" s="83"/>
      <c r="U33" s="28"/>
      <c r="AG33" s="5"/>
    </row>
    <row r="34" spans="3:33" s="5" customFormat="1" x14ac:dyDescent="0.55000000000000004">
      <c r="C34" s="33"/>
      <c r="D34" s="5" t="s">
        <v>31</v>
      </c>
      <c r="E34" s="61" t="s">
        <v>36</v>
      </c>
      <c r="F34" s="61" t="s">
        <v>37</v>
      </c>
      <c r="G34" s="61" t="s">
        <v>38</v>
      </c>
      <c r="H34" s="61" t="s">
        <v>39</v>
      </c>
      <c r="I34" s="61" t="s">
        <v>40</v>
      </c>
      <c r="J34" s="61" t="s">
        <v>41</v>
      </c>
      <c r="L34" s="61">
        <v>2026</v>
      </c>
      <c r="M34" s="61">
        <f>+L34+1</f>
        <v>2027</v>
      </c>
      <c r="N34" s="61">
        <f>+M34+1</f>
        <v>2028</v>
      </c>
      <c r="O34" s="61">
        <f>+N34+1</f>
        <v>2029</v>
      </c>
      <c r="P34" s="61">
        <f>+O34+1</f>
        <v>2030</v>
      </c>
      <c r="U34" s="34"/>
    </row>
    <row r="35" spans="3:33" x14ac:dyDescent="0.55000000000000004">
      <c r="C35" s="27"/>
      <c r="D35" s="84" t="s">
        <v>51</v>
      </c>
      <c r="E35" s="2">
        <v>3</v>
      </c>
      <c r="F35" s="10">
        <v>0.35</v>
      </c>
      <c r="G35" s="10">
        <v>0.05</v>
      </c>
      <c r="H35" s="10">
        <v>1.4999999999999999E-2</v>
      </c>
      <c r="I35" s="3">
        <v>3000</v>
      </c>
      <c r="J35" s="10">
        <v>0.06</v>
      </c>
      <c r="K35" s="5"/>
      <c r="L35" s="23">
        <v>0</v>
      </c>
      <c r="M35" s="23">
        <v>1</v>
      </c>
      <c r="N35" s="23">
        <v>1</v>
      </c>
      <c r="O35" s="23">
        <v>1</v>
      </c>
      <c r="P35" s="23">
        <v>1</v>
      </c>
      <c r="S35" s="5"/>
      <c r="T35" s="5"/>
      <c r="U35" s="34"/>
      <c r="V35" s="5"/>
      <c r="W35" s="5"/>
      <c r="AG35" s="5"/>
    </row>
    <row r="36" spans="3:33" x14ac:dyDescent="0.55000000000000004">
      <c r="C36" s="27"/>
      <c r="D36" s="84" t="s">
        <v>52</v>
      </c>
      <c r="E36" s="2">
        <v>4</v>
      </c>
      <c r="F36" s="10">
        <v>0.35</v>
      </c>
      <c r="G36" s="10">
        <v>0.05</v>
      </c>
      <c r="H36" s="10">
        <v>0.04</v>
      </c>
      <c r="I36" s="3">
        <v>480</v>
      </c>
      <c r="J36" s="10">
        <v>0.15</v>
      </c>
      <c r="K36" s="5"/>
      <c r="L36" s="23">
        <v>0</v>
      </c>
      <c r="M36" s="23">
        <v>0</v>
      </c>
      <c r="N36" s="23">
        <v>0</v>
      </c>
      <c r="O36" s="23">
        <v>1</v>
      </c>
      <c r="P36" s="23">
        <v>1</v>
      </c>
      <c r="Q36" s="5"/>
      <c r="R36" s="5"/>
      <c r="S36" s="5"/>
      <c r="T36" s="5"/>
      <c r="U36" s="34"/>
      <c r="V36" s="5"/>
      <c r="W36" s="5"/>
      <c r="AG36" s="5"/>
    </row>
    <row r="37" spans="3:33" x14ac:dyDescent="0.55000000000000004">
      <c r="C37" s="27"/>
      <c r="D37" s="84" t="s">
        <v>53</v>
      </c>
      <c r="E37" s="2">
        <v>3</v>
      </c>
      <c r="F37" s="10">
        <v>0.35</v>
      </c>
      <c r="G37" s="10">
        <v>0.05</v>
      </c>
      <c r="H37" s="10">
        <v>0.02</v>
      </c>
      <c r="I37" s="3">
        <v>200</v>
      </c>
      <c r="J37" s="10">
        <v>1</v>
      </c>
      <c r="K37" s="5"/>
      <c r="L37" s="23">
        <v>0</v>
      </c>
      <c r="M37" s="23">
        <v>0</v>
      </c>
      <c r="N37" s="23">
        <v>1</v>
      </c>
      <c r="O37" s="23">
        <v>1</v>
      </c>
      <c r="P37" s="23">
        <v>1</v>
      </c>
      <c r="Q37" s="5"/>
      <c r="R37" s="5"/>
      <c r="S37" s="5"/>
      <c r="T37" s="5"/>
      <c r="U37" s="34"/>
      <c r="V37" s="5"/>
      <c r="W37" s="5"/>
      <c r="AG37" s="5"/>
    </row>
    <row r="38" spans="3:33" x14ac:dyDescent="0.55000000000000004">
      <c r="C38" s="38"/>
      <c r="D38" s="86"/>
      <c r="E38" s="87"/>
      <c r="F38" s="88"/>
      <c r="G38" s="89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1"/>
      <c r="AG38" s="5"/>
    </row>
    <row r="39" spans="3:33" x14ac:dyDescent="0.55000000000000004">
      <c r="D39" s="1"/>
      <c r="E39" s="1"/>
      <c r="F39" s="1"/>
      <c r="AG39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677D-E02D-4061-8A57-1E7A26FED09B}">
  <dimension ref="C1:AO105"/>
  <sheetViews>
    <sheetView tabSelected="1" topLeftCell="C1" zoomScale="75" zoomScaleNormal="75" workbookViewId="0">
      <selection activeCell="F18" sqref="F18"/>
    </sheetView>
  </sheetViews>
  <sheetFormatPr defaultRowHeight="14.4" outlineLevelRow="1" x14ac:dyDescent="0.55000000000000004"/>
  <cols>
    <col min="1" max="3" width="2.578125" customWidth="1"/>
    <col min="4" max="4" width="35.578125" customWidth="1"/>
    <col min="5" max="31" width="10.578125" customWidth="1"/>
    <col min="32" max="32" width="2.578125" customWidth="1"/>
    <col min="33" max="33" width="2.578125" style="5" customWidth="1"/>
    <col min="34" max="34" width="2.578125" customWidth="1"/>
    <col min="35" max="35" width="35.578125" customWidth="1"/>
    <col min="36" max="40" width="10.578125" customWidth="1"/>
    <col min="41" max="43" width="2.578125" customWidth="1"/>
    <col min="44" max="155" width="10.578125" customWidth="1"/>
  </cols>
  <sheetData>
    <row r="1" spans="3:41" x14ac:dyDescent="0.55000000000000004">
      <c r="F1" s="4"/>
    </row>
    <row r="2" spans="3:41" x14ac:dyDescent="0.55000000000000004">
      <c r="D2" s="1"/>
      <c r="E2" s="1"/>
      <c r="F2" s="1"/>
    </row>
    <row r="3" spans="3:41" x14ac:dyDescent="0.55000000000000004">
      <c r="C3" s="2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26"/>
      <c r="AG3"/>
      <c r="AH3" s="25"/>
      <c r="AI3" s="6"/>
      <c r="AJ3" s="14"/>
      <c r="AK3" s="14"/>
      <c r="AL3" s="14"/>
      <c r="AM3" s="14"/>
      <c r="AN3" s="14"/>
      <c r="AO3" s="26"/>
    </row>
    <row r="4" spans="3:41" x14ac:dyDescent="0.55000000000000004">
      <c r="C4" s="27"/>
      <c r="D4" s="20" t="s">
        <v>75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8"/>
      <c r="AG4"/>
      <c r="AH4" s="27"/>
      <c r="AI4" s="20" t="s">
        <v>76</v>
      </c>
      <c r="AJ4" s="20"/>
      <c r="AK4" s="20"/>
      <c r="AL4" s="20"/>
      <c r="AM4" s="20"/>
      <c r="AN4" s="20"/>
      <c r="AO4" s="28"/>
    </row>
    <row r="5" spans="3:41" x14ac:dyDescent="0.55000000000000004">
      <c r="C5" s="27"/>
      <c r="D5" s="5" t="s">
        <v>4</v>
      </c>
      <c r="G5">
        <f>+COUNTA($G$7:G7)</f>
        <v>1</v>
      </c>
      <c r="H5">
        <f>+COUNTA($G$7:H7)</f>
        <v>2</v>
      </c>
      <c r="I5">
        <f>+COUNTA($G$7:I7)</f>
        <v>3</v>
      </c>
      <c r="J5">
        <f>+COUNTA($G$7:J7)</f>
        <v>4</v>
      </c>
      <c r="K5">
        <f>+COUNTA($G$7:K7)</f>
        <v>5</v>
      </c>
      <c r="L5">
        <f>+COUNTA($G$7:L7)</f>
        <v>6</v>
      </c>
      <c r="M5">
        <f>+COUNTA($G$7:M7)</f>
        <v>7</v>
      </c>
      <c r="N5">
        <f>+COUNTA($G$7:N7)</f>
        <v>8</v>
      </c>
      <c r="O5">
        <f>+COUNTA($G$7:O7)</f>
        <v>9</v>
      </c>
      <c r="P5">
        <f>+COUNTA($G$7:P7)</f>
        <v>10</v>
      </c>
      <c r="Q5">
        <f>+COUNTA($G$7:Q7)</f>
        <v>11</v>
      </c>
      <c r="R5">
        <f>+COUNTA($G$7:R7)</f>
        <v>12</v>
      </c>
      <c r="S5">
        <f>+COUNTA($G$7:S7)</f>
        <v>13</v>
      </c>
      <c r="T5">
        <f>+COUNTA($G$7:T7)</f>
        <v>14</v>
      </c>
      <c r="U5">
        <f>+COUNTA($G$7:U7)</f>
        <v>15</v>
      </c>
      <c r="V5">
        <f>+COUNTA($G$7:V7)</f>
        <v>16</v>
      </c>
      <c r="W5">
        <f>+COUNTA($G$7:W7)</f>
        <v>17</v>
      </c>
      <c r="X5">
        <f>+COUNTA($G$7:X7)</f>
        <v>18</v>
      </c>
      <c r="Y5">
        <f>+COUNTA($G$7:Y7)</f>
        <v>19</v>
      </c>
      <c r="Z5">
        <f>+COUNTA($G$7:Z7)</f>
        <v>20</v>
      </c>
      <c r="AA5">
        <f>+COUNTA($G$7:AA7)</f>
        <v>21</v>
      </c>
      <c r="AB5">
        <f>+COUNTA($G$7:AB7)</f>
        <v>22</v>
      </c>
      <c r="AC5">
        <f>+COUNTA($G$7:AC7)</f>
        <v>23</v>
      </c>
      <c r="AD5">
        <f>+COUNTA($G$7:AD7)</f>
        <v>24</v>
      </c>
      <c r="AE5">
        <f>+COUNTA($G$7:AE7)</f>
        <v>25</v>
      </c>
      <c r="AF5" s="28"/>
      <c r="AG5"/>
      <c r="AH5" s="27"/>
      <c r="AI5" s="5" t="s">
        <v>4</v>
      </c>
      <c r="AJ5">
        <f>+INDEX($D$5:$AE$5,1,MATCH(AJ$6,$D$6:$AE$6,1))</f>
        <v>5</v>
      </c>
      <c r="AK5">
        <f>+INDEX($D$5:$AE$5,1,MATCH(AK$6,$D$6:$AE$6,1))</f>
        <v>10</v>
      </c>
      <c r="AL5">
        <f>+INDEX($D$5:$AE$5,1,MATCH(AL$6,$D$6:$AE$6,1))</f>
        <v>15</v>
      </c>
      <c r="AM5">
        <f>+INDEX($D$5:$AE$5,1,MATCH(AM$6,$D$6:$AE$6,1))</f>
        <v>20</v>
      </c>
      <c r="AN5">
        <f>+INDEX($D$5:$AE$5,1,MATCH(AN$6,$D$6:$AE$6,1))</f>
        <v>25</v>
      </c>
      <c r="AO5" s="28"/>
    </row>
    <row r="6" spans="3:41" x14ac:dyDescent="0.55000000000000004">
      <c r="C6" s="27"/>
      <c r="D6" s="5" t="s">
        <v>5</v>
      </c>
      <c r="G6">
        <f>+YEAR(G7)</f>
        <v>2026</v>
      </c>
      <c r="H6">
        <f t="shared" ref="H6:AE6" si="0">+YEAR(H7)</f>
        <v>2026</v>
      </c>
      <c r="I6">
        <f t="shared" si="0"/>
        <v>2026</v>
      </c>
      <c r="J6">
        <f t="shared" si="0"/>
        <v>2026</v>
      </c>
      <c r="K6">
        <f t="shared" si="0"/>
        <v>2026</v>
      </c>
      <c r="L6">
        <f t="shared" si="0"/>
        <v>2027</v>
      </c>
      <c r="M6">
        <f t="shared" si="0"/>
        <v>2027</v>
      </c>
      <c r="N6">
        <f t="shared" si="0"/>
        <v>2027</v>
      </c>
      <c r="O6">
        <f t="shared" si="0"/>
        <v>2027</v>
      </c>
      <c r="P6">
        <f t="shared" si="0"/>
        <v>2027</v>
      </c>
      <c r="Q6">
        <f t="shared" si="0"/>
        <v>2028</v>
      </c>
      <c r="R6">
        <f t="shared" si="0"/>
        <v>2028</v>
      </c>
      <c r="S6">
        <f t="shared" si="0"/>
        <v>2028</v>
      </c>
      <c r="T6">
        <f t="shared" si="0"/>
        <v>2028</v>
      </c>
      <c r="U6">
        <f t="shared" si="0"/>
        <v>2028</v>
      </c>
      <c r="V6">
        <f t="shared" si="0"/>
        <v>2029</v>
      </c>
      <c r="W6">
        <f t="shared" si="0"/>
        <v>2029</v>
      </c>
      <c r="X6">
        <f t="shared" si="0"/>
        <v>2029</v>
      </c>
      <c r="Y6">
        <f t="shared" si="0"/>
        <v>2029</v>
      </c>
      <c r="Z6">
        <f t="shared" si="0"/>
        <v>2029</v>
      </c>
      <c r="AA6">
        <f t="shared" si="0"/>
        <v>2030</v>
      </c>
      <c r="AB6">
        <f t="shared" si="0"/>
        <v>2030</v>
      </c>
      <c r="AC6">
        <f t="shared" si="0"/>
        <v>2030</v>
      </c>
      <c r="AD6">
        <f t="shared" si="0"/>
        <v>2030</v>
      </c>
      <c r="AE6">
        <f t="shared" si="0"/>
        <v>2030</v>
      </c>
      <c r="AF6" s="28"/>
      <c r="AG6"/>
      <c r="AH6" s="27"/>
      <c r="AI6" s="5" t="s">
        <v>5</v>
      </c>
      <c r="AJ6">
        <f>+YEAR(AJ7)</f>
        <v>2026</v>
      </c>
      <c r="AK6">
        <f t="shared" ref="AK6:AN6" si="1">+YEAR(AK7)</f>
        <v>2027</v>
      </c>
      <c r="AL6">
        <f t="shared" si="1"/>
        <v>2028</v>
      </c>
      <c r="AM6">
        <f t="shared" si="1"/>
        <v>2029</v>
      </c>
      <c r="AN6">
        <f t="shared" si="1"/>
        <v>2030</v>
      </c>
      <c r="AO6" s="28"/>
    </row>
    <row r="7" spans="3:41" x14ac:dyDescent="0.55000000000000004">
      <c r="C7" s="27"/>
      <c r="D7" s="39" t="s">
        <v>6</v>
      </c>
      <c r="E7" s="42"/>
      <c r="F7" s="42"/>
      <c r="G7" s="42">
        <v>46142</v>
      </c>
      <c r="H7" s="42">
        <f>+EOMONTH(G7,1)</f>
        <v>46173</v>
      </c>
      <c r="I7" s="42">
        <f>+EOMONTH(H7,1)</f>
        <v>46203</v>
      </c>
      <c r="J7" s="42">
        <f>+EOMONTH(I7,1)</f>
        <v>46234</v>
      </c>
      <c r="K7" s="42">
        <f>+EOMONTH(J7,1)</f>
        <v>46265</v>
      </c>
      <c r="L7" s="42">
        <f>+EOMONTH(G7,12)</f>
        <v>46507</v>
      </c>
      <c r="M7" s="42">
        <f>+EOMONTH(L7,1)</f>
        <v>46538</v>
      </c>
      <c r="N7" s="42">
        <f>+EOMONTH(M7,1)</f>
        <v>46568</v>
      </c>
      <c r="O7" s="42">
        <f>+EOMONTH(N7,1)</f>
        <v>46599</v>
      </c>
      <c r="P7" s="42">
        <f>+EOMONTH(O7,1)</f>
        <v>46630</v>
      </c>
      <c r="Q7" s="42">
        <f>+EOMONTH(L7,12)</f>
        <v>46873</v>
      </c>
      <c r="R7" s="42">
        <f>+EOMONTH(Q7,1)</f>
        <v>46904</v>
      </c>
      <c r="S7" s="42">
        <f>+EOMONTH(R7,1)</f>
        <v>46934</v>
      </c>
      <c r="T7" s="42">
        <f>+EOMONTH(S7,1)</f>
        <v>46965</v>
      </c>
      <c r="U7" s="42">
        <f>+EOMONTH(T7,1)</f>
        <v>46996</v>
      </c>
      <c r="V7" s="42">
        <f>+EOMONTH(Q7,12)</f>
        <v>47238</v>
      </c>
      <c r="W7" s="42">
        <f>+EOMONTH(V7,1)</f>
        <v>47269</v>
      </c>
      <c r="X7" s="42">
        <f>+EOMONTH(W7,1)</f>
        <v>47299</v>
      </c>
      <c r="Y7" s="42">
        <f>+EOMONTH(X7,1)</f>
        <v>47330</v>
      </c>
      <c r="Z7" s="42">
        <f>+EOMONTH(Y7,1)</f>
        <v>47361</v>
      </c>
      <c r="AA7" s="42">
        <f>+EOMONTH(V7,12)</f>
        <v>47603</v>
      </c>
      <c r="AB7" s="42">
        <f>+EOMONTH(AA7,1)</f>
        <v>47634</v>
      </c>
      <c r="AC7" s="42">
        <f>+EOMONTH(AB7,1)</f>
        <v>47664</v>
      </c>
      <c r="AD7" s="42">
        <f>+EOMONTH(AC7,1)</f>
        <v>47695</v>
      </c>
      <c r="AE7" s="42">
        <f>+EOMONTH(AD7,1)</f>
        <v>47726</v>
      </c>
      <c r="AF7" s="28"/>
      <c r="AG7"/>
      <c r="AH7" s="27"/>
      <c r="AI7" s="39" t="s">
        <v>64</v>
      </c>
      <c r="AJ7" s="42">
        <v>46387</v>
      </c>
      <c r="AK7" s="42">
        <f>+EOMONTH(AJ7,12)</f>
        <v>46752</v>
      </c>
      <c r="AL7" s="42">
        <f>+EOMONTH(AK7,12)</f>
        <v>47118</v>
      </c>
      <c r="AM7" s="42">
        <f>+EOMONTH(AL7,12)</f>
        <v>47483</v>
      </c>
      <c r="AN7" s="42">
        <f>+EOMONTH(AM7,12)</f>
        <v>47848</v>
      </c>
      <c r="AO7" s="28"/>
    </row>
    <row r="8" spans="3:41" x14ac:dyDescent="0.55000000000000004">
      <c r="C8" s="27"/>
      <c r="D8" s="5"/>
      <c r="E8" s="62" t="s">
        <v>71</v>
      </c>
      <c r="F8" s="62" t="s">
        <v>33</v>
      </c>
      <c r="AF8" s="28"/>
      <c r="AG8"/>
      <c r="AH8" s="27"/>
      <c r="AI8" s="5"/>
      <c r="AO8" s="28"/>
    </row>
    <row r="9" spans="3:41" x14ac:dyDescent="0.55000000000000004">
      <c r="C9" s="27"/>
      <c r="D9" s="30" t="s">
        <v>18</v>
      </c>
      <c r="E9" s="63">
        <v>-0.25</v>
      </c>
      <c r="F9" s="23">
        <v>1</v>
      </c>
      <c r="G9" s="8">
        <f>+SUMPRODUCT('Control Panel'!$E$16:$G$16,'Control Panel'!$E$17:$G$17,'Control Panel'!$E$18:$G$18)</f>
        <v>3600</v>
      </c>
      <c r="H9" s="8">
        <f>+SUMPRODUCT('Control Panel'!$E$16:$G$16,'Control Panel'!$E$17:$G$17,'Control Panel'!$E$18:$G$18)</f>
        <v>3600</v>
      </c>
      <c r="I9" s="8">
        <f>+SUMPRODUCT('Control Panel'!$E$16:$G$16,'Control Panel'!$E$17:$G$17,'Control Panel'!$E$18:$G$18)</f>
        <v>3600</v>
      </c>
      <c r="J9" s="8">
        <f>+SUMPRODUCT('Control Panel'!$E$16:$G$16,'Control Panel'!$E$17:$G$17,'Control Panel'!$E$18:$G$18)</f>
        <v>3600</v>
      </c>
      <c r="K9" s="8">
        <f>+SUMPRODUCT('Control Panel'!$E$16:$G$16,'Control Panel'!$E$17:$G$17,'Control Panel'!$E$18:$G$18)</f>
        <v>3600</v>
      </c>
      <c r="L9" s="8">
        <f>+SUMPRODUCT('Control Panel'!$E$16:$G$16,'Control Panel'!$E$17:$G$17,'Control Panel'!$E$18:$G$18)</f>
        <v>3600</v>
      </c>
      <c r="M9" s="8">
        <f>+SUMPRODUCT('Control Panel'!$E$16:$G$16,'Control Panel'!$E$17:$G$17,'Control Panel'!$E$18:$G$18)</f>
        <v>3600</v>
      </c>
      <c r="N9" s="8">
        <f>+SUMPRODUCT('Control Panel'!$E$16:$G$16,'Control Panel'!$E$17:$G$17,'Control Panel'!$E$18:$G$18)</f>
        <v>3600</v>
      </c>
      <c r="O9" s="8">
        <f>+SUMPRODUCT('Control Panel'!$E$16:$G$16,'Control Panel'!$E$17:$G$17,'Control Panel'!$E$18:$G$18)</f>
        <v>3600</v>
      </c>
      <c r="P9" s="8">
        <f>+SUMPRODUCT('Control Panel'!$E$16:$G$16,'Control Panel'!$E$17:$G$17,'Control Panel'!$E$18:$G$18)</f>
        <v>3600</v>
      </c>
      <c r="Q9" s="8">
        <f>+SUMPRODUCT('Control Panel'!$E$16:$G$16,'Control Panel'!$E$17:$G$17,'Control Panel'!$E$18:$G$18)</f>
        <v>3600</v>
      </c>
      <c r="R9" s="8">
        <f>+SUMPRODUCT('Control Panel'!$E$16:$G$16,'Control Panel'!$E$17:$G$17,'Control Panel'!$E$18:$G$18)</f>
        <v>3600</v>
      </c>
      <c r="S9" s="8">
        <f>+SUMPRODUCT('Control Panel'!$E$16:$G$16,'Control Panel'!$E$17:$G$17,'Control Panel'!$E$18:$G$18)</f>
        <v>3600</v>
      </c>
      <c r="T9" s="8">
        <f>+SUMPRODUCT('Control Panel'!$E$16:$G$16,'Control Panel'!$E$17:$G$17,'Control Panel'!$E$18:$G$18)</f>
        <v>3600</v>
      </c>
      <c r="U9" s="8">
        <f>+SUMPRODUCT('Control Panel'!$E$16:$G$16,'Control Panel'!$E$17:$G$17,'Control Panel'!$E$18:$G$18)</f>
        <v>3600</v>
      </c>
      <c r="V9" s="8">
        <f>+SUMPRODUCT('Control Panel'!$E$16:$G$16,'Control Panel'!$E$17:$G$17,'Control Panel'!$E$18:$G$18)</f>
        <v>3600</v>
      </c>
      <c r="W9" s="8">
        <f>+SUMPRODUCT('Control Panel'!$E$16:$G$16,'Control Panel'!$E$17:$G$17,'Control Panel'!$E$18:$G$18)</f>
        <v>3600</v>
      </c>
      <c r="X9" s="8">
        <f>+SUMPRODUCT('Control Panel'!$E$16:$G$16,'Control Panel'!$E$17:$G$17,'Control Panel'!$E$18:$G$18)</f>
        <v>3600</v>
      </c>
      <c r="Y9" s="8">
        <f>+SUMPRODUCT('Control Panel'!$E$16:$G$16,'Control Panel'!$E$17:$G$17,'Control Panel'!$E$18:$G$18)</f>
        <v>3600</v>
      </c>
      <c r="Z9" s="8">
        <f>+SUMPRODUCT('Control Panel'!$E$16:$G$16,'Control Panel'!$E$17:$G$17,'Control Panel'!$E$18:$G$18)</f>
        <v>3600</v>
      </c>
      <c r="AA9" s="8">
        <f>+SUMPRODUCT('Control Panel'!$E$16:$G$16,'Control Panel'!$E$17:$G$17,'Control Panel'!$E$18:$G$18)</f>
        <v>3600</v>
      </c>
      <c r="AB9" s="8">
        <f>+SUMPRODUCT('Control Panel'!$E$16:$G$16,'Control Panel'!$E$17:$G$17,'Control Panel'!$E$18:$G$18)</f>
        <v>3600</v>
      </c>
      <c r="AC9" s="8">
        <f>+SUMPRODUCT('Control Panel'!$E$16:$G$16,'Control Panel'!$E$17:$G$17,'Control Panel'!$E$18:$G$18)</f>
        <v>3600</v>
      </c>
      <c r="AD9" s="8">
        <f>+SUMPRODUCT('Control Panel'!$E$16:$G$16,'Control Panel'!$E$17:$G$17,'Control Panel'!$E$18:$G$18)</f>
        <v>3600</v>
      </c>
      <c r="AE9" s="8">
        <f>+SUMPRODUCT('Control Panel'!$E$16:$G$16,'Control Panel'!$E$17:$G$17,'Control Panel'!$E$18:$G$18)</f>
        <v>3600</v>
      </c>
      <c r="AF9" s="28"/>
      <c r="AG9"/>
      <c r="AH9" s="27"/>
      <c r="AI9" s="30" t="str">
        <f t="shared" ref="AI9:AI40" si="2">D9</f>
        <v>Ticketing</v>
      </c>
      <c r="AJ9" s="8">
        <f t="shared" ref="AJ9:AN18" si="3">+SUMIFS($G9:$AE9,$G$6:$AE$6,AJ$6)</f>
        <v>18000</v>
      </c>
      <c r="AK9" s="8">
        <f t="shared" si="3"/>
        <v>18000</v>
      </c>
      <c r="AL9" s="8">
        <f t="shared" si="3"/>
        <v>18000</v>
      </c>
      <c r="AM9" s="8">
        <f t="shared" si="3"/>
        <v>18000</v>
      </c>
      <c r="AN9" s="8">
        <f t="shared" si="3"/>
        <v>18000</v>
      </c>
      <c r="AO9" s="28"/>
    </row>
    <row r="10" spans="3:41" x14ac:dyDescent="0.55000000000000004">
      <c r="C10" s="27"/>
      <c r="D10" s="31" t="str">
        <f>+'Control Panel'!D24</f>
        <v>Single event sponsor</v>
      </c>
      <c r="E10" s="63">
        <v>-1</v>
      </c>
      <c r="F10" s="23">
        <v>0.5</v>
      </c>
      <c r="G10" s="8">
        <f>+INDEX('Control Panel'!$F$24:$F$27,MATCH($D10,'Control Panel'!$D$24:$D$27,0))*INDEX('Control Panel'!$H$24:$L$27,MATCH($D10,'Control Panel'!$D$24:$D$27,0),MATCH(G$6,'Control Panel'!$H$23:$L$23,0))*INDEX('Control Panel'!$P$24:$T$27,MATCH($D10,'Control Panel'!$D$24:$D$27,0),MATCH(G$6,'Control Panel'!$P$23:$T$23,0))*SUMPRODUCT('Control Panel'!$E$16:$G$16,'Control Panel'!$E$17:$G$17)/SUM('Control Panel'!$E$16:$G$16)/'Control Panel'!$E$5</f>
        <v>3520</v>
      </c>
      <c r="H10" s="8">
        <f>+INDEX('Control Panel'!$F$24:$F$27,MATCH($D10,'Control Panel'!$D$24:$D$27,0))*INDEX('Control Panel'!$H$24:$L$27,MATCH($D10,'Control Panel'!$D$24:$D$27,0),MATCH(H$6,'Control Panel'!$H$23:$L$23,0))*INDEX('Control Panel'!$P$24:$T$27,MATCH($D10,'Control Panel'!$D$24:$D$27,0),MATCH(H$6,'Control Panel'!$P$23:$T$23,0))*SUMPRODUCT('Control Panel'!$E$16:$G$16,'Control Panel'!$E$17:$G$17)/SUM('Control Panel'!$E$16:$G$16)/'Control Panel'!$E$5</f>
        <v>3520</v>
      </c>
      <c r="I10" s="8">
        <f>+INDEX('Control Panel'!$F$24:$F$27,MATCH($D10,'Control Panel'!$D$24:$D$27,0))*INDEX('Control Panel'!$H$24:$L$27,MATCH($D10,'Control Panel'!$D$24:$D$27,0),MATCH(I$6,'Control Panel'!$H$23:$L$23,0))*INDEX('Control Panel'!$P$24:$T$27,MATCH($D10,'Control Panel'!$D$24:$D$27,0),MATCH(I$6,'Control Panel'!$P$23:$T$23,0))*SUMPRODUCT('Control Panel'!$E$16:$G$16,'Control Panel'!$E$17:$G$17)/SUM('Control Panel'!$E$16:$G$16)/'Control Panel'!$E$5</f>
        <v>3520</v>
      </c>
      <c r="J10" s="8">
        <f>+INDEX('Control Panel'!$F$24:$F$27,MATCH($D10,'Control Panel'!$D$24:$D$27,0))*INDEX('Control Panel'!$H$24:$L$27,MATCH($D10,'Control Panel'!$D$24:$D$27,0),MATCH(J$6,'Control Panel'!$H$23:$L$23,0))*INDEX('Control Panel'!$P$24:$T$27,MATCH($D10,'Control Panel'!$D$24:$D$27,0),MATCH(J$6,'Control Panel'!$P$23:$T$23,0))*SUMPRODUCT('Control Panel'!$E$16:$G$16,'Control Panel'!$E$17:$G$17)/SUM('Control Panel'!$E$16:$G$16)/'Control Panel'!$E$5</f>
        <v>3520</v>
      </c>
      <c r="K10" s="8">
        <f>+INDEX('Control Panel'!$F$24:$F$27,MATCH($D10,'Control Panel'!$D$24:$D$27,0))*INDEX('Control Panel'!$H$24:$L$27,MATCH($D10,'Control Panel'!$D$24:$D$27,0),MATCH(K$6,'Control Panel'!$H$23:$L$23,0))*INDEX('Control Panel'!$P$24:$T$27,MATCH($D10,'Control Panel'!$D$24:$D$27,0),MATCH(K$6,'Control Panel'!$P$23:$T$23,0))*SUMPRODUCT('Control Panel'!$E$16:$G$16,'Control Panel'!$E$17:$G$17)/SUM('Control Panel'!$E$16:$G$16)/'Control Panel'!$E$5</f>
        <v>3520</v>
      </c>
      <c r="L10" s="8">
        <f>+INDEX('Control Panel'!$F$24:$F$27,MATCH($D10,'Control Panel'!$D$24:$D$27,0))*INDEX('Control Panel'!$H$24:$L$27,MATCH($D10,'Control Panel'!$D$24:$D$27,0),MATCH(L$6,'Control Panel'!$H$23:$L$23,0))*INDEX('Control Panel'!$P$24:$T$27,MATCH($D10,'Control Panel'!$D$24:$D$27,0),MATCH(L$6,'Control Panel'!$P$23:$T$23,0))*SUMPRODUCT('Control Panel'!$E$16:$G$16,'Control Panel'!$E$17:$G$17)/SUM('Control Panel'!$E$16:$G$16)/'Control Panel'!$E$5</f>
        <v>2243.9999999999991</v>
      </c>
      <c r="M10" s="8">
        <f>+INDEX('Control Panel'!$F$24:$F$27,MATCH($D10,'Control Panel'!$D$24:$D$27,0))*INDEX('Control Panel'!$H$24:$L$27,MATCH($D10,'Control Panel'!$D$24:$D$27,0),MATCH(M$6,'Control Panel'!$H$23:$L$23,0))*INDEX('Control Panel'!$P$24:$T$27,MATCH($D10,'Control Panel'!$D$24:$D$27,0),MATCH(M$6,'Control Panel'!$P$23:$T$23,0))*SUMPRODUCT('Control Panel'!$E$16:$G$16,'Control Panel'!$E$17:$G$17)/SUM('Control Panel'!$E$16:$G$16)/'Control Panel'!$E$5</f>
        <v>2243.9999999999991</v>
      </c>
      <c r="N10" s="8">
        <f>+INDEX('Control Panel'!$F$24:$F$27,MATCH($D10,'Control Panel'!$D$24:$D$27,0))*INDEX('Control Panel'!$H$24:$L$27,MATCH($D10,'Control Panel'!$D$24:$D$27,0),MATCH(N$6,'Control Panel'!$H$23:$L$23,0))*INDEX('Control Panel'!$P$24:$T$27,MATCH($D10,'Control Panel'!$D$24:$D$27,0),MATCH(N$6,'Control Panel'!$P$23:$T$23,0))*SUMPRODUCT('Control Panel'!$E$16:$G$16,'Control Panel'!$E$17:$G$17)/SUM('Control Panel'!$E$16:$G$16)/'Control Panel'!$E$5</f>
        <v>2243.9999999999991</v>
      </c>
      <c r="O10" s="8">
        <f>+INDEX('Control Panel'!$F$24:$F$27,MATCH($D10,'Control Panel'!$D$24:$D$27,0))*INDEX('Control Panel'!$H$24:$L$27,MATCH($D10,'Control Panel'!$D$24:$D$27,0),MATCH(O$6,'Control Panel'!$H$23:$L$23,0))*INDEX('Control Panel'!$P$24:$T$27,MATCH($D10,'Control Panel'!$D$24:$D$27,0),MATCH(O$6,'Control Panel'!$P$23:$T$23,0))*SUMPRODUCT('Control Panel'!$E$16:$G$16,'Control Panel'!$E$17:$G$17)/SUM('Control Panel'!$E$16:$G$16)/'Control Panel'!$E$5</f>
        <v>2243.9999999999991</v>
      </c>
      <c r="P10" s="8">
        <f>+INDEX('Control Panel'!$F$24:$F$27,MATCH($D10,'Control Panel'!$D$24:$D$27,0))*INDEX('Control Panel'!$H$24:$L$27,MATCH($D10,'Control Panel'!$D$24:$D$27,0),MATCH(P$6,'Control Panel'!$H$23:$L$23,0))*INDEX('Control Panel'!$P$24:$T$27,MATCH($D10,'Control Panel'!$D$24:$D$27,0),MATCH(P$6,'Control Panel'!$P$23:$T$23,0))*SUMPRODUCT('Control Panel'!$E$16:$G$16,'Control Panel'!$E$17:$G$17)/SUM('Control Panel'!$E$16:$G$16)/'Control Panel'!$E$5</f>
        <v>2243.9999999999991</v>
      </c>
      <c r="Q10" s="8">
        <f>+INDEX('Control Panel'!$F$24:$F$27,MATCH($D10,'Control Panel'!$D$24:$D$27,0))*INDEX('Control Panel'!$H$24:$L$27,MATCH($D10,'Control Panel'!$D$24:$D$27,0),MATCH(Q$6,'Control Panel'!$H$23:$L$23,0))*INDEX('Control Panel'!$P$24:$T$27,MATCH($D10,'Control Panel'!$D$24:$D$27,0),MATCH(Q$6,'Control Panel'!$P$23:$T$23,0))*SUMPRODUCT('Control Panel'!$E$16:$G$16,'Control Panel'!$E$17:$G$17)/SUM('Control Panel'!$E$16:$G$16)/'Control Panel'!$E$5</f>
        <v>1979.9999999999986</v>
      </c>
      <c r="R10" s="8">
        <f>+INDEX('Control Panel'!$F$24:$F$27,MATCH($D10,'Control Panel'!$D$24:$D$27,0))*INDEX('Control Panel'!$H$24:$L$27,MATCH($D10,'Control Panel'!$D$24:$D$27,0),MATCH(R$6,'Control Panel'!$H$23:$L$23,0))*INDEX('Control Panel'!$P$24:$T$27,MATCH($D10,'Control Panel'!$D$24:$D$27,0),MATCH(R$6,'Control Panel'!$P$23:$T$23,0))*SUMPRODUCT('Control Panel'!$E$16:$G$16,'Control Panel'!$E$17:$G$17)/SUM('Control Panel'!$E$16:$G$16)/'Control Panel'!$E$5</f>
        <v>1979.9999999999986</v>
      </c>
      <c r="S10" s="8">
        <f>+INDEX('Control Panel'!$F$24:$F$27,MATCH($D10,'Control Panel'!$D$24:$D$27,0))*INDEX('Control Panel'!$H$24:$L$27,MATCH($D10,'Control Panel'!$D$24:$D$27,0),MATCH(S$6,'Control Panel'!$H$23:$L$23,0))*INDEX('Control Panel'!$P$24:$T$27,MATCH($D10,'Control Panel'!$D$24:$D$27,0),MATCH(S$6,'Control Panel'!$P$23:$T$23,0))*SUMPRODUCT('Control Panel'!$E$16:$G$16,'Control Panel'!$E$17:$G$17)/SUM('Control Panel'!$E$16:$G$16)/'Control Panel'!$E$5</f>
        <v>1979.9999999999986</v>
      </c>
      <c r="T10" s="8">
        <f>+INDEX('Control Panel'!$F$24:$F$27,MATCH($D10,'Control Panel'!$D$24:$D$27,0))*INDEX('Control Panel'!$H$24:$L$27,MATCH($D10,'Control Panel'!$D$24:$D$27,0),MATCH(T$6,'Control Panel'!$H$23:$L$23,0))*INDEX('Control Panel'!$P$24:$T$27,MATCH($D10,'Control Panel'!$D$24:$D$27,0),MATCH(T$6,'Control Panel'!$P$23:$T$23,0))*SUMPRODUCT('Control Panel'!$E$16:$G$16,'Control Panel'!$E$17:$G$17)/SUM('Control Panel'!$E$16:$G$16)/'Control Panel'!$E$5</f>
        <v>1979.9999999999986</v>
      </c>
      <c r="U10" s="8">
        <f>+INDEX('Control Panel'!$F$24:$F$27,MATCH($D10,'Control Panel'!$D$24:$D$27,0))*INDEX('Control Panel'!$H$24:$L$27,MATCH($D10,'Control Panel'!$D$24:$D$27,0),MATCH(U$6,'Control Panel'!$H$23:$L$23,0))*INDEX('Control Panel'!$P$24:$T$27,MATCH($D10,'Control Panel'!$D$24:$D$27,0),MATCH(U$6,'Control Panel'!$P$23:$T$23,0))*SUMPRODUCT('Control Panel'!$E$16:$G$16,'Control Panel'!$E$17:$G$17)/SUM('Control Panel'!$E$16:$G$16)/'Control Panel'!$E$5</f>
        <v>1979.9999999999986</v>
      </c>
      <c r="V10" s="8">
        <f>+INDEX('Control Panel'!$F$24:$F$27,MATCH($D10,'Control Panel'!$D$24:$D$27,0))*INDEX('Control Panel'!$H$24:$L$27,MATCH($D10,'Control Panel'!$D$24:$D$27,0),MATCH(V$6,'Control Panel'!$H$23:$L$23,0))*INDEX('Control Panel'!$P$24:$T$27,MATCH($D10,'Control Panel'!$D$24:$D$27,0),MATCH(V$6,'Control Panel'!$P$23:$T$23,0))*SUMPRODUCT('Control Panel'!$E$16:$G$16,'Control Panel'!$E$17:$G$17)/SUM('Control Panel'!$E$16:$G$16)/'Control Panel'!$E$5</f>
        <v>417.99999999999773</v>
      </c>
      <c r="W10" s="8">
        <f>+INDEX('Control Panel'!$F$24:$F$27,MATCH($D10,'Control Panel'!$D$24:$D$27,0))*INDEX('Control Panel'!$H$24:$L$27,MATCH($D10,'Control Panel'!$D$24:$D$27,0),MATCH(W$6,'Control Panel'!$H$23:$L$23,0))*INDEX('Control Panel'!$P$24:$T$27,MATCH($D10,'Control Panel'!$D$24:$D$27,0),MATCH(W$6,'Control Panel'!$P$23:$T$23,0))*SUMPRODUCT('Control Panel'!$E$16:$G$16,'Control Panel'!$E$17:$G$17)/SUM('Control Panel'!$E$16:$G$16)/'Control Panel'!$E$5</f>
        <v>417.99999999999773</v>
      </c>
      <c r="X10" s="8">
        <f>+INDEX('Control Panel'!$F$24:$F$27,MATCH($D10,'Control Panel'!$D$24:$D$27,0))*INDEX('Control Panel'!$H$24:$L$27,MATCH($D10,'Control Panel'!$D$24:$D$27,0),MATCH(X$6,'Control Panel'!$H$23:$L$23,0))*INDEX('Control Panel'!$P$24:$T$27,MATCH($D10,'Control Panel'!$D$24:$D$27,0),MATCH(X$6,'Control Panel'!$P$23:$T$23,0))*SUMPRODUCT('Control Panel'!$E$16:$G$16,'Control Panel'!$E$17:$G$17)/SUM('Control Panel'!$E$16:$G$16)/'Control Panel'!$E$5</f>
        <v>417.99999999999773</v>
      </c>
      <c r="Y10" s="8">
        <f>+INDEX('Control Panel'!$F$24:$F$27,MATCH($D10,'Control Panel'!$D$24:$D$27,0))*INDEX('Control Panel'!$H$24:$L$27,MATCH($D10,'Control Panel'!$D$24:$D$27,0),MATCH(Y$6,'Control Panel'!$H$23:$L$23,0))*INDEX('Control Panel'!$P$24:$T$27,MATCH($D10,'Control Panel'!$D$24:$D$27,0),MATCH(Y$6,'Control Panel'!$P$23:$T$23,0))*SUMPRODUCT('Control Panel'!$E$16:$G$16,'Control Panel'!$E$17:$G$17)/SUM('Control Panel'!$E$16:$G$16)/'Control Panel'!$E$5</f>
        <v>417.99999999999773</v>
      </c>
      <c r="Z10" s="8">
        <f>+INDEX('Control Panel'!$F$24:$F$27,MATCH($D10,'Control Panel'!$D$24:$D$27,0))*INDEX('Control Panel'!$H$24:$L$27,MATCH($D10,'Control Panel'!$D$24:$D$27,0),MATCH(Z$6,'Control Panel'!$H$23:$L$23,0))*INDEX('Control Panel'!$P$24:$T$27,MATCH($D10,'Control Panel'!$D$24:$D$27,0),MATCH(Z$6,'Control Panel'!$P$23:$T$23,0))*SUMPRODUCT('Control Panel'!$E$16:$G$16,'Control Panel'!$E$17:$G$17)/SUM('Control Panel'!$E$16:$G$16)/'Control Panel'!$E$5</f>
        <v>417.99999999999773</v>
      </c>
      <c r="AA10" s="8">
        <f>+INDEX('Control Panel'!$F$24:$F$27,MATCH($D10,'Control Panel'!$D$24:$D$27,0))*INDEX('Control Panel'!$H$24:$L$27,MATCH($D10,'Control Panel'!$D$24:$D$27,0),MATCH(AA$6,'Control Panel'!$H$23:$L$23,0))*INDEX('Control Panel'!$P$24:$T$27,MATCH($D10,'Control Panel'!$D$24:$D$27,0),MATCH(AA$6,'Control Panel'!$P$23:$T$23,0))*SUMPRODUCT('Control Panel'!$E$16:$G$16,'Control Panel'!$E$17:$G$17)/SUM('Control Panel'!$E$16:$G$16)/'Control Panel'!$E$5</f>
        <v>-3.1263880373444408E-12</v>
      </c>
      <c r="AB10" s="8">
        <f>+INDEX('Control Panel'!$F$24:$F$27,MATCH($D10,'Control Panel'!$D$24:$D$27,0))*INDEX('Control Panel'!$H$24:$L$27,MATCH($D10,'Control Panel'!$D$24:$D$27,0),MATCH(AB$6,'Control Panel'!$H$23:$L$23,0))*INDEX('Control Panel'!$P$24:$T$27,MATCH($D10,'Control Panel'!$D$24:$D$27,0),MATCH(AB$6,'Control Panel'!$P$23:$T$23,0))*SUMPRODUCT('Control Panel'!$E$16:$G$16,'Control Panel'!$E$17:$G$17)/SUM('Control Panel'!$E$16:$G$16)/'Control Panel'!$E$5</f>
        <v>-3.1263880373444408E-12</v>
      </c>
      <c r="AC10" s="8">
        <f>+INDEX('Control Panel'!$F$24:$F$27,MATCH($D10,'Control Panel'!$D$24:$D$27,0))*INDEX('Control Panel'!$H$24:$L$27,MATCH($D10,'Control Panel'!$D$24:$D$27,0),MATCH(AC$6,'Control Panel'!$H$23:$L$23,0))*INDEX('Control Panel'!$P$24:$T$27,MATCH($D10,'Control Panel'!$D$24:$D$27,0),MATCH(AC$6,'Control Panel'!$P$23:$T$23,0))*SUMPRODUCT('Control Panel'!$E$16:$G$16,'Control Panel'!$E$17:$G$17)/SUM('Control Panel'!$E$16:$G$16)/'Control Panel'!$E$5</f>
        <v>-3.1263880373444408E-12</v>
      </c>
      <c r="AD10" s="8">
        <f>+INDEX('Control Panel'!$F$24:$F$27,MATCH($D10,'Control Panel'!$D$24:$D$27,0))*INDEX('Control Panel'!$H$24:$L$27,MATCH($D10,'Control Panel'!$D$24:$D$27,0),MATCH(AD$6,'Control Panel'!$H$23:$L$23,0))*INDEX('Control Panel'!$P$24:$T$27,MATCH($D10,'Control Panel'!$D$24:$D$27,0),MATCH(AD$6,'Control Panel'!$P$23:$T$23,0))*SUMPRODUCT('Control Panel'!$E$16:$G$16,'Control Panel'!$E$17:$G$17)/SUM('Control Panel'!$E$16:$G$16)/'Control Panel'!$E$5</f>
        <v>-3.1263880373444408E-12</v>
      </c>
      <c r="AE10" s="8">
        <f>+INDEX('Control Panel'!$F$24:$F$27,MATCH($D10,'Control Panel'!$D$24:$D$27,0))*INDEX('Control Panel'!$H$24:$L$27,MATCH($D10,'Control Panel'!$D$24:$D$27,0),MATCH(AE$6,'Control Panel'!$H$23:$L$23,0))*INDEX('Control Panel'!$P$24:$T$27,MATCH($D10,'Control Panel'!$D$24:$D$27,0),MATCH(AE$6,'Control Panel'!$P$23:$T$23,0))*SUMPRODUCT('Control Panel'!$E$16:$G$16,'Control Panel'!$E$17:$G$17)/SUM('Control Panel'!$E$16:$G$16)/'Control Panel'!$E$5</f>
        <v>-3.1263880373444408E-12</v>
      </c>
      <c r="AF10" s="28"/>
      <c r="AG10"/>
      <c r="AH10" s="27"/>
      <c r="AI10" s="31" t="str">
        <f t="shared" si="2"/>
        <v>Single event sponsor</v>
      </c>
      <c r="AJ10" s="8">
        <f t="shared" si="3"/>
        <v>17600</v>
      </c>
      <c r="AK10" s="8">
        <f t="shared" si="3"/>
        <v>11219.999999999996</v>
      </c>
      <c r="AL10" s="8">
        <f t="shared" si="3"/>
        <v>9899.9999999999927</v>
      </c>
      <c r="AM10" s="8">
        <f t="shared" si="3"/>
        <v>2089.9999999999886</v>
      </c>
      <c r="AN10" s="8">
        <f t="shared" si="3"/>
        <v>-1.5631940186722204E-11</v>
      </c>
      <c r="AO10" s="28"/>
    </row>
    <row r="11" spans="3:41" x14ac:dyDescent="0.55000000000000004">
      <c r="C11" s="27"/>
      <c r="D11" s="31" t="str">
        <f>+'Control Panel'!D25</f>
        <v>Product promo sponsor</v>
      </c>
      <c r="E11" s="63">
        <v>-1</v>
      </c>
      <c r="F11" s="23">
        <v>0.5</v>
      </c>
      <c r="G11" s="8">
        <f>+INDEX('Control Panel'!$F$24:$F$27,MATCH($D11,'Control Panel'!$D$24:$D$27,0))*INDEX('Control Panel'!$H$24:$L$27,MATCH($D11,'Control Panel'!$D$24:$D$27,0),MATCH(G$6,'Control Panel'!$H$23:$L$23,0))*INDEX('Control Panel'!$P$24:$T$27,MATCH($D11,'Control Panel'!$D$24:$D$27,0),MATCH(G$6,'Control Panel'!$P$23:$T$23,0))*SUMPRODUCT('Control Panel'!$E$16:$G$16,'Control Panel'!$E$17:$G$17)/SUM('Control Panel'!$E$16:$G$16)/'Control Panel'!$E$5</f>
        <v>1056</v>
      </c>
      <c r="H11" s="8">
        <f>+INDEX('Control Panel'!$F$24:$F$27,MATCH($D11,'Control Panel'!$D$24:$D$27,0))*INDEX('Control Panel'!$H$24:$L$27,MATCH($D11,'Control Panel'!$D$24:$D$27,0),MATCH(H$6,'Control Panel'!$H$23:$L$23,0))*INDEX('Control Panel'!$P$24:$T$27,MATCH($D11,'Control Panel'!$D$24:$D$27,0),MATCH(H$6,'Control Panel'!$P$23:$T$23,0))*SUMPRODUCT('Control Panel'!$E$16:$G$16,'Control Panel'!$E$17:$G$17)/SUM('Control Panel'!$E$16:$G$16)/'Control Panel'!$E$5</f>
        <v>1056</v>
      </c>
      <c r="I11" s="8">
        <f>+INDEX('Control Panel'!$F$24:$F$27,MATCH($D11,'Control Panel'!$D$24:$D$27,0))*INDEX('Control Panel'!$H$24:$L$27,MATCH($D11,'Control Panel'!$D$24:$D$27,0),MATCH(I$6,'Control Panel'!$H$23:$L$23,0))*INDEX('Control Panel'!$P$24:$T$27,MATCH($D11,'Control Panel'!$D$24:$D$27,0),MATCH(I$6,'Control Panel'!$P$23:$T$23,0))*SUMPRODUCT('Control Panel'!$E$16:$G$16,'Control Panel'!$E$17:$G$17)/SUM('Control Panel'!$E$16:$G$16)/'Control Panel'!$E$5</f>
        <v>1056</v>
      </c>
      <c r="J11" s="8">
        <f>+INDEX('Control Panel'!$F$24:$F$27,MATCH($D11,'Control Panel'!$D$24:$D$27,0))*INDEX('Control Panel'!$H$24:$L$27,MATCH($D11,'Control Panel'!$D$24:$D$27,0),MATCH(J$6,'Control Panel'!$H$23:$L$23,0))*INDEX('Control Panel'!$P$24:$T$27,MATCH($D11,'Control Panel'!$D$24:$D$27,0),MATCH(J$6,'Control Panel'!$P$23:$T$23,0))*SUMPRODUCT('Control Panel'!$E$16:$G$16,'Control Panel'!$E$17:$G$17)/SUM('Control Panel'!$E$16:$G$16)/'Control Panel'!$E$5</f>
        <v>1056</v>
      </c>
      <c r="K11" s="8">
        <f>+INDEX('Control Panel'!$F$24:$F$27,MATCH($D11,'Control Panel'!$D$24:$D$27,0))*INDEX('Control Panel'!$H$24:$L$27,MATCH($D11,'Control Panel'!$D$24:$D$27,0),MATCH(K$6,'Control Panel'!$H$23:$L$23,0))*INDEX('Control Panel'!$P$24:$T$27,MATCH($D11,'Control Panel'!$D$24:$D$27,0),MATCH(K$6,'Control Panel'!$P$23:$T$23,0))*SUMPRODUCT('Control Panel'!$E$16:$G$16,'Control Panel'!$E$17:$G$17)/SUM('Control Panel'!$E$16:$G$16)/'Control Panel'!$E$5</f>
        <v>1056</v>
      </c>
      <c r="L11" s="8">
        <f>+INDEX('Control Panel'!$F$24:$F$27,MATCH($D11,'Control Panel'!$D$24:$D$27,0))*INDEX('Control Panel'!$H$24:$L$27,MATCH($D11,'Control Panel'!$D$24:$D$27,0),MATCH(L$6,'Control Panel'!$H$23:$L$23,0))*INDEX('Control Panel'!$P$24:$T$27,MATCH($D11,'Control Panel'!$D$24:$D$27,0),MATCH(L$6,'Control Panel'!$P$23:$T$23,0))*SUMPRODUCT('Control Panel'!$E$16:$G$16,'Control Panel'!$E$17:$G$17)/SUM('Control Panel'!$E$16:$G$16)/'Control Panel'!$E$5</f>
        <v>1716.0000000000011</v>
      </c>
      <c r="M11" s="8">
        <f>+INDEX('Control Panel'!$F$24:$F$27,MATCH($D11,'Control Panel'!$D$24:$D$27,0))*INDEX('Control Panel'!$H$24:$L$27,MATCH($D11,'Control Panel'!$D$24:$D$27,0),MATCH(M$6,'Control Panel'!$H$23:$L$23,0))*INDEX('Control Panel'!$P$24:$T$27,MATCH($D11,'Control Panel'!$D$24:$D$27,0),MATCH(M$6,'Control Panel'!$P$23:$T$23,0))*SUMPRODUCT('Control Panel'!$E$16:$G$16,'Control Panel'!$E$17:$G$17)/SUM('Control Panel'!$E$16:$G$16)/'Control Panel'!$E$5</f>
        <v>1716.0000000000011</v>
      </c>
      <c r="N11" s="8">
        <f>+INDEX('Control Panel'!$F$24:$F$27,MATCH($D11,'Control Panel'!$D$24:$D$27,0))*INDEX('Control Panel'!$H$24:$L$27,MATCH($D11,'Control Panel'!$D$24:$D$27,0),MATCH(N$6,'Control Panel'!$H$23:$L$23,0))*INDEX('Control Panel'!$P$24:$T$27,MATCH($D11,'Control Panel'!$D$24:$D$27,0),MATCH(N$6,'Control Panel'!$P$23:$T$23,0))*SUMPRODUCT('Control Panel'!$E$16:$G$16,'Control Panel'!$E$17:$G$17)/SUM('Control Panel'!$E$16:$G$16)/'Control Panel'!$E$5</f>
        <v>1716.0000000000011</v>
      </c>
      <c r="O11" s="8">
        <f>+INDEX('Control Panel'!$F$24:$F$27,MATCH($D11,'Control Panel'!$D$24:$D$27,0))*INDEX('Control Panel'!$H$24:$L$27,MATCH($D11,'Control Panel'!$D$24:$D$27,0),MATCH(O$6,'Control Panel'!$H$23:$L$23,0))*INDEX('Control Panel'!$P$24:$T$27,MATCH($D11,'Control Panel'!$D$24:$D$27,0),MATCH(O$6,'Control Panel'!$P$23:$T$23,0))*SUMPRODUCT('Control Panel'!$E$16:$G$16,'Control Panel'!$E$17:$G$17)/SUM('Control Panel'!$E$16:$G$16)/'Control Panel'!$E$5</f>
        <v>1716.0000000000011</v>
      </c>
      <c r="P11" s="8">
        <f>+INDEX('Control Panel'!$F$24:$F$27,MATCH($D11,'Control Panel'!$D$24:$D$27,0))*INDEX('Control Panel'!$H$24:$L$27,MATCH($D11,'Control Panel'!$D$24:$D$27,0),MATCH(P$6,'Control Panel'!$H$23:$L$23,0))*INDEX('Control Panel'!$P$24:$T$27,MATCH($D11,'Control Panel'!$D$24:$D$27,0),MATCH(P$6,'Control Panel'!$P$23:$T$23,0))*SUMPRODUCT('Control Panel'!$E$16:$G$16,'Control Panel'!$E$17:$G$17)/SUM('Control Panel'!$E$16:$G$16)/'Control Panel'!$E$5</f>
        <v>1716.0000000000011</v>
      </c>
      <c r="Q11" s="8">
        <f>+INDEX('Control Panel'!$F$24:$F$27,MATCH($D11,'Control Panel'!$D$24:$D$27,0))*INDEX('Control Panel'!$H$24:$L$27,MATCH($D11,'Control Panel'!$D$24:$D$27,0),MATCH(Q$6,'Control Panel'!$H$23:$L$23,0))*INDEX('Control Panel'!$P$24:$T$27,MATCH($D11,'Control Panel'!$D$24:$D$27,0),MATCH(Q$6,'Control Panel'!$P$23:$T$23,0))*SUMPRODUCT('Control Panel'!$E$16:$G$16,'Control Panel'!$E$17:$G$17)/SUM('Control Panel'!$E$16:$G$16)/'Control Panel'!$E$5</f>
        <v>2464.0000000000018</v>
      </c>
      <c r="R11" s="8">
        <f>+INDEX('Control Panel'!$F$24:$F$27,MATCH($D11,'Control Panel'!$D$24:$D$27,0))*INDEX('Control Panel'!$H$24:$L$27,MATCH($D11,'Control Panel'!$D$24:$D$27,0),MATCH(R$6,'Control Panel'!$H$23:$L$23,0))*INDEX('Control Panel'!$P$24:$T$27,MATCH($D11,'Control Panel'!$D$24:$D$27,0),MATCH(R$6,'Control Panel'!$P$23:$T$23,0))*SUMPRODUCT('Control Panel'!$E$16:$G$16,'Control Panel'!$E$17:$G$17)/SUM('Control Panel'!$E$16:$G$16)/'Control Panel'!$E$5</f>
        <v>2464.0000000000018</v>
      </c>
      <c r="S11" s="8">
        <f>+INDEX('Control Panel'!$F$24:$F$27,MATCH($D11,'Control Panel'!$D$24:$D$27,0))*INDEX('Control Panel'!$H$24:$L$27,MATCH($D11,'Control Panel'!$D$24:$D$27,0),MATCH(S$6,'Control Panel'!$H$23:$L$23,0))*INDEX('Control Panel'!$P$24:$T$27,MATCH($D11,'Control Panel'!$D$24:$D$27,0),MATCH(S$6,'Control Panel'!$P$23:$T$23,0))*SUMPRODUCT('Control Panel'!$E$16:$G$16,'Control Panel'!$E$17:$G$17)/SUM('Control Panel'!$E$16:$G$16)/'Control Panel'!$E$5</f>
        <v>2464.0000000000018</v>
      </c>
      <c r="T11" s="8">
        <f>+INDEX('Control Panel'!$F$24:$F$27,MATCH($D11,'Control Panel'!$D$24:$D$27,0))*INDEX('Control Panel'!$H$24:$L$27,MATCH($D11,'Control Panel'!$D$24:$D$27,0),MATCH(T$6,'Control Panel'!$H$23:$L$23,0))*INDEX('Control Panel'!$P$24:$T$27,MATCH($D11,'Control Panel'!$D$24:$D$27,0),MATCH(T$6,'Control Panel'!$P$23:$T$23,0))*SUMPRODUCT('Control Panel'!$E$16:$G$16,'Control Panel'!$E$17:$G$17)/SUM('Control Panel'!$E$16:$G$16)/'Control Panel'!$E$5</f>
        <v>2464.0000000000018</v>
      </c>
      <c r="U11" s="8">
        <f>+INDEX('Control Panel'!$F$24:$F$27,MATCH($D11,'Control Panel'!$D$24:$D$27,0))*INDEX('Control Panel'!$H$24:$L$27,MATCH($D11,'Control Panel'!$D$24:$D$27,0),MATCH(U$6,'Control Panel'!$H$23:$L$23,0))*INDEX('Control Panel'!$P$24:$T$27,MATCH($D11,'Control Panel'!$D$24:$D$27,0),MATCH(U$6,'Control Panel'!$P$23:$T$23,0))*SUMPRODUCT('Control Panel'!$E$16:$G$16,'Control Panel'!$E$17:$G$17)/SUM('Control Panel'!$E$16:$G$16)/'Control Panel'!$E$5</f>
        <v>2464.0000000000018</v>
      </c>
      <c r="V11" s="8">
        <f>+INDEX('Control Panel'!$F$24:$F$27,MATCH($D11,'Control Panel'!$D$24:$D$27,0))*INDEX('Control Panel'!$H$24:$L$27,MATCH($D11,'Control Panel'!$D$24:$D$27,0),MATCH(V$6,'Control Panel'!$H$23:$L$23,0))*INDEX('Control Panel'!$P$24:$T$27,MATCH($D11,'Control Panel'!$D$24:$D$27,0),MATCH(V$6,'Control Panel'!$P$23:$T$23,0))*SUMPRODUCT('Control Panel'!$E$16:$G$16,'Control Panel'!$E$17:$G$17)/SUM('Control Panel'!$E$16:$G$16)/'Control Panel'!$E$5</f>
        <v>3300.0000000000036</v>
      </c>
      <c r="W11" s="8">
        <f>+INDEX('Control Panel'!$F$24:$F$27,MATCH($D11,'Control Panel'!$D$24:$D$27,0))*INDEX('Control Panel'!$H$24:$L$27,MATCH($D11,'Control Panel'!$D$24:$D$27,0),MATCH(W$6,'Control Panel'!$H$23:$L$23,0))*INDEX('Control Panel'!$P$24:$T$27,MATCH($D11,'Control Panel'!$D$24:$D$27,0),MATCH(W$6,'Control Panel'!$P$23:$T$23,0))*SUMPRODUCT('Control Panel'!$E$16:$G$16,'Control Panel'!$E$17:$G$17)/SUM('Control Panel'!$E$16:$G$16)/'Control Panel'!$E$5</f>
        <v>3300.0000000000036</v>
      </c>
      <c r="X11" s="8">
        <f>+INDEX('Control Panel'!$F$24:$F$27,MATCH($D11,'Control Panel'!$D$24:$D$27,0))*INDEX('Control Panel'!$H$24:$L$27,MATCH($D11,'Control Panel'!$D$24:$D$27,0),MATCH(X$6,'Control Panel'!$H$23:$L$23,0))*INDEX('Control Panel'!$P$24:$T$27,MATCH($D11,'Control Panel'!$D$24:$D$27,0),MATCH(X$6,'Control Panel'!$P$23:$T$23,0))*SUMPRODUCT('Control Panel'!$E$16:$G$16,'Control Panel'!$E$17:$G$17)/SUM('Control Panel'!$E$16:$G$16)/'Control Panel'!$E$5</f>
        <v>3300.0000000000036</v>
      </c>
      <c r="Y11" s="8">
        <f>+INDEX('Control Panel'!$F$24:$F$27,MATCH($D11,'Control Panel'!$D$24:$D$27,0))*INDEX('Control Panel'!$H$24:$L$27,MATCH($D11,'Control Panel'!$D$24:$D$27,0),MATCH(Y$6,'Control Panel'!$H$23:$L$23,0))*INDEX('Control Panel'!$P$24:$T$27,MATCH($D11,'Control Panel'!$D$24:$D$27,0),MATCH(Y$6,'Control Panel'!$P$23:$T$23,0))*SUMPRODUCT('Control Panel'!$E$16:$G$16,'Control Panel'!$E$17:$G$17)/SUM('Control Panel'!$E$16:$G$16)/'Control Panel'!$E$5</f>
        <v>3300.0000000000036</v>
      </c>
      <c r="Z11" s="8">
        <f>+INDEX('Control Panel'!$F$24:$F$27,MATCH($D11,'Control Panel'!$D$24:$D$27,0))*INDEX('Control Panel'!$H$24:$L$27,MATCH($D11,'Control Panel'!$D$24:$D$27,0),MATCH(Z$6,'Control Panel'!$H$23:$L$23,0))*INDEX('Control Panel'!$P$24:$T$27,MATCH($D11,'Control Panel'!$D$24:$D$27,0),MATCH(Z$6,'Control Panel'!$P$23:$T$23,0))*SUMPRODUCT('Control Panel'!$E$16:$G$16,'Control Panel'!$E$17:$G$17)/SUM('Control Panel'!$E$16:$G$16)/'Control Panel'!$E$5</f>
        <v>3300.0000000000036</v>
      </c>
      <c r="AA11" s="8">
        <f>+INDEX('Control Panel'!$F$24:$F$27,MATCH($D11,'Control Panel'!$D$24:$D$27,0))*INDEX('Control Panel'!$H$24:$L$27,MATCH($D11,'Control Panel'!$D$24:$D$27,0),MATCH(AA$6,'Control Panel'!$H$23:$L$23,0))*INDEX('Control Panel'!$P$24:$T$27,MATCH($D11,'Control Panel'!$D$24:$D$27,0),MATCH(AA$6,'Control Panel'!$P$23:$T$23,0))*SUMPRODUCT('Control Panel'!$E$16:$G$16,'Control Panel'!$E$17:$G$17)/SUM('Control Panel'!$E$16:$G$16)/'Control Panel'!$E$5</f>
        <v>4224.0000000000055</v>
      </c>
      <c r="AB11" s="8">
        <f>+INDEX('Control Panel'!$F$24:$F$27,MATCH($D11,'Control Panel'!$D$24:$D$27,0))*INDEX('Control Panel'!$H$24:$L$27,MATCH($D11,'Control Panel'!$D$24:$D$27,0),MATCH(AB$6,'Control Panel'!$H$23:$L$23,0))*INDEX('Control Panel'!$P$24:$T$27,MATCH($D11,'Control Panel'!$D$24:$D$27,0),MATCH(AB$6,'Control Panel'!$P$23:$T$23,0))*SUMPRODUCT('Control Panel'!$E$16:$G$16,'Control Panel'!$E$17:$G$17)/SUM('Control Panel'!$E$16:$G$16)/'Control Panel'!$E$5</f>
        <v>4224.0000000000055</v>
      </c>
      <c r="AC11" s="8">
        <f>+INDEX('Control Panel'!$F$24:$F$27,MATCH($D11,'Control Panel'!$D$24:$D$27,0))*INDEX('Control Panel'!$H$24:$L$27,MATCH($D11,'Control Panel'!$D$24:$D$27,0),MATCH(AC$6,'Control Panel'!$H$23:$L$23,0))*INDEX('Control Panel'!$P$24:$T$27,MATCH($D11,'Control Panel'!$D$24:$D$27,0),MATCH(AC$6,'Control Panel'!$P$23:$T$23,0))*SUMPRODUCT('Control Panel'!$E$16:$G$16,'Control Panel'!$E$17:$G$17)/SUM('Control Panel'!$E$16:$G$16)/'Control Panel'!$E$5</f>
        <v>4224.0000000000055</v>
      </c>
      <c r="AD11" s="8">
        <f>+INDEX('Control Panel'!$F$24:$F$27,MATCH($D11,'Control Panel'!$D$24:$D$27,0))*INDEX('Control Panel'!$H$24:$L$27,MATCH($D11,'Control Panel'!$D$24:$D$27,0),MATCH(AD$6,'Control Panel'!$H$23:$L$23,0))*INDEX('Control Panel'!$P$24:$T$27,MATCH($D11,'Control Panel'!$D$24:$D$27,0),MATCH(AD$6,'Control Panel'!$P$23:$T$23,0))*SUMPRODUCT('Control Panel'!$E$16:$G$16,'Control Panel'!$E$17:$G$17)/SUM('Control Panel'!$E$16:$G$16)/'Control Panel'!$E$5</f>
        <v>4224.0000000000055</v>
      </c>
      <c r="AE11" s="8">
        <f>+INDEX('Control Panel'!$F$24:$F$27,MATCH($D11,'Control Panel'!$D$24:$D$27,0))*INDEX('Control Panel'!$H$24:$L$27,MATCH($D11,'Control Panel'!$D$24:$D$27,0),MATCH(AE$6,'Control Panel'!$H$23:$L$23,0))*INDEX('Control Panel'!$P$24:$T$27,MATCH($D11,'Control Panel'!$D$24:$D$27,0),MATCH(AE$6,'Control Panel'!$P$23:$T$23,0))*SUMPRODUCT('Control Panel'!$E$16:$G$16,'Control Panel'!$E$17:$G$17)/SUM('Control Panel'!$E$16:$G$16)/'Control Panel'!$E$5</f>
        <v>4224.0000000000055</v>
      </c>
      <c r="AF11" s="28"/>
      <c r="AG11"/>
      <c r="AH11" s="27"/>
      <c r="AI11" s="31" t="str">
        <f t="shared" si="2"/>
        <v>Product promo sponsor</v>
      </c>
      <c r="AJ11" s="8">
        <f t="shared" si="3"/>
        <v>5280</v>
      </c>
      <c r="AK11" s="8">
        <f t="shared" si="3"/>
        <v>8580.0000000000055</v>
      </c>
      <c r="AL11" s="8">
        <f t="shared" si="3"/>
        <v>12320.000000000009</v>
      </c>
      <c r="AM11" s="8">
        <f t="shared" si="3"/>
        <v>16500.000000000018</v>
      </c>
      <c r="AN11" s="8">
        <f t="shared" si="3"/>
        <v>21120.000000000029</v>
      </c>
      <c r="AO11" s="28"/>
    </row>
    <row r="12" spans="3:41" x14ac:dyDescent="0.55000000000000004">
      <c r="C12" s="27"/>
      <c r="D12" s="31" t="str">
        <f>+'Control Panel'!D26</f>
        <v>Event series sponsor</v>
      </c>
      <c r="E12" s="63">
        <v>-1</v>
      </c>
      <c r="F12" s="23">
        <v>0.5</v>
      </c>
      <c r="G12" s="8">
        <f>+INDEX('Control Panel'!$F$24:$F$27,MATCH($D12,'Control Panel'!$D$24:$D$27,0))*INDEX('Control Panel'!$H$24:$L$27,MATCH($D12,'Control Panel'!$D$24:$D$27,0),MATCH(G$6,'Control Panel'!$H$23:$L$23,0))*INDEX('Control Panel'!$P$24:$T$27,MATCH($D12,'Control Panel'!$D$24:$D$27,0),MATCH(G$6,'Control Panel'!$P$23:$T$23,0))*SUMPRODUCT('Control Panel'!$E$16:$G$16,'Control Panel'!$E$17:$G$17)/SUM('Control Panel'!$E$16:$G$16)/'Control Panel'!$E$5</f>
        <v>660</v>
      </c>
      <c r="H12" s="8">
        <f>+INDEX('Control Panel'!$F$24:$F$27,MATCH($D12,'Control Panel'!$D$24:$D$27,0))*INDEX('Control Panel'!$H$24:$L$27,MATCH($D12,'Control Panel'!$D$24:$D$27,0),MATCH(H$6,'Control Panel'!$H$23:$L$23,0))*INDEX('Control Panel'!$P$24:$T$27,MATCH($D12,'Control Panel'!$D$24:$D$27,0),MATCH(H$6,'Control Panel'!$P$23:$T$23,0))*SUMPRODUCT('Control Panel'!$E$16:$G$16,'Control Panel'!$E$17:$G$17)/SUM('Control Panel'!$E$16:$G$16)/'Control Panel'!$E$5</f>
        <v>660</v>
      </c>
      <c r="I12" s="8">
        <f>+INDEX('Control Panel'!$F$24:$F$27,MATCH($D12,'Control Panel'!$D$24:$D$27,0))*INDEX('Control Panel'!$H$24:$L$27,MATCH($D12,'Control Panel'!$D$24:$D$27,0),MATCH(I$6,'Control Panel'!$H$23:$L$23,0))*INDEX('Control Panel'!$P$24:$T$27,MATCH($D12,'Control Panel'!$D$24:$D$27,0),MATCH(I$6,'Control Panel'!$P$23:$T$23,0))*SUMPRODUCT('Control Panel'!$E$16:$G$16,'Control Panel'!$E$17:$G$17)/SUM('Control Panel'!$E$16:$G$16)/'Control Panel'!$E$5</f>
        <v>660</v>
      </c>
      <c r="J12" s="8">
        <f>+INDEX('Control Panel'!$F$24:$F$27,MATCH($D12,'Control Panel'!$D$24:$D$27,0))*INDEX('Control Panel'!$H$24:$L$27,MATCH($D12,'Control Panel'!$D$24:$D$27,0),MATCH(J$6,'Control Panel'!$H$23:$L$23,0))*INDEX('Control Panel'!$P$24:$T$27,MATCH($D12,'Control Panel'!$D$24:$D$27,0),MATCH(J$6,'Control Panel'!$P$23:$T$23,0))*SUMPRODUCT('Control Panel'!$E$16:$G$16,'Control Panel'!$E$17:$G$17)/SUM('Control Panel'!$E$16:$G$16)/'Control Panel'!$E$5</f>
        <v>660</v>
      </c>
      <c r="K12" s="8">
        <f>+INDEX('Control Panel'!$F$24:$F$27,MATCH($D12,'Control Panel'!$D$24:$D$27,0))*INDEX('Control Panel'!$H$24:$L$27,MATCH($D12,'Control Panel'!$D$24:$D$27,0),MATCH(K$6,'Control Panel'!$H$23:$L$23,0))*INDEX('Control Panel'!$P$24:$T$27,MATCH($D12,'Control Panel'!$D$24:$D$27,0),MATCH(K$6,'Control Panel'!$P$23:$T$23,0))*SUMPRODUCT('Control Panel'!$E$16:$G$16,'Control Panel'!$E$17:$G$17)/SUM('Control Panel'!$E$16:$G$16)/'Control Panel'!$E$5</f>
        <v>660</v>
      </c>
      <c r="L12" s="8">
        <f>+INDEX('Control Panel'!$F$24:$F$27,MATCH($D12,'Control Panel'!$D$24:$D$27,0))*INDEX('Control Panel'!$H$24:$L$27,MATCH($D12,'Control Panel'!$D$24:$D$27,0),MATCH(L$6,'Control Panel'!$H$23:$L$23,0))*INDEX('Control Panel'!$P$24:$T$27,MATCH($D12,'Control Panel'!$D$24:$D$27,0),MATCH(L$6,'Control Panel'!$P$23:$T$23,0))*SUMPRODUCT('Control Panel'!$E$16:$G$16,'Control Panel'!$E$17:$G$17)/SUM('Control Panel'!$E$16:$G$16)/'Control Panel'!$E$5</f>
        <v>1408</v>
      </c>
      <c r="M12" s="8">
        <f>+INDEX('Control Panel'!$F$24:$F$27,MATCH($D12,'Control Panel'!$D$24:$D$27,0))*INDEX('Control Panel'!$H$24:$L$27,MATCH($D12,'Control Panel'!$D$24:$D$27,0),MATCH(M$6,'Control Panel'!$H$23:$L$23,0))*INDEX('Control Panel'!$P$24:$T$27,MATCH($D12,'Control Panel'!$D$24:$D$27,0),MATCH(M$6,'Control Panel'!$P$23:$T$23,0))*SUMPRODUCT('Control Panel'!$E$16:$G$16,'Control Panel'!$E$17:$G$17)/SUM('Control Panel'!$E$16:$G$16)/'Control Panel'!$E$5</f>
        <v>1408</v>
      </c>
      <c r="N12" s="8">
        <f>+INDEX('Control Panel'!$F$24:$F$27,MATCH($D12,'Control Panel'!$D$24:$D$27,0))*INDEX('Control Panel'!$H$24:$L$27,MATCH($D12,'Control Panel'!$D$24:$D$27,0),MATCH(N$6,'Control Panel'!$H$23:$L$23,0))*INDEX('Control Panel'!$P$24:$T$27,MATCH($D12,'Control Panel'!$D$24:$D$27,0),MATCH(N$6,'Control Panel'!$P$23:$T$23,0))*SUMPRODUCT('Control Panel'!$E$16:$G$16,'Control Panel'!$E$17:$G$17)/SUM('Control Panel'!$E$16:$G$16)/'Control Panel'!$E$5</f>
        <v>1408</v>
      </c>
      <c r="O12" s="8">
        <f>+INDEX('Control Panel'!$F$24:$F$27,MATCH($D12,'Control Panel'!$D$24:$D$27,0))*INDEX('Control Panel'!$H$24:$L$27,MATCH($D12,'Control Panel'!$D$24:$D$27,0),MATCH(O$6,'Control Panel'!$H$23:$L$23,0))*INDEX('Control Panel'!$P$24:$T$27,MATCH($D12,'Control Panel'!$D$24:$D$27,0),MATCH(O$6,'Control Panel'!$P$23:$T$23,0))*SUMPRODUCT('Control Panel'!$E$16:$G$16,'Control Panel'!$E$17:$G$17)/SUM('Control Panel'!$E$16:$G$16)/'Control Panel'!$E$5</f>
        <v>1408</v>
      </c>
      <c r="P12" s="8">
        <f>+INDEX('Control Panel'!$F$24:$F$27,MATCH($D12,'Control Panel'!$D$24:$D$27,0))*INDEX('Control Panel'!$H$24:$L$27,MATCH($D12,'Control Panel'!$D$24:$D$27,0),MATCH(P$6,'Control Panel'!$H$23:$L$23,0))*INDEX('Control Panel'!$P$24:$T$27,MATCH($D12,'Control Panel'!$D$24:$D$27,0),MATCH(P$6,'Control Panel'!$P$23:$T$23,0))*SUMPRODUCT('Control Panel'!$E$16:$G$16,'Control Panel'!$E$17:$G$17)/SUM('Control Panel'!$E$16:$G$16)/'Control Panel'!$E$5</f>
        <v>1408</v>
      </c>
      <c r="Q12" s="8">
        <f>+INDEX('Control Panel'!$F$24:$F$27,MATCH($D12,'Control Panel'!$D$24:$D$27,0))*INDEX('Control Panel'!$H$24:$L$27,MATCH($D12,'Control Panel'!$D$24:$D$27,0),MATCH(Q$6,'Control Panel'!$H$23:$L$23,0))*INDEX('Control Panel'!$P$24:$T$27,MATCH($D12,'Control Panel'!$D$24:$D$27,0),MATCH(Q$6,'Control Panel'!$P$23:$T$23,0))*SUMPRODUCT('Control Panel'!$E$16:$G$16,'Control Panel'!$E$17:$G$17)/SUM('Control Panel'!$E$16:$G$16)/'Control Panel'!$E$5</f>
        <v>1496</v>
      </c>
      <c r="R12" s="8">
        <f>+INDEX('Control Panel'!$F$24:$F$27,MATCH($D12,'Control Panel'!$D$24:$D$27,0))*INDEX('Control Panel'!$H$24:$L$27,MATCH($D12,'Control Panel'!$D$24:$D$27,0),MATCH(R$6,'Control Panel'!$H$23:$L$23,0))*INDEX('Control Panel'!$P$24:$T$27,MATCH($D12,'Control Panel'!$D$24:$D$27,0),MATCH(R$6,'Control Panel'!$P$23:$T$23,0))*SUMPRODUCT('Control Panel'!$E$16:$G$16,'Control Panel'!$E$17:$G$17)/SUM('Control Panel'!$E$16:$G$16)/'Control Panel'!$E$5</f>
        <v>1496</v>
      </c>
      <c r="S12" s="8">
        <f>+INDEX('Control Panel'!$F$24:$F$27,MATCH($D12,'Control Panel'!$D$24:$D$27,0))*INDEX('Control Panel'!$H$24:$L$27,MATCH($D12,'Control Panel'!$D$24:$D$27,0),MATCH(S$6,'Control Panel'!$H$23:$L$23,0))*INDEX('Control Panel'!$P$24:$T$27,MATCH($D12,'Control Panel'!$D$24:$D$27,0),MATCH(S$6,'Control Panel'!$P$23:$T$23,0))*SUMPRODUCT('Control Panel'!$E$16:$G$16,'Control Panel'!$E$17:$G$17)/SUM('Control Panel'!$E$16:$G$16)/'Control Panel'!$E$5</f>
        <v>1496</v>
      </c>
      <c r="T12" s="8">
        <f>+INDEX('Control Panel'!$F$24:$F$27,MATCH($D12,'Control Panel'!$D$24:$D$27,0))*INDEX('Control Panel'!$H$24:$L$27,MATCH($D12,'Control Panel'!$D$24:$D$27,0),MATCH(T$6,'Control Panel'!$H$23:$L$23,0))*INDEX('Control Panel'!$P$24:$T$27,MATCH($D12,'Control Panel'!$D$24:$D$27,0),MATCH(T$6,'Control Panel'!$P$23:$T$23,0))*SUMPRODUCT('Control Panel'!$E$16:$G$16,'Control Panel'!$E$17:$G$17)/SUM('Control Panel'!$E$16:$G$16)/'Control Panel'!$E$5</f>
        <v>1496</v>
      </c>
      <c r="U12" s="8">
        <f>+INDEX('Control Panel'!$F$24:$F$27,MATCH($D12,'Control Panel'!$D$24:$D$27,0))*INDEX('Control Panel'!$H$24:$L$27,MATCH($D12,'Control Panel'!$D$24:$D$27,0),MATCH(U$6,'Control Panel'!$H$23:$L$23,0))*INDEX('Control Panel'!$P$24:$T$27,MATCH($D12,'Control Panel'!$D$24:$D$27,0),MATCH(U$6,'Control Panel'!$P$23:$T$23,0))*SUMPRODUCT('Control Panel'!$E$16:$G$16,'Control Panel'!$E$17:$G$17)/SUM('Control Panel'!$E$16:$G$16)/'Control Panel'!$E$5</f>
        <v>1496</v>
      </c>
      <c r="V12" s="8">
        <f>+INDEX('Control Panel'!$F$24:$F$27,MATCH($D12,'Control Panel'!$D$24:$D$27,0))*INDEX('Control Panel'!$H$24:$L$27,MATCH($D12,'Control Panel'!$D$24:$D$27,0),MATCH(V$6,'Control Panel'!$H$23:$L$23,0))*INDEX('Control Panel'!$P$24:$T$27,MATCH($D12,'Control Panel'!$D$24:$D$27,0),MATCH(V$6,'Control Panel'!$P$23:$T$23,0))*SUMPRODUCT('Control Panel'!$E$16:$G$16,'Control Panel'!$E$17:$G$17)/SUM('Control Panel'!$E$16:$G$16)/'Control Panel'!$E$5</f>
        <v>2376</v>
      </c>
      <c r="W12" s="8">
        <f>+INDEX('Control Panel'!$F$24:$F$27,MATCH($D12,'Control Panel'!$D$24:$D$27,0))*INDEX('Control Panel'!$H$24:$L$27,MATCH($D12,'Control Panel'!$D$24:$D$27,0),MATCH(W$6,'Control Panel'!$H$23:$L$23,0))*INDEX('Control Panel'!$P$24:$T$27,MATCH($D12,'Control Panel'!$D$24:$D$27,0),MATCH(W$6,'Control Panel'!$P$23:$T$23,0))*SUMPRODUCT('Control Panel'!$E$16:$G$16,'Control Panel'!$E$17:$G$17)/SUM('Control Panel'!$E$16:$G$16)/'Control Panel'!$E$5</f>
        <v>2376</v>
      </c>
      <c r="X12" s="8">
        <f>+INDEX('Control Panel'!$F$24:$F$27,MATCH($D12,'Control Panel'!$D$24:$D$27,0))*INDEX('Control Panel'!$H$24:$L$27,MATCH($D12,'Control Panel'!$D$24:$D$27,0),MATCH(X$6,'Control Panel'!$H$23:$L$23,0))*INDEX('Control Panel'!$P$24:$T$27,MATCH($D12,'Control Panel'!$D$24:$D$27,0),MATCH(X$6,'Control Panel'!$P$23:$T$23,0))*SUMPRODUCT('Control Panel'!$E$16:$G$16,'Control Panel'!$E$17:$G$17)/SUM('Control Panel'!$E$16:$G$16)/'Control Panel'!$E$5</f>
        <v>2376</v>
      </c>
      <c r="Y12" s="8">
        <f>+INDEX('Control Panel'!$F$24:$F$27,MATCH($D12,'Control Panel'!$D$24:$D$27,0))*INDEX('Control Panel'!$H$24:$L$27,MATCH($D12,'Control Panel'!$D$24:$D$27,0),MATCH(Y$6,'Control Panel'!$H$23:$L$23,0))*INDEX('Control Panel'!$P$24:$T$27,MATCH($D12,'Control Panel'!$D$24:$D$27,0),MATCH(Y$6,'Control Panel'!$P$23:$T$23,0))*SUMPRODUCT('Control Panel'!$E$16:$G$16,'Control Panel'!$E$17:$G$17)/SUM('Control Panel'!$E$16:$G$16)/'Control Panel'!$E$5</f>
        <v>2376</v>
      </c>
      <c r="Z12" s="8">
        <f>+INDEX('Control Panel'!$F$24:$F$27,MATCH($D12,'Control Panel'!$D$24:$D$27,0))*INDEX('Control Panel'!$H$24:$L$27,MATCH($D12,'Control Panel'!$D$24:$D$27,0),MATCH(Z$6,'Control Panel'!$H$23:$L$23,0))*INDEX('Control Panel'!$P$24:$T$27,MATCH($D12,'Control Panel'!$D$24:$D$27,0),MATCH(Z$6,'Control Panel'!$P$23:$T$23,0))*SUMPRODUCT('Control Panel'!$E$16:$G$16,'Control Panel'!$E$17:$G$17)/SUM('Control Panel'!$E$16:$G$16)/'Control Panel'!$E$5</f>
        <v>2376</v>
      </c>
      <c r="AA12" s="8">
        <f>+INDEX('Control Panel'!$F$24:$F$27,MATCH($D12,'Control Panel'!$D$24:$D$27,0))*INDEX('Control Panel'!$H$24:$L$27,MATCH($D12,'Control Panel'!$D$24:$D$27,0),MATCH(AA$6,'Control Panel'!$H$23:$L$23,0))*INDEX('Control Panel'!$P$24:$T$27,MATCH($D12,'Control Panel'!$D$24:$D$27,0),MATCH(AA$6,'Control Panel'!$P$23:$T$23,0))*SUMPRODUCT('Control Panel'!$E$16:$G$16,'Control Panel'!$E$17:$G$17)/SUM('Control Panel'!$E$16:$G$16)/'Control Panel'!$E$5</f>
        <v>2508</v>
      </c>
      <c r="AB12" s="8">
        <f>+INDEX('Control Panel'!$F$24:$F$27,MATCH($D12,'Control Panel'!$D$24:$D$27,0))*INDEX('Control Panel'!$H$24:$L$27,MATCH($D12,'Control Panel'!$D$24:$D$27,0),MATCH(AB$6,'Control Panel'!$H$23:$L$23,0))*INDEX('Control Panel'!$P$24:$T$27,MATCH($D12,'Control Panel'!$D$24:$D$27,0),MATCH(AB$6,'Control Panel'!$P$23:$T$23,0))*SUMPRODUCT('Control Panel'!$E$16:$G$16,'Control Panel'!$E$17:$G$17)/SUM('Control Panel'!$E$16:$G$16)/'Control Panel'!$E$5</f>
        <v>2508</v>
      </c>
      <c r="AC12" s="8">
        <f>+INDEX('Control Panel'!$F$24:$F$27,MATCH($D12,'Control Panel'!$D$24:$D$27,0))*INDEX('Control Panel'!$H$24:$L$27,MATCH($D12,'Control Panel'!$D$24:$D$27,0),MATCH(AC$6,'Control Panel'!$H$23:$L$23,0))*INDEX('Control Panel'!$P$24:$T$27,MATCH($D12,'Control Panel'!$D$24:$D$27,0),MATCH(AC$6,'Control Panel'!$P$23:$T$23,0))*SUMPRODUCT('Control Panel'!$E$16:$G$16,'Control Panel'!$E$17:$G$17)/SUM('Control Panel'!$E$16:$G$16)/'Control Panel'!$E$5</f>
        <v>2508</v>
      </c>
      <c r="AD12" s="8">
        <f>+INDEX('Control Panel'!$F$24:$F$27,MATCH($D12,'Control Panel'!$D$24:$D$27,0))*INDEX('Control Panel'!$H$24:$L$27,MATCH($D12,'Control Panel'!$D$24:$D$27,0),MATCH(AD$6,'Control Panel'!$H$23:$L$23,0))*INDEX('Control Panel'!$P$24:$T$27,MATCH($D12,'Control Panel'!$D$24:$D$27,0),MATCH(AD$6,'Control Panel'!$P$23:$T$23,0))*SUMPRODUCT('Control Panel'!$E$16:$G$16,'Control Panel'!$E$17:$G$17)/SUM('Control Panel'!$E$16:$G$16)/'Control Panel'!$E$5</f>
        <v>2508</v>
      </c>
      <c r="AE12" s="8">
        <f>+INDEX('Control Panel'!$F$24:$F$27,MATCH($D12,'Control Panel'!$D$24:$D$27,0))*INDEX('Control Panel'!$H$24:$L$27,MATCH($D12,'Control Panel'!$D$24:$D$27,0),MATCH(AE$6,'Control Panel'!$H$23:$L$23,0))*INDEX('Control Panel'!$P$24:$T$27,MATCH($D12,'Control Panel'!$D$24:$D$27,0),MATCH(AE$6,'Control Panel'!$P$23:$T$23,0))*SUMPRODUCT('Control Panel'!$E$16:$G$16,'Control Panel'!$E$17:$G$17)/SUM('Control Panel'!$E$16:$G$16)/'Control Panel'!$E$5</f>
        <v>2508</v>
      </c>
      <c r="AF12" s="28"/>
      <c r="AG12"/>
      <c r="AH12" s="27"/>
      <c r="AI12" s="31" t="str">
        <f t="shared" si="2"/>
        <v>Event series sponsor</v>
      </c>
      <c r="AJ12" s="8">
        <f t="shared" si="3"/>
        <v>3300</v>
      </c>
      <c r="AK12" s="8">
        <f t="shared" si="3"/>
        <v>7040</v>
      </c>
      <c r="AL12" s="8">
        <f t="shared" si="3"/>
        <v>7480</v>
      </c>
      <c r="AM12" s="8">
        <f t="shared" si="3"/>
        <v>11880</v>
      </c>
      <c r="AN12" s="8">
        <f t="shared" si="3"/>
        <v>12540</v>
      </c>
      <c r="AO12" s="28"/>
    </row>
    <row r="13" spans="3:41" x14ac:dyDescent="0.55000000000000004">
      <c r="C13" s="27"/>
      <c r="D13" s="31" t="str">
        <f>+'Control Panel'!D27</f>
        <v>Presenting partner</v>
      </c>
      <c r="E13" s="63" t="s">
        <v>72</v>
      </c>
      <c r="F13" s="23">
        <v>0.5</v>
      </c>
      <c r="G13" s="8">
        <f>+INDEX('Control Panel'!$F$24:$F$27,MATCH($D13,'Control Panel'!$D$24:$D$27,0))*INDEX('Control Panel'!$H$24:$L$27,MATCH($D13,'Control Panel'!$D$24:$D$27,0),MATCH(G$6,'Control Panel'!$H$23:$L$23,0))*INDEX('Control Panel'!$P$24:$T$27,MATCH($D13,'Control Panel'!$D$24:$D$27,0),MATCH(G$6,'Control Panel'!$P$23:$T$23,0))/'Control Panel'!$E$5</f>
        <v>0</v>
      </c>
      <c r="H13" s="8">
        <f>+INDEX('Control Panel'!$F$24:$F$27,MATCH($D13,'Control Panel'!$D$24:$D$27,0))*INDEX('Control Panel'!$H$24:$L$27,MATCH($D13,'Control Panel'!$D$24:$D$27,0),MATCH(H$6,'Control Panel'!$H$23:$L$23,0))*INDEX('Control Panel'!$P$24:$T$27,MATCH($D13,'Control Panel'!$D$24:$D$27,0),MATCH(H$6,'Control Panel'!$P$23:$T$23,0))/'Control Panel'!$E$5</f>
        <v>0</v>
      </c>
      <c r="I13" s="8">
        <f>+INDEX('Control Panel'!$F$24:$F$27,MATCH($D13,'Control Panel'!$D$24:$D$27,0))*INDEX('Control Panel'!$H$24:$L$27,MATCH($D13,'Control Panel'!$D$24:$D$27,0),MATCH(I$6,'Control Panel'!$H$23:$L$23,0))*INDEX('Control Panel'!$P$24:$T$27,MATCH($D13,'Control Panel'!$D$24:$D$27,0),MATCH(I$6,'Control Panel'!$P$23:$T$23,0))/'Control Panel'!$E$5</f>
        <v>0</v>
      </c>
      <c r="J13" s="8">
        <f>+INDEX('Control Panel'!$F$24:$F$27,MATCH($D13,'Control Panel'!$D$24:$D$27,0))*INDEX('Control Panel'!$H$24:$L$27,MATCH($D13,'Control Panel'!$D$24:$D$27,0),MATCH(J$6,'Control Panel'!$H$23:$L$23,0))*INDEX('Control Panel'!$P$24:$T$27,MATCH($D13,'Control Panel'!$D$24:$D$27,0),MATCH(J$6,'Control Panel'!$P$23:$T$23,0))/'Control Panel'!$E$5</f>
        <v>0</v>
      </c>
      <c r="K13" s="8">
        <f>+INDEX('Control Panel'!$F$24:$F$27,MATCH($D13,'Control Panel'!$D$24:$D$27,0))*INDEX('Control Panel'!$H$24:$L$27,MATCH($D13,'Control Panel'!$D$24:$D$27,0),MATCH(K$6,'Control Panel'!$H$23:$L$23,0))*INDEX('Control Panel'!$P$24:$T$27,MATCH($D13,'Control Panel'!$D$24:$D$27,0),MATCH(K$6,'Control Panel'!$P$23:$T$23,0))/'Control Panel'!$E$5</f>
        <v>0</v>
      </c>
      <c r="L13" s="8">
        <f>+INDEX('Control Panel'!$F$24:$F$27,MATCH($D13,'Control Panel'!$D$24:$D$27,0))*INDEX('Control Panel'!$H$24:$L$27,MATCH($D13,'Control Panel'!$D$24:$D$27,0),MATCH(L$6,'Control Panel'!$H$23:$L$23,0))*INDEX('Control Panel'!$P$24:$T$27,MATCH($D13,'Control Panel'!$D$24:$D$27,0),MATCH(L$6,'Control Panel'!$P$23:$T$23,0))/'Control Panel'!$E$5</f>
        <v>2000</v>
      </c>
      <c r="M13" s="8">
        <f>+INDEX('Control Panel'!$F$24:$F$27,MATCH($D13,'Control Panel'!$D$24:$D$27,0))*INDEX('Control Panel'!$H$24:$L$27,MATCH($D13,'Control Panel'!$D$24:$D$27,0),MATCH(M$6,'Control Panel'!$H$23:$L$23,0))*INDEX('Control Panel'!$P$24:$T$27,MATCH($D13,'Control Panel'!$D$24:$D$27,0),MATCH(M$6,'Control Panel'!$P$23:$T$23,0))/'Control Panel'!$E$5</f>
        <v>2000</v>
      </c>
      <c r="N13" s="8">
        <f>+INDEX('Control Panel'!$F$24:$F$27,MATCH($D13,'Control Panel'!$D$24:$D$27,0))*INDEX('Control Panel'!$H$24:$L$27,MATCH($D13,'Control Panel'!$D$24:$D$27,0),MATCH(N$6,'Control Panel'!$H$23:$L$23,0))*INDEX('Control Panel'!$P$24:$T$27,MATCH($D13,'Control Panel'!$D$24:$D$27,0),MATCH(N$6,'Control Panel'!$P$23:$T$23,0))/'Control Panel'!$E$5</f>
        <v>2000</v>
      </c>
      <c r="O13" s="8">
        <f>+INDEX('Control Panel'!$F$24:$F$27,MATCH($D13,'Control Panel'!$D$24:$D$27,0))*INDEX('Control Panel'!$H$24:$L$27,MATCH($D13,'Control Panel'!$D$24:$D$27,0),MATCH(O$6,'Control Panel'!$H$23:$L$23,0))*INDEX('Control Panel'!$P$24:$T$27,MATCH($D13,'Control Panel'!$D$24:$D$27,0),MATCH(O$6,'Control Panel'!$P$23:$T$23,0))/'Control Panel'!$E$5</f>
        <v>2000</v>
      </c>
      <c r="P13" s="8">
        <f>+INDEX('Control Panel'!$F$24:$F$27,MATCH($D13,'Control Panel'!$D$24:$D$27,0))*INDEX('Control Panel'!$H$24:$L$27,MATCH($D13,'Control Panel'!$D$24:$D$27,0),MATCH(P$6,'Control Panel'!$H$23:$L$23,0))*INDEX('Control Panel'!$P$24:$T$27,MATCH($D13,'Control Panel'!$D$24:$D$27,0),MATCH(P$6,'Control Panel'!$P$23:$T$23,0))/'Control Panel'!$E$5</f>
        <v>2000</v>
      </c>
      <c r="Q13" s="8">
        <f>+INDEX('Control Panel'!$F$24:$F$27,MATCH($D13,'Control Panel'!$D$24:$D$27,0))*INDEX('Control Panel'!$H$24:$L$27,MATCH($D13,'Control Panel'!$D$24:$D$27,0),MATCH(Q$6,'Control Panel'!$H$23:$L$23,0))*INDEX('Control Panel'!$P$24:$T$27,MATCH($D13,'Control Panel'!$D$24:$D$27,0),MATCH(Q$6,'Control Panel'!$P$23:$T$23,0))/'Control Panel'!$E$5</f>
        <v>2200</v>
      </c>
      <c r="R13" s="8">
        <f>+INDEX('Control Panel'!$F$24:$F$27,MATCH($D13,'Control Panel'!$D$24:$D$27,0))*INDEX('Control Panel'!$H$24:$L$27,MATCH($D13,'Control Panel'!$D$24:$D$27,0),MATCH(R$6,'Control Panel'!$H$23:$L$23,0))*INDEX('Control Panel'!$P$24:$T$27,MATCH($D13,'Control Panel'!$D$24:$D$27,0),MATCH(R$6,'Control Panel'!$P$23:$T$23,0))/'Control Panel'!$E$5</f>
        <v>2200</v>
      </c>
      <c r="S13" s="8">
        <f>+INDEX('Control Panel'!$F$24:$F$27,MATCH($D13,'Control Panel'!$D$24:$D$27,0))*INDEX('Control Panel'!$H$24:$L$27,MATCH($D13,'Control Panel'!$D$24:$D$27,0),MATCH(S$6,'Control Panel'!$H$23:$L$23,0))*INDEX('Control Panel'!$P$24:$T$27,MATCH($D13,'Control Panel'!$D$24:$D$27,0),MATCH(S$6,'Control Panel'!$P$23:$T$23,0))/'Control Panel'!$E$5</f>
        <v>2200</v>
      </c>
      <c r="T13" s="8">
        <f>+INDEX('Control Panel'!$F$24:$F$27,MATCH($D13,'Control Panel'!$D$24:$D$27,0))*INDEX('Control Panel'!$H$24:$L$27,MATCH($D13,'Control Panel'!$D$24:$D$27,0),MATCH(T$6,'Control Panel'!$H$23:$L$23,0))*INDEX('Control Panel'!$P$24:$T$27,MATCH($D13,'Control Panel'!$D$24:$D$27,0),MATCH(T$6,'Control Panel'!$P$23:$T$23,0))/'Control Panel'!$E$5</f>
        <v>2200</v>
      </c>
      <c r="U13" s="8">
        <f>+INDEX('Control Panel'!$F$24:$F$27,MATCH($D13,'Control Panel'!$D$24:$D$27,0))*INDEX('Control Panel'!$H$24:$L$27,MATCH($D13,'Control Panel'!$D$24:$D$27,0),MATCH(U$6,'Control Panel'!$H$23:$L$23,0))*INDEX('Control Panel'!$P$24:$T$27,MATCH($D13,'Control Panel'!$D$24:$D$27,0),MATCH(U$6,'Control Panel'!$P$23:$T$23,0))/'Control Panel'!$E$5</f>
        <v>2200</v>
      </c>
      <c r="V13" s="8">
        <f>+INDEX('Control Panel'!$F$24:$F$27,MATCH($D13,'Control Panel'!$D$24:$D$27,0))*INDEX('Control Panel'!$H$24:$L$27,MATCH($D13,'Control Panel'!$D$24:$D$27,0),MATCH(V$6,'Control Panel'!$H$23:$L$23,0))*INDEX('Control Panel'!$P$24:$T$27,MATCH($D13,'Control Panel'!$D$24:$D$27,0),MATCH(V$6,'Control Panel'!$P$23:$T$23,0))/'Control Panel'!$E$5</f>
        <v>2500</v>
      </c>
      <c r="W13" s="8">
        <f>+INDEX('Control Panel'!$F$24:$F$27,MATCH($D13,'Control Panel'!$D$24:$D$27,0))*INDEX('Control Panel'!$H$24:$L$27,MATCH($D13,'Control Panel'!$D$24:$D$27,0),MATCH(W$6,'Control Panel'!$H$23:$L$23,0))*INDEX('Control Panel'!$P$24:$T$27,MATCH($D13,'Control Panel'!$D$24:$D$27,0),MATCH(W$6,'Control Panel'!$P$23:$T$23,0))/'Control Panel'!$E$5</f>
        <v>2500</v>
      </c>
      <c r="X13" s="8">
        <f>+INDEX('Control Panel'!$F$24:$F$27,MATCH($D13,'Control Panel'!$D$24:$D$27,0))*INDEX('Control Panel'!$H$24:$L$27,MATCH($D13,'Control Panel'!$D$24:$D$27,0),MATCH(X$6,'Control Panel'!$H$23:$L$23,0))*INDEX('Control Panel'!$P$24:$T$27,MATCH($D13,'Control Panel'!$D$24:$D$27,0),MATCH(X$6,'Control Panel'!$P$23:$T$23,0))/'Control Panel'!$E$5</f>
        <v>2500</v>
      </c>
      <c r="Y13" s="8">
        <f>+INDEX('Control Panel'!$F$24:$F$27,MATCH($D13,'Control Panel'!$D$24:$D$27,0))*INDEX('Control Panel'!$H$24:$L$27,MATCH($D13,'Control Panel'!$D$24:$D$27,0),MATCH(Y$6,'Control Panel'!$H$23:$L$23,0))*INDEX('Control Panel'!$P$24:$T$27,MATCH($D13,'Control Panel'!$D$24:$D$27,0),MATCH(Y$6,'Control Panel'!$P$23:$T$23,0))/'Control Panel'!$E$5</f>
        <v>2500</v>
      </c>
      <c r="Z13" s="8">
        <f>+INDEX('Control Panel'!$F$24:$F$27,MATCH($D13,'Control Panel'!$D$24:$D$27,0))*INDEX('Control Panel'!$H$24:$L$27,MATCH($D13,'Control Panel'!$D$24:$D$27,0),MATCH(Z$6,'Control Panel'!$H$23:$L$23,0))*INDEX('Control Panel'!$P$24:$T$27,MATCH($D13,'Control Panel'!$D$24:$D$27,0),MATCH(Z$6,'Control Panel'!$P$23:$T$23,0))/'Control Panel'!$E$5</f>
        <v>2500</v>
      </c>
      <c r="AA13" s="8">
        <f>+INDEX('Control Panel'!$F$24:$F$27,MATCH($D13,'Control Panel'!$D$24:$D$27,0))*INDEX('Control Panel'!$H$24:$L$27,MATCH($D13,'Control Panel'!$D$24:$D$27,0),MATCH(AA$6,'Control Panel'!$H$23:$L$23,0))*INDEX('Control Panel'!$P$24:$T$27,MATCH($D13,'Control Panel'!$D$24:$D$27,0),MATCH(AA$6,'Control Panel'!$P$23:$T$23,0))/'Control Panel'!$E$5</f>
        <v>2800</v>
      </c>
      <c r="AB13" s="8">
        <f>+INDEX('Control Panel'!$F$24:$F$27,MATCH($D13,'Control Panel'!$D$24:$D$27,0))*INDEX('Control Panel'!$H$24:$L$27,MATCH($D13,'Control Panel'!$D$24:$D$27,0),MATCH(AB$6,'Control Panel'!$H$23:$L$23,0))*INDEX('Control Panel'!$P$24:$T$27,MATCH($D13,'Control Panel'!$D$24:$D$27,0),MATCH(AB$6,'Control Panel'!$P$23:$T$23,0))/'Control Panel'!$E$5</f>
        <v>2800</v>
      </c>
      <c r="AC13" s="8">
        <f>+INDEX('Control Panel'!$F$24:$F$27,MATCH($D13,'Control Panel'!$D$24:$D$27,0))*INDEX('Control Panel'!$H$24:$L$27,MATCH($D13,'Control Panel'!$D$24:$D$27,0),MATCH(AC$6,'Control Panel'!$H$23:$L$23,0))*INDEX('Control Panel'!$P$24:$T$27,MATCH($D13,'Control Panel'!$D$24:$D$27,0),MATCH(AC$6,'Control Panel'!$P$23:$T$23,0))/'Control Panel'!$E$5</f>
        <v>2800</v>
      </c>
      <c r="AD13" s="8">
        <f>+INDEX('Control Panel'!$F$24:$F$27,MATCH($D13,'Control Panel'!$D$24:$D$27,0))*INDEX('Control Panel'!$H$24:$L$27,MATCH($D13,'Control Panel'!$D$24:$D$27,0),MATCH(AD$6,'Control Panel'!$H$23:$L$23,0))*INDEX('Control Panel'!$P$24:$T$27,MATCH($D13,'Control Panel'!$D$24:$D$27,0),MATCH(AD$6,'Control Panel'!$P$23:$T$23,0))/'Control Panel'!$E$5</f>
        <v>2800</v>
      </c>
      <c r="AE13" s="8">
        <f>+INDEX('Control Panel'!$F$24:$F$27,MATCH($D13,'Control Panel'!$D$24:$D$27,0))*INDEX('Control Panel'!$H$24:$L$27,MATCH($D13,'Control Panel'!$D$24:$D$27,0),MATCH(AE$6,'Control Panel'!$H$23:$L$23,0))*INDEX('Control Panel'!$P$24:$T$27,MATCH($D13,'Control Panel'!$D$24:$D$27,0),MATCH(AE$6,'Control Panel'!$P$23:$T$23,0))/'Control Panel'!$E$5</f>
        <v>2800</v>
      </c>
      <c r="AF13" s="28"/>
      <c r="AG13"/>
      <c r="AH13" s="27"/>
      <c r="AI13" s="31" t="str">
        <f t="shared" si="2"/>
        <v>Presenting partner</v>
      </c>
      <c r="AJ13" s="8">
        <f t="shared" si="3"/>
        <v>0</v>
      </c>
      <c r="AK13" s="8">
        <f t="shared" si="3"/>
        <v>10000</v>
      </c>
      <c r="AL13" s="8">
        <f t="shared" si="3"/>
        <v>11000</v>
      </c>
      <c r="AM13" s="8">
        <f t="shared" si="3"/>
        <v>12500</v>
      </c>
      <c r="AN13" s="8">
        <f t="shared" si="3"/>
        <v>14000</v>
      </c>
      <c r="AO13" s="28"/>
    </row>
    <row r="14" spans="3:41" x14ac:dyDescent="0.55000000000000004">
      <c r="C14" s="27"/>
      <c r="D14" s="32" t="s">
        <v>47</v>
      </c>
      <c r="E14" s="64"/>
      <c r="F14" s="65"/>
      <c r="G14" s="8">
        <f>+SUM(G10:G13)</f>
        <v>5236</v>
      </c>
      <c r="H14" s="8">
        <f t="shared" ref="H14:AE14" si="4">+SUM(H10:H13)</f>
        <v>5236</v>
      </c>
      <c r="I14" s="8">
        <f t="shared" si="4"/>
        <v>5236</v>
      </c>
      <c r="J14" s="8">
        <f t="shared" si="4"/>
        <v>5236</v>
      </c>
      <c r="K14" s="8">
        <f t="shared" si="4"/>
        <v>5236</v>
      </c>
      <c r="L14" s="8">
        <f t="shared" si="4"/>
        <v>7368</v>
      </c>
      <c r="M14" s="8">
        <f t="shared" si="4"/>
        <v>7368</v>
      </c>
      <c r="N14" s="8">
        <f t="shared" si="4"/>
        <v>7368</v>
      </c>
      <c r="O14" s="8">
        <f t="shared" si="4"/>
        <v>7368</v>
      </c>
      <c r="P14" s="8">
        <f t="shared" si="4"/>
        <v>7368</v>
      </c>
      <c r="Q14" s="8">
        <f t="shared" si="4"/>
        <v>8140</v>
      </c>
      <c r="R14" s="8">
        <f t="shared" si="4"/>
        <v>8140</v>
      </c>
      <c r="S14" s="8">
        <f t="shared" si="4"/>
        <v>8140</v>
      </c>
      <c r="T14" s="8">
        <f t="shared" si="4"/>
        <v>8140</v>
      </c>
      <c r="U14" s="8">
        <f t="shared" si="4"/>
        <v>8140</v>
      </c>
      <c r="V14" s="8">
        <f t="shared" si="4"/>
        <v>8594.0000000000018</v>
      </c>
      <c r="W14" s="8">
        <f t="shared" si="4"/>
        <v>8594.0000000000018</v>
      </c>
      <c r="X14" s="8">
        <f t="shared" si="4"/>
        <v>8594.0000000000018</v>
      </c>
      <c r="Y14" s="8">
        <f t="shared" si="4"/>
        <v>8594.0000000000018</v>
      </c>
      <c r="Z14" s="8">
        <f t="shared" si="4"/>
        <v>8594.0000000000018</v>
      </c>
      <c r="AA14" s="8">
        <f t="shared" si="4"/>
        <v>9532.0000000000036</v>
      </c>
      <c r="AB14" s="8">
        <f t="shared" si="4"/>
        <v>9532.0000000000036</v>
      </c>
      <c r="AC14" s="8">
        <f t="shared" si="4"/>
        <v>9532.0000000000036</v>
      </c>
      <c r="AD14" s="8">
        <f t="shared" si="4"/>
        <v>9532.0000000000036</v>
      </c>
      <c r="AE14" s="8">
        <f t="shared" si="4"/>
        <v>9532.0000000000036</v>
      </c>
      <c r="AF14" s="28"/>
      <c r="AG14"/>
      <c r="AH14" s="27"/>
      <c r="AI14" s="32" t="str">
        <f t="shared" si="2"/>
        <v>Sponsor income</v>
      </c>
      <c r="AJ14" s="8">
        <f t="shared" si="3"/>
        <v>26180</v>
      </c>
      <c r="AK14" s="8">
        <f t="shared" si="3"/>
        <v>36840</v>
      </c>
      <c r="AL14" s="8">
        <f t="shared" si="3"/>
        <v>40700</v>
      </c>
      <c r="AM14" s="8">
        <f t="shared" si="3"/>
        <v>42970.000000000007</v>
      </c>
      <c r="AN14" s="8">
        <f t="shared" si="3"/>
        <v>47660.000000000015</v>
      </c>
      <c r="AO14" s="28"/>
    </row>
    <row r="15" spans="3:41" x14ac:dyDescent="0.55000000000000004">
      <c r="C15" s="27"/>
      <c r="D15" s="31" t="str">
        <f>+'Control Panel'!D35</f>
        <v>Partner 1 (luxe travel)</v>
      </c>
      <c r="E15" s="63">
        <v>1</v>
      </c>
      <c r="F15" s="23">
        <v>1</v>
      </c>
      <c r="G15" s="8" cm="1">
        <f t="array" ref="G15">+INDEX('Control Panel'!$L$35:$P$37,MATCH($D15,'Control Panel'!$D$35:$D$37,0),MATCH(G$6,'Control Panel'!$L$34:$P$34,0))*INDEX('Control Panel'!$K$6:$O$6,1,MATCH(G$6,'Control Panel'!$K$5:$O$5,0))*PRODUCT(_xlfn._xlws.FILTER('Control Panel'!$E$35:$J$37,$D15='Control Panel'!$D$35:$D$37))/'Control Panel'!$E$5</f>
        <v>0</v>
      </c>
      <c r="H15" s="8" cm="1">
        <f t="array" ref="H15">+INDEX('Control Panel'!$L$35:$P$37,MATCH($D15,'Control Panel'!$D$35:$D$37,0),MATCH(H$6,'Control Panel'!$L$34:$P$34,0))*INDEX('Control Panel'!$K$6:$O$6,1,MATCH(H$6,'Control Panel'!$K$5:$O$5,0))*PRODUCT(_xlfn._xlws.FILTER('Control Panel'!$E$35:$J$37,$D15='Control Panel'!$D$35:$D$37))/'Control Panel'!$E$5</f>
        <v>0</v>
      </c>
      <c r="I15" s="8" cm="1">
        <f t="array" ref="I15">+INDEX('Control Panel'!$L$35:$P$37,MATCH($D15,'Control Panel'!$D$35:$D$37,0),MATCH(I$6,'Control Panel'!$L$34:$P$34,0))*INDEX('Control Panel'!$K$6:$O$6,1,MATCH(I$6,'Control Panel'!$K$5:$O$5,0))*PRODUCT(_xlfn._xlws.FILTER('Control Panel'!$E$35:$J$37,$D15='Control Panel'!$D$35:$D$37))/'Control Panel'!$E$5</f>
        <v>0</v>
      </c>
      <c r="J15" s="8" cm="1">
        <f t="array" ref="J15">+INDEX('Control Panel'!$L$35:$P$37,MATCH($D15,'Control Panel'!$D$35:$D$37,0),MATCH(J$6,'Control Panel'!$L$34:$P$34,0))*INDEX('Control Panel'!$K$6:$O$6,1,MATCH(J$6,'Control Panel'!$K$5:$O$5,0))*PRODUCT(_xlfn._xlws.FILTER('Control Panel'!$E$35:$J$37,$D15='Control Panel'!$D$35:$D$37))/'Control Panel'!$E$5</f>
        <v>0</v>
      </c>
      <c r="K15" s="8" cm="1">
        <f t="array" ref="K15">+INDEX('Control Panel'!$L$35:$P$37,MATCH($D15,'Control Panel'!$D$35:$D$37,0),MATCH(K$6,'Control Panel'!$L$34:$P$34,0))*INDEX('Control Panel'!$K$6:$O$6,1,MATCH(K$6,'Control Panel'!$K$5:$O$5,0))*PRODUCT(_xlfn._xlws.FILTER('Control Panel'!$E$35:$J$37,$D15='Control Panel'!$D$35:$D$37))/'Control Panel'!$E$5</f>
        <v>0</v>
      </c>
      <c r="L15" s="8" cm="1">
        <f t="array" ref="L15">+INDEX('Control Panel'!$L$35:$P$37,MATCH($D15,'Control Panel'!$D$35:$D$37,0),MATCH(L$6,'Control Panel'!$L$34:$P$34,0))*INDEX('Control Panel'!$K$6:$O$6,1,MATCH(L$6,'Control Panel'!$K$5:$O$5,0))*PRODUCT(_xlfn._xlws.FILTER('Control Panel'!$E$35:$J$37,$D15='Control Panel'!$D$35:$D$37))/'Control Panel'!$E$5</f>
        <v>141.74999999999994</v>
      </c>
      <c r="M15" s="8" cm="1">
        <f t="array" ref="M15">+INDEX('Control Panel'!$L$35:$P$37,MATCH($D15,'Control Panel'!$D$35:$D$37,0),MATCH(M$6,'Control Panel'!$L$34:$P$34,0))*INDEX('Control Panel'!$K$6:$O$6,1,MATCH(M$6,'Control Panel'!$K$5:$O$5,0))*PRODUCT(_xlfn._xlws.FILTER('Control Panel'!$E$35:$J$37,$D15='Control Panel'!$D$35:$D$37))/'Control Panel'!$E$5</f>
        <v>141.74999999999994</v>
      </c>
      <c r="N15" s="8" cm="1">
        <f t="array" ref="N15">+INDEX('Control Panel'!$L$35:$P$37,MATCH($D15,'Control Panel'!$D$35:$D$37,0),MATCH(N$6,'Control Panel'!$L$34:$P$34,0))*INDEX('Control Panel'!$K$6:$O$6,1,MATCH(N$6,'Control Panel'!$K$5:$O$5,0))*PRODUCT(_xlfn._xlws.FILTER('Control Panel'!$E$35:$J$37,$D15='Control Panel'!$D$35:$D$37))/'Control Panel'!$E$5</f>
        <v>141.74999999999994</v>
      </c>
      <c r="O15" s="8" cm="1">
        <f t="array" ref="O15">+INDEX('Control Panel'!$L$35:$P$37,MATCH($D15,'Control Panel'!$D$35:$D$37,0),MATCH(O$6,'Control Panel'!$L$34:$P$34,0))*INDEX('Control Panel'!$K$6:$O$6,1,MATCH(O$6,'Control Panel'!$K$5:$O$5,0))*PRODUCT(_xlfn._xlws.FILTER('Control Panel'!$E$35:$J$37,$D15='Control Panel'!$D$35:$D$37))/'Control Panel'!$E$5</f>
        <v>141.74999999999994</v>
      </c>
      <c r="P15" s="8" cm="1">
        <f t="array" ref="P15">+INDEX('Control Panel'!$L$35:$P$37,MATCH($D15,'Control Panel'!$D$35:$D$37,0),MATCH(P$6,'Control Panel'!$L$34:$P$34,0))*INDEX('Control Panel'!$K$6:$O$6,1,MATCH(P$6,'Control Panel'!$K$5:$O$5,0))*PRODUCT(_xlfn._xlws.FILTER('Control Panel'!$E$35:$J$37,$D15='Control Panel'!$D$35:$D$37))/'Control Panel'!$E$5</f>
        <v>141.74999999999994</v>
      </c>
      <c r="Q15" s="8" cm="1">
        <f t="array" ref="Q15">+INDEX('Control Panel'!$L$35:$P$37,MATCH($D15,'Control Panel'!$D$35:$D$37,0),MATCH(Q$6,'Control Panel'!$L$34:$P$34,0))*INDEX('Control Panel'!$K$6:$O$6,1,MATCH(Q$6,'Control Panel'!$K$5:$O$5,0))*PRODUCT(_xlfn._xlws.FILTER('Control Panel'!$E$35:$J$37,$D15='Control Panel'!$D$35:$D$37))/'Control Panel'!$E$5</f>
        <v>226.79999999999995</v>
      </c>
      <c r="R15" s="8" cm="1">
        <f t="array" ref="R15">+INDEX('Control Panel'!$L$35:$P$37,MATCH($D15,'Control Panel'!$D$35:$D$37,0),MATCH(R$6,'Control Panel'!$L$34:$P$34,0))*INDEX('Control Panel'!$K$6:$O$6,1,MATCH(R$6,'Control Panel'!$K$5:$O$5,0))*PRODUCT(_xlfn._xlws.FILTER('Control Panel'!$E$35:$J$37,$D15='Control Panel'!$D$35:$D$37))/'Control Panel'!$E$5</f>
        <v>226.79999999999995</v>
      </c>
      <c r="S15" s="8" cm="1">
        <f t="array" ref="S15">+INDEX('Control Panel'!$L$35:$P$37,MATCH($D15,'Control Panel'!$D$35:$D$37,0),MATCH(S$6,'Control Panel'!$L$34:$P$34,0))*INDEX('Control Panel'!$K$6:$O$6,1,MATCH(S$6,'Control Panel'!$K$5:$O$5,0))*PRODUCT(_xlfn._xlws.FILTER('Control Panel'!$E$35:$J$37,$D15='Control Panel'!$D$35:$D$37))/'Control Panel'!$E$5</f>
        <v>226.79999999999995</v>
      </c>
      <c r="T15" s="8" cm="1">
        <f t="array" ref="T15">+INDEX('Control Panel'!$L$35:$P$37,MATCH($D15,'Control Panel'!$D$35:$D$37,0),MATCH(T$6,'Control Panel'!$L$34:$P$34,0))*INDEX('Control Panel'!$K$6:$O$6,1,MATCH(T$6,'Control Panel'!$K$5:$O$5,0))*PRODUCT(_xlfn._xlws.FILTER('Control Panel'!$E$35:$J$37,$D15='Control Panel'!$D$35:$D$37))/'Control Panel'!$E$5</f>
        <v>226.79999999999995</v>
      </c>
      <c r="U15" s="8" cm="1">
        <f t="array" ref="U15">+INDEX('Control Panel'!$L$35:$P$37,MATCH($D15,'Control Panel'!$D$35:$D$37,0),MATCH(U$6,'Control Panel'!$L$34:$P$34,0))*INDEX('Control Panel'!$K$6:$O$6,1,MATCH(U$6,'Control Panel'!$K$5:$O$5,0))*PRODUCT(_xlfn._xlws.FILTER('Control Panel'!$E$35:$J$37,$D15='Control Panel'!$D$35:$D$37))/'Control Panel'!$E$5</f>
        <v>226.79999999999995</v>
      </c>
      <c r="V15" s="8" cm="1">
        <f t="array" ref="V15">+INDEX('Control Panel'!$L$35:$P$37,MATCH($D15,'Control Panel'!$D$35:$D$37,0),MATCH(V$6,'Control Panel'!$L$34:$P$34,0))*INDEX('Control Panel'!$K$6:$O$6,1,MATCH(V$6,'Control Panel'!$K$5:$O$5,0))*PRODUCT(_xlfn._xlws.FILTER('Control Panel'!$E$35:$J$37,$D15='Control Panel'!$D$35:$D$37))/'Control Panel'!$E$5</f>
        <v>311.84999999999991</v>
      </c>
      <c r="W15" s="8" cm="1">
        <f t="array" ref="W15">+INDEX('Control Panel'!$L$35:$P$37,MATCH($D15,'Control Panel'!$D$35:$D$37,0),MATCH(W$6,'Control Panel'!$L$34:$P$34,0))*INDEX('Control Panel'!$K$6:$O$6,1,MATCH(W$6,'Control Panel'!$K$5:$O$5,0))*PRODUCT(_xlfn._xlws.FILTER('Control Panel'!$E$35:$J$37,$D15='Control Panel'!$D$35:$D$37))/'Control Panel'!$E$5</f>
        <v>311.84999999999991</v>
      </c>
      <c r="X15" s="8" cm="1">
        <f t="array" ref="X15">+INDEX('Control Panel'!$L$35:$P$37,MATCH($D15,'Control Panel'!$D$35:$D$37,0),MATCH(X$6,'Control Panel'!$L$34:$P$34,0))*INDEX('Control Panel'!$K$6:$O$6,1,MATCH(X$6,'Control Panel'!$K$5:$O$5,0))*PRODUCT(_xlfn._xlws.FILTER('Control Panel'!$E$35:$J$37,$D15='Control Panel'!$D$35:$D$37))/'Control Panel'!$E$5</f>
        <v>311.84999999999991</v>
      </c>
      <c r="Y15" s="8" cm="1">
        <f t="array" ref="Y15">+INDEX('Control Panel'!$L$35:$P$37,MATCH($D15,'Control Panel'!$D$35:$D$37,0),MATCH(Y$6,'Control Panel'!$L$34:$P$34,0))*INDEX('Control Panel'!$K$6:$O$6,1,MATCH(Y$6,'Control Panel'!$K$5:$O$5,0))*PRODUCT(_xlfn._xlws.FILTER('Control Panel'!$E$35:$J$37,$D15='Control Panel'!$D$35:$D$37))/'Control Panel'!$E$5</f>
        <v>311.84999999999991</v>
      </c>
      <c r="Z15" s="8" cm="1">
        <f t="array" ref="Z15">+INDEX('Control Panel'!$L$35:$P$37,MATCH($D15,'Control Panel'!$D$35:$D$37,0),MATCH(Z$6,'Control Panel'!$L$34:$P$34,0))*INDEX('Control Panel'!$K$6:$O$6,1,MATCH(Z$6,'Control Panel'!$K$5:$O$5,0))*PRODUCT(_xlfn._xlws.FILTER('Control Panel'!$E$35:$J$37,$D15='Control Panel'!$D$35:$D$37))/'Control Panel'!$E$5</f>
        <v>311.84999999999991</v>
      </c>
      <c r="AA15" s="8" cm="1">
        <f t="array" ref="AA15">+INDEX('Control Panel'!$L$35:$P$37,MATCH($D15,'Control Panel'!$D$35:$D$37,0),MATCH(AA$6,'Control Panel'!$L$34:$P$34,0))*INDEX('Control Panel'!$K$6:$O$6,1,MATCH(AA$6,'Control Panel'!$K$5:$O$5,0))*PRODUCT(_xlfn._xlws.FILTER('Control Panel'!$E$35:$J$37,$D15='Control Panel'!$D$35:$D$37))/'Control Panel'!$E$5</f>
        <v>425.24999999999989</v>
      </c>
      <c r="AB15" s="8" cm="1">
        <f t="array" ref="AB15">+INDEX('Control Panel'!$L$35:$P$37,MATCH($D15,'Control Panel'!$D$35:$D$37,0),MATCH(AB$6,'Control Panel'!$L$34:$P$34,0))*INDEX('Control Panel'!$K$6:$O$6,1,MATCH(AB$6,'Control Panel'!$K$5:$O$5,0))*PRODUCT(_xlfn._xlws.FILTER('Control Panel'!$E$35:$J$37,$D15='Control Panel'!$D$35:$D$37))/'Control Panel'!$E$5</f>
        <v>425.24999999999989</v>
      </c>
      <c r="AC15" s="8" cm="1">
        <f t="array" ref="AC15">+INDEX('Control Panel'!$L$35:$P$37,MATCH($D15,'Control Panel'!$D$35:$D$37,0),MATCH(AC$6,'Control Panel'!$L$34:$P$34,0))*INDEX('Control Panel'!$K$6:$O$6,1,MATCH(AC$6,'Control Panel'!$K$5:$O$5,0))*PRODUCT(_xlfn._xlws.FILTER('Control Panel'!$E$35:$J$37,$D15='Control Panel'!$D$35:$D$37))/'Control Panel'!$E$5</f>
        <v>425.24999999999989</v>
      </c>
      <c r="AD15" s="8" cm="1">
        <f t="array" ref="AD15">+INDEX('Control Panel'!$L$35:$P$37,MATCH($D15,'Control Panel'!$D$35:$D$37,0),MATCH(AD$6,'Control Panel'!$L$34:$P$34,0))*INDEX('Control Panel'!$K$6:$O$6,1,MATCH(AD$6,'Control Panel'!$K$5:$O$5,0))*PRODUCT(_xlfn._xlws.FILTER('Control Panel'!$E$35:$J$37,$D15='Control Panel'!$D$35:$D$37))/'Control Panel'!$E$5</f>
        <v>425.24999999999989</v>
      </c>
      <c r="AE15" s="8" cm="1">
        <f t="array" ref="AE15">+INDEX('Control Panel'!$L$35:$P$37,MATCH($D15,'Control Panel'!$D$35:$D$37,0),MATCH(AE$6,'Control Panel'!$L$34:$P$34,0))*INDEX('Control Panel'!$K$6:$O$6,1,MATCH(AE$6,'Control Panel'!$K$5:$O$5,0))*PRODUCT(_xlfn._xlws.FILTER('Control Panel'!$E$35:$J$37,$D15='Control Panel'!$D$35:$D$37))/'Control Panel'!$E$5</f>
        <v>425.24999999999989</v>
      </c>
      <c r="AF15" s="28"/>
      <c r="AG15"/>
      <c r="AH15" s="27"/>
      <c r="AI15" s="31" t="str">
        <f t="shared" si="2"/>
        <v>Partner 1 (luxe travel)</v>
      </c>
      <c r="AJ15" s="8">
        <f t="shared" si="3"/>
        <v>0</v>
      </c>
      <c r="AK15" s="8">
        <f t="shared" si="3"/>
        <v>708.74999999999977</v>
      </c>
      <c r="AL15" s="8">
        <f t="shared" si="3"/>
        <v>1133.9999999999998</v>
      </c>
      <c r="AM15" s="8">
        <f t="shared" si="3"/>
        <v>1559.2499999999995</v>
      </c>
      <c r="AN15" s="8">
        <f t="shared" si="3"/>
        <v>2126.2499999999995</v>
      </c>
      <c r="AO15" s="28"/>
    </row>
    <row r="16" spans="3:41" x14ac:dyDescent="0.55000000000000004">
      <c r="C16" s="27"/>
      <c r="D16" s="31" t="str">
        <f>+'Control Panel'!D36</f>
        <v>Partner 2 (wearable tech)</v>
      </c>
      <c r="E16" s="63">
        <v>1</v>
      </c>
      <c r="F16" s="23">
        <v>1</v>
      </c>
      <c r="G16" s="8" cm="1">
        <f t="array" ref="G16">+INDEX('Control Panel'!$L$35:$P$37,MATCH($D16,'Control Panel'!$D$35:$D$37,0),MATCH(G$6,'Control Panel'!$L$34:$P$34,0))*INDEX('Control Panel'!$K$6:$O$6,1,MATCH(G$6,'Control Panel'!$K$5:$O$5,0))*PRODUCT(_xlfn._xlws.FILTER('Control Panel'!$E$35:$J$37,$D16='Control Panel'!$D$35:$D$37))/'Control Panel'!$E$5</f>
        <v>0</v>
      </c>
      <c r="H16" s="8" cm="1">
        <f t="array" ref="H16">+INDEX('Control Panel'!$L$35:$P$37,MATCH($D16,'Control Panel'!$D$35:$D$37,0),MATCH(H$6,'Control Panel'!$L$34:$P$34,0))*INDEX('Control Panel'!$K$6:$O$6,1,MATCH(H$6,'Control Panel'!$K$5:$O$5,0))*PRODUCT(_xlfn._xlws.FILTER('Control Panel'!$E$35:$J$37,$D16='Control Panel'!$D$35:$D$37))/'Control Panel'!$E$5</f>
        <v>0</v>
      </c>
      <c r="I16" s="8" cm="1">
        <f t="array" ref="I16">+INDEX('Control Panel'!$L$35:$P$37,MATCH($D16,'Control Panel'!$D$35:$D$37,0),MATCH(I$6,'Control Panel'!$L$34:$P$34,0))*INDEX('Control Panel'!$K$6:$O$6,1,MATCH(I$6,'Control Panel'!$K$5:$O$5,0))*PRODUCT(_xlfn._xlws.FILTER('Control Panel'!$E$35:$J$37,$D16='Control Panel'!$D$35:$D$37))/'Control Panel'!$E$5</f>
        <v>0</v>
      </c>
      <c r="J16" s="8" cm="1">
        <f t="array" ref="J16">+INDEX('Control Panel'!$L$35:$P$37,MATCH($D16,'Control Panel'!$D$35:$D$37,0),MATCH(J$6,'Control Panel'!$L$34:$P$34,0))*INDEX('Control Panel'!$K$6:$O$6,1,MATCH(J$6,'Control Panel'!$K$5:$O$5,0))*PRODUCT(_xlfn._xlws.FILTER('Control Panel'!$E$35:$J$37,$D16='Control Panel'!$D$35:$D$37))/'Control Panel'!$E$5</f>
        <v>0</v>
      </c>
      <c r="K16" s="8" cm="1">
        <f t="array" ref="K16">+INDEX('Control Panel'!$L$35:$P$37,MATCH($D16,'Control Panel'!$D$35:$D$37,0),MATCH(K$6,'Control Panel'!$L$34:$P$34,0))*INDEX('Control Panel'!$K$6:$O$6,1,MATCH(K$6,'Control Panel'!$K$5:$O$5,0))*PRODUCT(_xlfn._xlws.FILTER('Control Panel'!$E$35:$J$37,$D16='Control Panel'!$D$35:$D$37))/'Control Panel'!$E$5</f>
        <v>0</v>
      </c>
      <c r="L16" s="8" cm="1">
        <f t="array" ref="L16">+INDEX('Control Panel'!$L$35:$P$37,MATCH($D16,'Control Panel'!$D$35:$D$37,0),MATCH(L$6,'Control Panel'!$L$34:$P$34,0))*INDEX('Control Panel'!$K$6:$O$6,1,MATCH(L$6,'Control Panel'!$K$5:$O$5,0))*PRODUCT(_xlfn._xlws.FILTER('Control Panel'!$E$35:$J$37,$D16='Control Panel'!$D$35:$D$37))/'Control Panel'!$E$5</f>
        <v>0</v>
      </c>
      <c r="M16" s="8" cm="1">
        <f t="array" ref="M16">+INDEX('Control Panel'!$L$35:$P$37,MATCH($D16,'Control Panel'!$D$35:$D$37,0),MATCH(M$6,'Control Panel'!$L$34:$P$34,0))*INDEX('Control Panel'!$K$6:$O$6,1,MATCH(M$6,'Control Panel'!$K$5:$O$5,0))*PRODUCT(_xlfn._xlws.FILTER('Control Panel'!$E$35:$J$37,$D16='Control Panel'!$D$35:$D$37))/'Control Panel'!$E$5</f>
        <v>0</v>
      </c>
      <c r="N16" s="8" cm="1">
        <f t="array" ref="N16">+INDEX('Control Panel'!$L$35:$P$37,MATCH($D16,'Control Panel'!$D$35:$D$37,0),MATCH(N$6,'Control Panel'!$L$34:$P$34,0))*INDEX('Control Panel'!$K$6:$O$6,1,MATCH(N$6,'Control Panel'!$K$5:$O$5,0))*PRODUCT(_xlfn._xlws.FILTER('Control Panel'!$E$35:$J$37,$D16='Control Panel'!$D$35:$D$37))/'Control Panel'!$E$5</f>
        <v>0</v>
      </c>
      <c r="O16" s="8" cm="1">
        <f t="array" ref="O16">+INDEX('Control Panel'!$L$35:$P$37,MATCH($D16,'Control Panel'!$D$35:$D$37,0),MATCH(O$6,'Control Panel'!$L$34:$P$34,0))*INDEX('Control Panel'!$K$6:$O$6,1,MATCH(O$6,'Control Panel'!$K$5:$O$5,0))*PRODUCT(_xlfn._xlws.FILTER('Control Panel'!$E$35:$J$37,$D16='Control Panel'!$D$35:$D$37))/'Control Panel'!$E$5</f>
        <v>0</v>
      </c>
      <c r="P16" s="8" cm="1">
        <f t="array" ref="P16">+INDEX('Control Panel'!$L$35:$P$37,MATCH($D16,'Control Panel'!$D$35:$D$37,0),MATCH(P$6,'Control Panel'!$L$34:$P$34,0))*INDEX('Control Panel'!$K$6:$O$6,1,MATCH(P$6,'Control Panel'!$K$5:$O$5,0))*PRODUCT(_xlfn._xlws.FILTER('Control Panel'!$E$35:$J$37,$D16='Control Panel'!$D$35:$D$37))/'Control Panel'!$E$5</f>
        <v>0</v>
      </c>
      <c r="Q16" s="8" cm="1">
        <f t="array" ref="Q16">+INDEX('Control Panel'!$L$35:$P$37,MATCH($D16,'Control Panel'!$D$35:$D$37,0),MATCH(Q$6,'Control Panel'!$L$34:$P$34,0))*INDEX('Control Panel'!$K$6:$O$6,1,MATCH(Q$6,'Control Panel'!$K$5:$O$5,0))*PRODUCT(_xlfn._xlws.FILTER('Control Panel'!$E$35:$J$37,$D16='Control Panel'!$D$35:$D$37))/'Control Panel'!$E$5</f>
        <v>0</v>
      </c>
      <c r="R16" s="8" cm="1">
        <f t="array" ref="R16">+INDEX('Control Panel'!$L$35:$P$37,MATCH($D16,'Control Panel'!$D$35:$D$37,0),MATCH(R$6,'Control Panel'!$L$34:$P$34,0))*INDEX('Control Panel'!$K$6:$O$6,1,MATCH(R$6,'Control Panel'!$K$5:$O$5,0))*PRODUCT(_xlfn._xlws.FILTER('Control Panel'!$E$35:$J$37,$D16='Control Panel'!$D$35:$D$37))/'Control Panel'!$E$5</f>
        <v>0</v>
      </c>
      <c r="S16" s="8" cm="1">
        <f t="array" ref="S16">+INDEX('Control Panel'!$L$35:$P$37,MATCH($D16,'Control Panel'!$D$35:$D$37,0),MATCH(S$6,'Control Panel'!$L$34:$P$34,0))*INDEX('Control Panel'!$K$6:$O$6,1,MATCH(S$6,'Control Panel'!$K$5:$O$5,0))*PRODUCT(_xlfn._xlws.FILTER('Control Panel'!$E$35:$J$37,$D16='Control Panel'!$D$35:$D$37))/'Control Panel'!$E$5</f>
        <v>0</v>
      </c>
      <c r="T16" s="8" cm="1">
        <f t="array" ref="T16">+INDEX('Control Panel'!$L$35:$P$37,MATCH($D16,'Control Panel'!$D$35:$D$37,0),MATCH(T$6,'Control Panel'!$L$34:$P$34,0))*INDEX('Control Panel'!$K$6:$O$6,1,MATCH(T$6,'Control Panel'!$K$5:$O$5,0))*PRODUCT(_xlfn._xlws.FILTER('Control Panel'!$E$35:$J$37,$D16='Control Panel'!$D$35:$D$37))/'Control Panel'!$E$5</f>
        <v>0</v>
      </c>
      <c r="U16" s="8" cm="1">
        <f t="array" ref="U16">+INDEX('Control Panel'!$L$35:$P$37,MATCH($D16,'Control Panel'!$D$35:$D$37,0),MATCH(U$6,'Control Panel'!$L$34:$P$34,0))*INDEX('Control Panel'!$K$6:$O$6,1,MATCH(U$6,'Control Panel'!$K$5:$O$5,0))*PRODUCT(_xlfn._xlws.FILTER('Control Panel'!$E$35:$J$37,$D16='Control Panel'!$D$35:$D$37))/'Control Panel'!$E$5</f>
        <v>0</v>
      </c>
      <c r="V16" s="8" cm="1">
        <f t="array" ref="V16">+INDEX('Control Panel'!$L$35:$P$37,MATCH($D16,'Control Panel'!$D$35:$D$37,0),MATCH(V$6,'Control Panel'!$L$34:$P$34,0))*INDEX('Control Panel'!$K$6:$O$6,1,MATCH(V$6,'Control Panel'!$K$5:$O$5,0))*PRODUCT(_xlfn._xlws.FILTER('Control Panel'!$E$35:$J$37,$D16='Control Panel'!$D$35:$D$37))/'Control Panel'!$E$5</f>
        <v>443.52</v>
      </c>
      <c r="W16" s="8" cm="1">
        <f t="array" ref="W16">+INDEX('Control Panel'!$L$35:$P$37,MATCH($D16,'Control Panel'!$D$35:$D$37,0),MATCH(W$6,'Control Panel'!$L$34:$P$34,0))*INDEX('Control Panel'!$K$6:$O$6,1,MATCH(W$6,'Control Panel'!$K$5:$O$5,0))*PRODUCT(_xlfn._xlws.FILTER('Control Panel'!$E$35:$J$37,$D16='Control Panel'!$D$35:$D$37))/'Control Panel'!$E$5</f>
        <v>443.52</v>
      </c>
      <c r="X16" s="8" cm="1">
        <f t="array" ref="X16">+INDEX('Control Panel'!$L$35:$P$37,MATCH($D16,'Control Panel'!$D$35:$D$37,0),MATCH(X$6,'Control Panel'!$L$34:$P$34,0))*INDEX('Control Panel'!$K$6:$O$6,1,MATCH(X$6,'Control Panel'!$K$5:$O$5,0))*PRODUCT(_xlfn._xlws.FILTER('Control Panel'!$E$35:$J$37,$D16='Control Panel'!$D$35:$D$37))/'Control Panel'!$E$5</f>
        <v>443.52</v>
      </c>
      <c r="Y16" s="8" cm="1">
        <f t="array" ref="Y16">+INDEX('Control Panel'!$L$35:$P$37,MATCH($D16,'Control Panel'!$D$35:$D$37,0),MATCH(Y$6,'Control Panel'!$L$34:$P$34,0))*INDEX('Control Panel'!$K$6:$O$6,1,MATCH(Y$6,'Control Panel'!$K$5:$O$5,0))*PRODUCT(_xlfn._xlws.FILTER('Control Panel'!$E$35:$J$37,$D16='Control Panel'!$D$35:$D$37))/'Control Panel'!$E$5</f>
        <v>443.52</v>
      </c>
      <c r="Z16" s="8" cm="1">
        <f t="array" ref="Z16">+INDEX('Control Panel'!$L$35:$P$37,MATCH($D16,'Control Panel'!$D$35:$D$37,0),MATCH(Z$6,'Control Panel'!$L$34:$P$34,0))*INDEX('Control Panel'!$K$6:$O$6,1,MATCH(Z$6,'Control Panel'!$K$5:$O$5,0))*PRODUCT(_xlfn._xlws.FILTER('Control Panel'!$E$35:$J$37,$D16='Control Panel'!$D$35:$D$37))/'Control Panel'!$E$5</f>
        <v>443.52</v>
      </c>
      <c r="AA16" s="8" cm="1">
        <f t="array" ref="AA16">+INDEX('Control Panel'!$L$35:$P$37,MATCH($D16,'Control Panel'!$D$35:$D$37,0),MATCH(AA$6,'Control Panel'!$L$34:$P$34,0))*INDEX('Control Panel'!$K$6:$O$6,1,MATCH(AA$6,'Control Panel'!$K$5:$O$5,0))*PRODUCT(_xlfn._xlws.FILTER('Control Panel'!$E$35:$J$37,$D16='Control Panel'!$D$35:$D$37))/'Control Panel'!$E$5</f>
        <v>604.79999999999995</v>
      </c>
      <c r="AB16" s="8" cm="1">
        <f t="array" ref="AB16">+INDEX('Control Panel'!$L$35:$P$37,MATCH($D16,'Control Panel'!$D$35:$D$37,0),MATCH(AB$6,'Control Panel'!$L$34:$P$34,0))*INDEX('Control Panel'!$K$6:$O$6,1,MATCH(AB$6,'Control Panel'!$K$5:$O$5,0))*PRODUCT(_xlfn._xlws.FILTER('Control Panel'!$E$35:$J$37,$D16='Control Panel'!$D$35:$D$37))/'Control Panel'!$E$5</f>
        <v>604.79999999999995</v>
      </c>
      <c r="AC16" s="8" cm="1">
        <f t="array" ref="AC16">+INDEX('Control Panel'!$L$35:$P$37,MATCH($D16,'Control Panel'!$D$35:$D$37,0),MATCH(AC$6,'Control Panel'!$L$34:$P$34,0))*INDEX('Control Panel'!$K$6:$O$6,1,MATCH(AC$6,'Control Panel'!$K$5:$O$5,0))*PRODUCT(_xlfn._xlws.FILTER('Control Panel'!$E$35:$J$37,$D16='Control Panel'!$D$35:$D$37))/'Control Panel'!$E$5</f>
        <v>604.79999999999995</v>
      </c>
      <c r="AD16" s="8" cm="1">
        <f t="array" ref="AD16">+INDEX('Control Panel'!$L$35:$P$37,MATCH($D16,'Control Panel'!$D$35:$D$37,0),MATCH(AD$6,'Control Panel'!$L$34:$P$34,0))*INDEX('Control Panel'!$K$6:$O$6,1,MATCH(AD$6,'Control Panel'!$K$5:$O$5,0))*PRODUCT(_xlfn._xlws.FILTER('Control Panel'!$E$35:$J$37,$D16='Control Panel'!$D$35:$D$37))/'Control Panel'!$E$5</f>
        <v>604.79999999999995</v>
      </c>
      <c r="AE16" s="8" cm="1">
        <f t="array" ref="AE16">+INDEX('Control Panel'!$L$35:$P$37,MATCH($D16,'Control Panel'!$D$35:$D$37,0),MATCH(AE$6,'Control Panel'!$L$34:$P$34,0))*INDEX('Control Panel'!$K$6:$O$6,1,MATCH(AE$6,'Control Panel'!$K$5:$O$5,0))*PRODUCT(_xlfn._xlws.FILTER('Control Panel'!$E$35:$J$37,$D16='Control Panel'!$D$35:$D$37))/'Control Panel'!$E$5</f>
        <v>604.79999999999995</v>
      </c>
      <c r="AF16" s="28"/>
      <c r="AG16"/>
      <c r="AH16" s="27"/>
      <c r="AI16" s="31" t="str">
        <f t="shared" si="2"/>
        <v>Partner 2 (wearable tech)</v>
      </c>
      <c r="AJ16" s="8">
        <f t="shared" si="3"/>
        <v>0</v>
      </c>
      <c r="AK16" s="8">
        <f t="shared" si="3"/>
        <v>0</v>
      </c>
      <c r="AL16" s="8">
        <f t="shared" si="3"/>
        <v>0</v>
      </c>
      <c r="AM16" s="8">
        <f t="shared" si="3"/>
        <v>2217.6</v>
      </c>
      <c r="AN16" s="8">
        <f t="shared" si="3"/>
        <v>3024</v>
      </c>
      <c r="AO16" s="28"/>
    </row>
    <row r="17" spans="3:41" x14ac:dyDescent="0.55000000000000004">
      <c r="C17" s="27"/>
      <c r="D17" s="31" t="str">
        <f>+'Control Panel'!D37</f>
        <v>Partner 3 (premium credit card)</v>
      </c>
      <c r="E17" s="63">
        <v>1</v>
      </c>
      <c r="F17" s="23">
        <v>1</v>
      </c>
      <c r="G17" s="8" cm="1">
        <f t="array" ref="G17">+INDEX('Control Panel'!$L$35:$P$37,MATCH($D17,'Control Panel'!$D$35:$D$37,0),MATCH(G$6,'Control Panel'!$L$34:$P$34,0))*INDEX('Control Panel'!$K$6:$O$6,1,MATCH(G$6,'Control Panel'!$K$5:$O$5,0))*PRODUCT(_xlfn._xlws.FILTER('Control Panel'!$E$35:$J$37,$D17='Control Panel'!$D$35:$D$37))/'Control Panel'!$E$5</f>
        <v>0</v>
      </c>
      <c r="H17" s="8" cm="1">
        <f t="array" ref="H17">+INDEX('Control Panel'!$L$35:$P$37,MATCH($D17,'Control Panel'!$D$35:$D$37,0),MATCH(H$6,'Control Panel'!$L$34:$P$34,0))*INDEX('Control Panel'!$K$6:$O$6,1,MATCH(H$6,'Control Panel'!$K$5:$O$5,0))*PRODUCT(_xlfn._xlws.FILTER('Control Panel'!$E$35:$J$37,$D17='Control Panel'!$D$35:$D$37))/'Control Panel'!$E$5</f>
        <v>0</v>
      </c>
      <c r="I17" s="8" cm="1">
        <f t="array" ref="I17">+INDEX('Control Panel'!$L$35:$P$37,MATCH($D17,'Control Panel'!$D$35:$D$37,0),MATCH(I$6,'Control Panel'!$L$34:$P$34,0))*INDEX('Control Panel'!$K$6:$O$6,1,MATCH(I$6,'Control Panel'!$K$5:$O$5,0))*PRODUCT(_xlfn._xlws.FILTER('Control Panel'!$E$35:$J$37,$D17='Control Panel'!$D$35:$D$37))/'Control Panel'!$E$5</f>
        <v>0</v>
      </c>
      <c r="J17" s="8" cm="1">
        <f t="array" ref="J17">+INDEX('Control Panel'!$L$35:$P$37,MATCH($D17,'Control Panel'!$D$35:$D$37,0),MATCH(J$6,'Control Panel'!$L$34:$P$34,0))*INDEX('Control Panel'!$K$6:$O$6,1,MATCH(J$6,'Control Panel'!$K$5:$O$5,0))*PRODUCT(_xlfn._xlws.FILTER('Control Panel'!$E$35:$J$37,$D17='Control Panel'!$D$35:$D$37))/'Control Panel'!$E$5</f>
        <v>0</v>
      </c>
      <c r="K17" s="8" cm="1">
        <f t="array" ref="K17">+INDEX('Control Panel'!$L$35:$P$37,MATCH($D17,'Control Panel'!$D$35:$D$37,0),MATCH(K$6,'Control Panel'!$L$34:$P$34,0))*INDEX('Control Panel'!$K$6:$O$6,1,MATCH(K$6,'Control Panel'!$K$5:$O$5,0))*PRODUCT(_xlfn._xlws.FILTER('Control Panel'!$E$35:$J$37,$D17='Control Panel'!$D$35:$D$37))/'Control Panel'!$E$5</f>
        <v>0</v>
      </c>
      <c r="L17" s="8" cm="1">
        <f t="array" ref="L17">+INDEX('Control Panel'!$L$35:$P$37,MATCH($D17,'Control Panel'!$D$35:$D$37,0),MATCH(L$6,'Control Panel'!$L$34:$P$34,0))*INDEX('Control Panel'!$K$6:$O$6,1,MATCH(L$6,'Control Panel'!$K$5:$O$5,0))*PRODUCT(_xlfn._xlws.FILTER('Control Panel'!$E$35:$J$37,$D17='Control Panel'!$D$35:$D$37))/'Control Panel'!$E$5</f>
        <v>0</v>
      </c>
      <c r="M17" s="8" cm="1">
        <f t="array" ref="M17">+INDEX('Control Panel'!$L$35:$P$37,MATCH($D17,'Control Panel'!$D$35:$D$37,0),MATCH(M$6,'Control Panel'!$L$34:$P$34,0))*INDEX('Control Panel'!$K$6:$O$6,1,MATCH(M$6,'Control Panel'!$K$5:$O$5,0))*PRODUCT(_xlfn._xlws.FILTER('Control Panel'!$E$35:$J$37,$D17='Control Panel'!$D$35:$D$37))/'Control Panel'!$E$5</f>
        <v>0</v>
      </c>
      <c r="N17" s="8" cm="1">
        <f t="array" ref="N17">+INDEX('Control Panel'!$L$35:$P$37,MATCH($D17,'Control Panel'!$D$35:$D$37,0),MATCH(N$6,'Control Panel'!$L$34:$P$34,0))*INDEX('Control Panel'!$K$6:$O$6,1,MATCH(N$6,'Control Panel'!$K$5:$O$5,0))*PRODUCT(_xlfn._xlws.FILTER('Control Panel'!$E$35:$J$37,$D17='Control Panel'!$D$35:$D$37))/'Control Panel'!$E$5</f>
        <v>0</v>
      </c>
      <c r="O17" s="8" cm="1">
        <f t="array" ref="O17">+INDEX('Control Panel'!$L$35:$P$37,MATCH($D17,'Control Panel'!$D$35:$D$37,0),MATCH(O$6,'Control Panel'!$L$34:$P$34,0))*INDEX('Control Panel'!$K$6:$O$6,1,MATCH(O$6,'Control Panel'!$K$5:$O$5,0))*PRODUCT(_xlfn._xlws.FILTER('Control Panel'!$E$35:$J$37,$D17='Control Panel'!$D$35:$D$37))/'Control Panel'!$E$5</f>
        <v>0</v>
      </c>
      <c r="P17" s="8" cm="1">
        <f t="array" ref="P17">+INDEX('Control Panel'!$L$35:$P$37,MATCH($D17,'Control Panel'!$D$35:$D$37,0),MATCH(P$6,'Control Panel'!$L$34:$P$34,0))*INDEX('Control Panel'!$K$6:$O$6,1,MATCH(P$6,'Control Panel'!$K$5:$O$5,0))*PRODUCT(_xlfn._xlws.FILTER('Control Panel'!$E$35:$J$37,$D17='Control Panel'!$D$35:$D$37))/'Control Panel'!$E$5</f>
        <v>0</v>
      </c>
      <c r="Q17" s="8" cm="1">
        <f t="array" ref="Q17">+INDEX('Control Panel'!$L$35:$P$37,MATCH($D17,'Control Panel'!$D$35:$D$37,0),MATCH(Q$6,'Control Panel'!$L$34:$P$34,0))*INDEX('Control Panel'!$K$6:$O$6,1,MATCH(Q$6,'Control Panel'!$K$5:$O$5,0))*PRODUCT(_xlfn._xlws.FILTER('Control Panel'!$E$35:$J$37,$D17='Control Panel'!$D$35:$D$37))/'Control Panel'!$E$5</f>
        <v>336</v>
      </c>
      <c r="R17" s="8" cm="1">
        <f t="array" ref="R17">+INDEX('Control Panel'!$L$35:$P$37,MATCH($D17,'Control Panel'!$D$35:$D$37,0),MATCH(R$6,'Control Panel'!$L$34:$P$34,0))*INDEX('Control Panel'!$K$6:$O$6,1,MATCH(R$6,'Control Panel'!$K$5:$O$5,0))*PRODUCT(_xlfn._xlws.FILTER('Control Panel'!$E$35:$J$37,$D17='Control Panel'!$D$35:$D$37))/'Control Panel'!$E$5</f>
        <v>336</v>
      </c>
      <c r="S17" s="8" cm="1">
        <f t="array" ref="S17">+INDEX('Control Panel'!$L$35:$P$37,MATCH($D17,'Control Panel'!$D$35:$D$37,0),MATCH(S$6,'Control Panel'!$L$34:$P$34,0))*INDEX('Control Panel'!$K$6:$O$6,1,MATCH(S$6,'Control Panel'!$K$5:$O$5,0))*PRODUCT(_xlfn._xlws.FILTER('Control Panel'!$E$35:$J$37,$D17='Control Panel'!$D$35:$D$37))/'Control Panel'!$E$5</f>
        <v>336</v>
      </c>
      <c r="T17" s="8" cm="1">
        <f t="array" ref="T17">+INDEX('Control Panel'!$L$35:$P$37,MATCH($D17,'Control Panel'!$D$35:$D$37,0),MATCH(T$6,'Control Panel'!$L$34:$P$34,0))*INDEX('Control Panel'!$K$6:$O$6,1,MATCH(T$6,'Control Panel'!$K$5:$O$5,0))*PRODUCT(_xlfn._xlws.FILTER('Control Panel'!$E$35:$J$37,$D17='Control Panel'!$D$35:$D$37))/'Control Panel'!$E$5</f>
        <v>336</v>
      </c>
      <c r="U17" s="8" cm="1">
        <f t="array" ref="U17">+INDEX('Control Panel'!$L$35:$P$37,MATCH($D17,'Control Panel'!$D$35:$D$37,0),MATCH(U$6,'Control Panel'!$L$34:$P$34,0))*INDEX('Control Panel'!$K$6:$O$6,1,MATCH(U$6,'Control Panel'!$K$5:$O$5,0))*PRODUCT(_xlfn._xlws.FILTER('Control Panel'!$E$35:$J$37,$D17='Control Panel'!$D$35:$D$37))/'Control Panel'!$E$5</f>
        <v>336</v>
      </c>
      <c r="V17" s="8" cm="1">
        <f t="array" ref="V17">+INDEX('Control Panel'!$L$35:$P$37,MATCH($D17,'Control Panel'!$D$35:$D$37,0),MATCH(V$6,'Control Panel'!$L$34:$P$34,0))*INDEX('Control Panel'!$K$6:$O$6,1,MATCH(V$6,'Control Panel'!$K$5:$O$5,0))*PRODUCT(_xlfn._xlws.FILTER('Control Panel'!$E$35:$J$37,$D17='Control Panel'!$D$35:$D$37))/'Control Panel'!$E$5</f>
        <v>462</v>
      </c>
      <c r="W17" s="8" cm="1">
        <f t="array" ref="W17">+INDEX('Control Panel'!$L$35:$P$37,MATCH($D17,'Control Panel'!$D$35:$D$37,0),MATCH(W$6,'Control Panel'!$L$34:$P$34,0))*INDEX('Control Panel'!$K$6:$O$6,1,MATCH(W$6,'Control Panel'!$K$5:$O$5,0))*PRODUCT(_xlfn._xlws.FILTER('Control Panel'!$E$35:$J$37,$D17='Control Panel'!$D$35:$D$37))/'Control Panel'!$E$5</f>
        <v>462</v>
      </c>
      <c r="X17" s="8" cm="1">
        <f t="array" ref="X17">+INDEX('Control Panel'!$L$35:$P$37,MATCH($D17,'Control Panel'!$D$35:$D$37,0),MATCH(X$6,'Control Panel'!$L$34:$P$34,0))*INDEX('Control Panel'!$K$6:$O$6,1,MATCH(X$6,'Control Panel'!$K$5:$O$5,0))*PRODUCT(_xlfn._xlws.FILTER('Control Panel'!$E$35:$J$37,$D17='Control Panel'!$D$35:$D$37))/'Control Panel'!$E$5</f>
        <v>462</v>
      </c>
      <c r="Y17" s="8" cm="1">
        <f t="array" ref="Y17">+INDEX('Control Panel'!$L$35:$P$37,MATCH($D17,'Control Panel'!$D$35:$D$37,0),MATCH(Y$6,'Control Panel'!$L$34:$P$34,0))*INDEX('Control Panel'!$K$6:$O$6,1,MATCH(Y$6,'Control Panel'!$K$5:$O$5,0))*PRODUCT(_xlfn._xlws.FILTER('Control Panel'!$E$35:$J$37,$D17='Control Panel'!$D$35:$D$37))/'Control Panel'!$E$5</f>
        <v>462</v>
      </c>
      <c r="Z17" s="8" cm="1">
        <f t="array" ref="Z17">+INDEX('Control Panel'!$L$35:$P$37,MATCH($D17,'Control Panel'!$D$35:$D$37,0),MATCH(Z$6,'Control Panel'!$L$34:$P$34,0))*INDEX('Control Panel'!$K$6:$O$6,1,MATCH(Z$6,'Control Panel'!$K$5:$O$5,0))*PRODUCT(_xlfn._xlws.FILTER('Control Panel'!$E$35:$J$37,$D17='Control Panel'!$D$35:$D$37))/'Control Panel'!$E$5</f>
        <v>462</v>
      </c>
      <c r="AA17" s="8" cm="1">
        <f t="array" ref="AA17">+INDEX('Control Panel'!$L$35:$P$37,MATCH($D17,'Control Panel'!$D$35:$D$37,0),MATCH(AA$6,'Control Panel'!$L$34:$P$34,0))*INDEX('Control Panel'!$K$6:$O$6,1,MATCH(AA$6,'Control Panel'!$K$5:$O$5,0))*PRODUCT(_xlfn._xlws.FILTER('Control Panel'!$E$35:$J$37,$D17='Control Panel'!$D$35:$D$37))/'Control Panel'!$E$5</f>
        <v>630</v>
      </c>
      <c r="AB17" s="8" cm="1">
        <f t="array" ref="AB17">+INDEX('Control Panel'!$L$35:$P$37,MATCH($D17,'Control Panel'!$D$35:$D$37,0),MATCH(AB$6,'Control Panel'!$L$34:$P$34,0))*INDEX('Control Panel'!$K$6:$O$6,1,MATCH(AB$6,'Control Panel'!$K$5:$O$5,0))*PRODUCT(_xlfn._xlws.FILTER('Control Panel'!$E$35:$J$37,$D17='Control Panel'!$D$35:$D$37))/'Control Panel'!$E$5</f>
        <v>630</v>
      </c>
      <c r="AC17" s="8" cm="1">
        <f t="array" ref="AC17">+INDEX('Control Panel'!$L$35:$P$37,MATCH($D17,'Control Panel'!$D$35:$D$37,0),MATCH(AC$6,'Control Panel'!$L$34:$P$34,0))*INDEX('Control Panel'!$K$6:$O$6,1,MATCH(AC$6,'Control Panel'!$K$5:$O$5,0))*PRODUCT(_xlfn._xlws.FILTER('Control Panel'!$E$35:$J$37,$D17='Control Panel'!$D$35:$D$37))/'Control Panel'!$E$5</f>
        <v>630</v>
      </c>
      <c r="AD17" s="8" cm="1">
        <f t="array" ref="AD17">+INDEX('Control Panel'!$L$35:$P$37,MATCH($D17,'Control Panel'!$D$35:$D$37,0),MATCH(AD$6,'Control Panel'!$L$34:$P$34,0))*INDEX('Control Panel'!$K$6:$O$6,1,MATCH(AD$6,'Control Panel'!$K$5:$O$5,0))*PRODUCT(_xlfn._xlws.FILTER('Control Panel'!$E$35:$J$37,$D17='Control Panel'!$D$35:$D$37))/'Control Panel'!$E$5</f>
        <v>630</v>
      </c>
      <c r="AE17" s="8" cm="1">
        <f t="array" ref="AE17">+INDEX('Control Panel'!$L$35:$P$37,MATCH($D17,'Control Panel'!$D$35:$D$37,0),MATCH(AE$6,'Control Panel'!$L$34:$P$34,0))*INDEX('Control Panel'!$K$6:$O$6,1,MATCH(AE$6,'Control Panel'!$K$5:$O$5,0))*PRODUCT(_xlfn._xlws.FILTER('Control Panel'!$E$35:$J$37,$D17='Control Panel'!$D$35:$D$37))/'Control Panel'!$E$5</f>
        <v>630</v>
      </c>
      <c r="AF17" s="28"/>
      <c r="AG17"/>
      <c r="AH17" s="27"/>
      <c r="AI17" s="31" t="str">
        <f t="shared" si="2"/>
        <v>Partner 3 (premium credit card)</v>
      </c>
      <c r="AJ17" s="8">
        <f t="shared" si="3"/>
        <v>0</v>
      </c>
      <c r="AK17" s="8">
        <f t="shared" si="3"/>
        <v>0</v>
      </c>
      <c r="AL17" s="8">
        <f t="shared" si="3"/>
        <v>1680</v>
      </c>
      <c r="AM17" s="8">
        <f t="shared" si="3"/>
        <v>2310</v>
      </c>
      <c r="AN17" s="8">
        <f t="shared" si="3"/>
        <v>3150</v>
      </c>
      <c r="AO17" s="28"/>
    </row>
    <row r="18" spans="3:41" x14ac:dyDescent="0.55000000000000004">
      <c r="C18" s="27"/>
      <c r="D18" s="32" t="s">
        <v>68</v>
      </c>
      <c r="E18" s="32"/>
      <c r="F18" s="32"/>
      <c r="G18" s="8">
        <f>+SUM(G15:G17)</f>
        <v>0</v>
      </c>
      <c r="H18" s="8">
        <f t="shared" ref="H18:AE18" si="5">+SUM(H15:H17)</f>
        <v>0</v>
      </c>
      <c r="I18" s="8">
        <f t="shared" si="5"/>
        <v>0</v>
      </c>
      <c r="J18" s="8">
        <f t="shared" si="5"/>
        <v>0</v>
      </c>
      <c r="K18" s="8">
        <f t="shared" si="5"/>
        <v>0</v>
      </c>
      <c r="L18" s="8">
        <f t="shared" si="5"/>
        <v>141.74999999999994</v>
      </c>
      <c r="M18" s="8">
        <f t="shared" si="5"/>
        <v>141.74999999999994</v>
      </c>
      <c r="N18" s="8">
        <f t="shared" si="5"/>
        <v>141.74999999999994</v>
      </c>
      <c r="O18" s="8">
        <f t="shared" si="5"/>
        <v>141.74999999999994</v>
      </c>
      <c r="P18" s="8">
        <f t="shared" si="5"/>
        <v>141.74999999999994</v>
      </c>
      <c r="Q18" s="8">
        <f t="shared" si="5"/>
        <v>562.79999999999995</v>
      </c>
      <c r="R18" s="8">
        <f t="shared" si="5"/>
        <v>562.79999999999995</v>
      </c>
      <c r="S18" s="8">
        <f t="shared" si="5"/>
        <v>562.79999999999995</v>
      </c>
      <c r="T18" s="8">
        <f t="shared" si="5"/>
        <v>562.79999999999995</v>
      </c>
      <c r="U18" s="8">
        <f t="shared" si="5"/>
        <v>562.79999999999995</v>
      </c>
      <c r="V18" s="8">
        <f t="shared" si="5"/>
        <v>1217.3699999999999</v>
      </c>
      <c r="W18" s="8">
        <f t="shared" si="5"/>
        <v>1217.3699999999999</v>
      </c>
      <c r="X18" s="8">
        <f t="shared" si="5"/>
        <v>1217.3699999999999</v>
      </c>
      <c r="Y18" s="8">
        <f t="shared" si="5"/>
        <v>1217.3699999999999</v>
      </c>
      <c r="Z18" s="8">
        <f t="shared" si="5"/>
        <v>1217.3699999999999</v>
      </c>
      <c r="AA18" s="8">
        <f t="shared" si="5"/>
        <v>1660.0499999999997</v>
      </c>
      <c r="AB18" s="8">
        <f t="shared" si="5"/>
        <v>1660.0499999999997</v>
      </c>
      <c r="AC18" s="8">
        <f t="shared" si="5"/>
        <v>1660.0499999999997</v>
      </c>
      <c r="AD18" s="8">
        <f t="shared" si="5"/>
        <v>1660.0499999999997</v>
      </c>
      <c r="AE18" s="8">
        <f t="shared" si="5"/>
        <v>1660.0499999999997</v>
      </c>
      <c r="AF18" s="28"/>
      <c r="AG18"/>
      <c r="AH18" s="27"/>
      <c r="AI18" s="32" t="str">
        <f t="shared" si="2"/>
        <v>Affiliate income</v>
      </c>
      <c r="AJ18" s="8">
        <f t="shared" si="3"/>
        <v>0</v>
      </c>
      <c r="AK18" s="8">
        <f t="shared" si="3"/>
        <v>708.74999999999977</v>
      </c>
      <c r="AL18" s="8">
        <f t="shared" si="3"/>
        <v>2814</v>
      </c>
      <c r="AM18" s="8">
        <f t="shared" si="3"/>
        <v>6086.8499999999995</v>
      </c>
      <c r="AN18" s="8">
        <f t="shared" si="3"/>
        <v>8300.2499999999982</v>
      </c>
      <c r="AO18" s="28"/>
    </row>
    <row r="19" spans="3:41" s="5" customFormat="1" x14ac:dyDescent="0.55000000000000004">
      <c r="C19" s="33"/>
      <c r="D19" s="5" t="s">
        <v>59</v>
      </c>
      <c r="G19" s="12">
        <f>+G9+G14+G18</f>
        <v>8836</v>
      </c>
      <c r="H19" s="12">
        <f t="shared" ref="H19:AE19" si="6">+H9+H14+H18</f>
        <v>8836</v>
      </c>
      <c r="I19" s="12">
        <f t="shared" si="6"/>
        <v>8836</v>
      </c>
      <c r="J19" s="12">
        <f t="shared" si="6"/>
        <v>8836</v>
      </c>
      <c r="K19" s="12">
        <f t="shared" si="6"/>
        <v>8836</v>
      </c>
      <c r="L19" s="12">
        <f t="shared" si="6"/>
        <v>11109.75</v>
      </c>
      <c r="M19" s="12">
        <f t="shared" si="6"/>
        <v>11109.75</v>
      </c>
      <c r="N19" s="12">
        <f t="shared" si="6"/>
        <v>11109.75</v>
      </c>
      <c r="O19" s="12">
        <f t="shared" si="6"/>
        <v>11109.75</v>
      </c>
      <c r="P19" s="12">
        <f t="shared" si="6"/>
        <v>11109.75</v>
      </c>
      <c r="Q19" s="12">
        <f t="shared" si="6"/>
        <v>12302.8</v>
      </c>
      <c r="R19" s="12">
        <f t="shared" si="6"/>
        <v>12302.8</v>
      </c>
      <c r="S19" s="12">
        <f t="shared" si="6"/>
        <v>12302.8</v>
      </c>
      <c r="T19" s="12">
        <f t="shared" si="6"/>
        <v>12302.8</v>
      </c>
      <c r="U19" s="12">
        <f t="shared" si="6"/>
        <v>12302.8</v>
      </c>
      <c r="V19" s="12">
        <f t="shared" si="6"/>
        <v>13411.370000000003</v>
      </c>
      <c r="W19" s="12">
        <f t="shared" si="6"/>
        <v>13411.370000000003</v>
      </c>
      <c r="X19" s="12">
        <f t="shared" si="6"/>
        <v>13411.370000000003</v>
      </c>
      <c r="Y19" s="12">
        <f t="shared" si="6"/>
        <v>13411.370000000003</v>
      </c>
      <c r="Z19" s="12">
        <f t="shared" si="6"/>
        <v>13411.370000000003</v>
      </c>
      <c r="AA19" s="12">
        <f t="shared" si="6"/>
        <v>14792.050000000003</v>
      </c>
      <c r="AB19" s="12">
        <f t="shared" si="6"/>
        <v>14792.050000000003</v>
      </c>
      <c r="AC19" s="12">
        <f t="shared" si="6"/>
        <v>14792.050000000003</v>
      </c>
      <c r="AD19" s="12">
        <f t="shared" si="6"/>
        <v>14792.050000000003</v>
      </c>
      <c r="AE19" s="12">
        <f t="shared" si="6"/>
        <v>14792.050000000003</v>
      </c>
      <c r="AF19" s="34"/>
      <c r="AH19" s="33"/>
      <c r="AI19" s="5" t="str">
        <f t="shared" si="2"/>
        <v>Total income</v>
      </c>
      <c r="AJ19" s="12">
        <f t="shared" ref="AJ19" si="7">+AJ9+AJ14+AJ18</f>
        <v>44180</v>
      </c>
      <c r="AK19" s="12">
        <f t="shared" ref="AK19" si="8">+AK9+AK14+AK18</f>
        <v>55548.75</v>
      </c>
      <c r="AL19" s="12">
        <f t="shared" ref="AL19" si="9">+AL9+AL14+AL18</f>
        <v>61514</v>
      </c>
      <c r="AM19" s="12">
        <f t="shared" ref="AM19" si="10">+AM9+AM14+AM18</f>
        <v>67056.850000000006</v>
      </c>
      <c r="AN19" s="12">
        <f t="shared" ref="AN19" si="11">+AN9+AN14+AN18</f>
        <v>73960.250000000015</v>
      </c>
      <c r="AO19" s="34"/>
    </row>
    <row r="20" spans="3:41" hidden="1" outlineLevel="1" x14ac:dyDescent="0.55000000000000004">
      <c r="C20" s="27"/>
      <c r="D20" s="32" t="str">
        <f>+'Control Panel'!D29</f>
        <v>Single event sponsor servicing cost</v>
      </c>
      <c r="E20" s="32"/>
      <c r="F20" s="32"/>
      <c r="G20" s="8">
        <f>-INDEX('Control Panel'!$F$24:$F$27,MATCH($D10,'Control Panel'!$D$24:$D$27,0))*INDEX('Control Panel'!$H$24:$L$27,MATCH($D10,'Control Panel'!$D$24:$D$27,0),MATCH(G$6,'Control Panel'!$H$23:$L$23,0))*INDEX('Control Panel'!$E$29:$E$32,MATCH($D20,'Control Panel'!$D$29:$D$32,0))/'Control Panel'!$E$5</f>
        <v>0</v>
      </c>
      <c r="H20" s="8">
        <f>-INDEX('Control Panel'!$F$24:$F$27,MATCH($D10,'Control Panel'!$D$24:$D$27,0))*INDEX('Control Panel'!$H$24:$L$27,MATCH($D10,'Control Panel'!$D$24:$D$27,0),MATCH(H$6,'Control Panel'!$H$23:$L$23,0))*INDEX('Control Panel'!$E$29:$E$32,MATCH($D20,'Control Panel'!$D$29:$D$32,0))/'Control Panel'!$E$5</f>
        <v>0</v>
      </c>
      <c r="I20" s="8">
        <f>-INDEX('Control Panel'!$F$24:$F$27,MATCH($D10,'Control Panel'!$D$24:$D$27,0))*INDEX('Control Panel'!$H$24:$L$27,MATCH($D10,'Control Panel'!$D$24:$D$27,0),MATCH(I$6,'Control Panel'!$H$23:$L$23,0))*INDEX('Control Panel'!$E$29:$E$32,MATCH($D20,'Control Panel'!$D$29:$D$32,0))/'Control Panel'!$E$5</f>
        <v>0</v>
      </c>
      <c r="J20" s="8">
        <f>-INDEX('Control Panel'!$F$24:$F$27,MATCH($D10,'Control Panel'!$D$24:$D$27,0))*INDEX('Control Panel'!$H$24:$L$27,MATCH($D10,'Control Panel'!$D$24:$D$27,0),MATCH(J$6,'Control Panel'!$H$23:$L$23,0))*INDEX('Control Panel'!$E$29:$E$32,MATCH($D20,'Control Panel'!$D$29:$D$32,0))/'Control Panel'!$E$5</f>
        <v>0</v>
      </c>
      <c r="K20" s="8">
        <f>-INDEX('Control Panel'!$F$24:$F$27,MATCH($D10,'Control Panel'!$D$24:$D$27,0))*INDEX('Control Panel'!$H$24:$L$27,MATCH($D10,'Control Panel'!$D$24:$D$27,0),MATCH(K$6,'Control Panel'!$H$23:$L$23,0))*INDEX('Control Panel'!$E$29:$E$32,MATCH($D20,'Control Panel'!$D$29:$D$32,0))/'Control Panel'!$E$5</f>
        <v>0</v>
      </c>
      <c r="L20" s="8">
        <f>-INDEX('Control Panel'!$F$24:$F$27,MATCH($D10,'Control Panel'!$D$24:$D$27,0))*INDEX('Control Panel'!$H$24:$L$27,MATCH($D10,'Control Panel'!$D$24:$D$27,0),MATCH(L$6,'Control Panel'!$H$23:$L$23,0))*INDEX('Control Panel'!$E$29:$E$32,MATCH($D20,'Control Panel'!$D$29:$D$32,0))/'Control Panel'!$E$5</f>
        <v>0</v>
      </c>
      <c r="M20" s="8">
        <f>-INDEX('Control Panel'!$F$24:$F$27,MATCH($D10,'Control Panel'!$D$24:$D$27,0))*INDEX('Control Panel'!$H$24:$L$27,MATCH($D10,'Control Panel'!$D$24:$D$27,0),MATCH(M$6,'Control Panel'!$H$23:$L$23,0))*INDEX('Control Panel'!$E$29:$E$32,MATCH($D20,'Control Panel'!$D$29:$D$32,0))/'Control Panel'!$E$5</f>
        <v>0</v>
      </c>
      <c r="N20" s="8">
        <f>-INDEX('Control Panel'!$F$24:$F$27,MATCH($D10,'Control Panel'!$D$24:$D$27,0))*INDEX('Control Panel'!$H$24:$L$27,MATCH($D10,'Control Panel'!$D$24:$D$27,0),MATCH(N$6,'Control Panel'!$H$23:$L$23,0))*INDEX('Control Panel'!$E$29:$E$32,MATCH($D20,'Control Panel'!$D$29:$D$32,0))/'Control Panel'!$E$5</f>
        <v>0</v>
      </c>
      <c r="O20" s="8">
        <f>-INDEX('Control Panel'!$F$24:$F$27,MATCH($D10,'Control Panel'!$D$24:$D$27,0))*INDEX('Control Panel'!$H$24:$L$27,MATCH($D10,'Control Panel'!$D$24:$D$27,0),MATCH(O$6,'Control Panel'!$H$23:$L$23,0))*INDEX('Control Panel'!$E$29:$E$32,MATCH($D20,'Control Panel'!$D$29:$D$32,0))/'Control Panel'!$E$5</f>
        <v>0</v>
      </c>
      <c r="P20" s="8">
        <f>-INDEX('Control Panel'!$F$24:$F$27,MATCH($D10,'Control Panel'!$D$24:$D$27,0))*INDEX('Control Panel'!$H$24:$L$27,MATCH($D10,'Control Panel'!$D$24:$D$27,0),MATCH(P$6,'Control Panel'!$H$23:$L$23,0))*INDEX('Control Panel'!$E$29:$E$32,MATCH($D20,'Control Panel'!$D$29:$D$32,0))/'Control Panel'!$E$5</f>
        <v>0</v>
      </c>
      <c r="Q20" s="8">
        <f>-INDEX('Control Panel'!$F$24:$F$27,MATCH($D10,'Control Panel'!$D$24:$D$27,0))*INDEX('Control Panel'!$H$24:$L$27,MATCH($D10,'Control Panel'!$D$24:$D$27,0),MATCH(Q$6,'Control Panel'!$H$23:$L$23,0))*INDEX('Control Panel'!$E$29:$E$32,MATCH($D20,'Control Panel'!$D$29:$D$32,0))/'Control Panel'!$E$5</f>
        <v>0</v>
      </c>
      <c r="R20" s="8">
        <f>-INDEX('Control Panel'!$F$24:$F$27,MATCH($D10,'Control Panel'!$D$24:$D$27,0))*INDEX('Control Panel'!$H$24:$L$27,MATCH($D10,'Control Panel'!$D$24:$D$27,0),MATCH(R$6,'Control Panel'!$H$23:$L$23,0))*INDEX('Control Panel'!$E$29:$E$32,MATCH($D20,'Control Panel'!$D$29:$D$32,0))/'Control Panel'!$E$5</f>
        <v>0</v>
      </c>
      <c r="S20" s="8">
        <f>-INDEX('Control Panel'!$F$24:$F$27,MATCH($D10,'Control Panel'!$D$24:$D$27,0))*INDEX('Control Panel'!$H$24:$L$27,MATCH($D10,'Control Panel'!$D$24:$D$27,0),MATCH(S$6,'Control Panel'!$H$23:$L$23,0))*INDEX('Control Panel'!$E$29:$E$32,MATCH($D20,'Control Panel'!$D$29:$D$32,0))/'Control Panel'!$E$5</f>
        <v>0</v>
      </c>
      <c r="T20" s="8">
        <f>-INDEX('Control Panel'!$F$24:$F$27,MATCH($D10,'Control Panel'!$D$24:$D$27,0))*INDEX('Control Panel'!$H$24:$L$27,MATCH($D10,'Control Panel'!$D$24:$D$27,0),MATCH(T$6,'Control Panel'!$H$23:$L$23,0))*INDEX('Control Panel'!$E$29:$E$32,MATCH($D20,'Control Panel'!$D$29:$D$32,0))/'Control Panel'!$E$5</f>
        <v>0</v>
      </c>
      <c r="U20" s="8">
        <f>-INDEX('Control Panel'!$F$24:$F$27,MATCH($D10,'Control Panel'!$D$24:$D$27,0))*INDEX('Control Panel'!$H$24:$L$27,MATCH($D10,'Control Panel'!$D$24:$D$27,0),MATCH(U$6,'Control Panel'!$H$23:$L$23,0))*INDEX('Control Panel'!$E$29:$E$32,MATCH($D20,'Control Panel'!$D$29:$D$32,0))/'Control Panel'!$E$5</f>
        <v>0</v>
      </c>
      <c r="V20" s="8">
        <f>-INDEX('Control Panel'!$F$24:$F$27,MATCH($D10,'Control Panel'!$D$24:$D$27,0))*INDEX('Control Panel'!$H$24:$L$27,MATCH($D10,'Control Panel'!$D$24:$D$27,0),MATCH(V$6,'Control Panel'!$H$23:$L$23,0))*INDEX('Control Panel'!$E$29:$E$32,MATCH($D20,'Control Panel'!$D$29:$D$32,0))/'Control Panel'!$E$5</f>
        <v>0</v>
      </c>
      <c r="W20" s="8">
        <f>-INDEX('Control Panel'!$F$24:$F$27,MATCH($D10,'Control Panel'!$D$24:$D$27,0))*INDEX('Control Panel'!$H$24:$L$27,MATCH($D10,'Control Panel'!$D$24:$D$27,0),MATCH(W$6,'Control Panel'!$H$23:$L$23,0))*INDEX('Control Panel'!$E$29:$E$32,MATCH($D20,'Control Panel'!$D$29:$D$32,0))/'Control Panel'!$E$5</f>
        <v>0</v>
      </c>
      <c r="X20" s="8">
        <f>-INDEX('Control Panel'!$F$24:$F$27,MATCH($D10,'Control Panel'!$D$24:$D$27,0))*INDEX('Control Panel'!$H$24:$L$27,MATCH($D10,'Control Panel'!$D$24:$D$27,0),MATCH(X$6,'Control Panel'!$H$23:$L$23,0))*INDEX('Control Panel'!$E$29:$E$32,MATCH($D20,'Control Panel'!$D$29:$D$32,0))/'Control Panel'!$E$5</f>
        <v>0</v>
      </c>
      <c r="Y20" s="8">
        <f>-INDEX('Control Panel'!$F$24:$F$27,MATCH($D10,'Control Panel'!$D$24:$D$27,0))*INDEX('Control Panel'!$H$24:$L$27,MATCH($D10,'Control Panel'!$D$24:$D$27,0),MATCH(Y$6,'Control Panel'!$H$23:$L$23,0))*INDEX('Control Panel'!$E$29:$E$32,MATCH($D20,'Control Panel'!$D$29:$D$32,0))/'Control Panel'!$E$5</f>
        <v>0</v>
      </c>
      <c r="Z20" s="8">
        <f>-INDEX('Control Panel'!$F$24:$F$27,MATCH($D10,'Control Panel'!$D$24:$D$27,0))*INDEX('Control Panel'!$H$24:$L$27,MATCH($D10,'Control Panel'!$D$24:$D$27,0),MATCH(Z$6,'Control Panel'!$H$23:$L$23,0))*INDEX('Control Panel'!$E$29:$E$32,MATCH($D20,'Control Panel'!$D$29:$D$32,0))/'Control Panel'!$E$5</f>
        <v>0</v>
      </c>
      <c r="AA20" s="8">
        <f>-INDEX('Control Panel'!$F$24:$F$27,MATCH($D10,'Control Panel'!$D$24:$D$27,0))*INDEX('Control Panel'!$H$24:$L$27,MATCH($D10,'Control Panel'!$D$24:$D$27,0),MATCH(AA$6,'Control Panel'!$H$23:$L$23,0))*INDEX('Control Panel'!$E$29:$E$32,MATCH($D20,'Control Panel'!$D$29:$D$32,0))/'Control Panel'!$E$5</f>
        <v>0</v>
      </c>
      <c r="AB20" s="8">
        <f>-INDEX('Control Panel'!$F$24:$F$27,MATCH($D10,'Control Panel'!$D$24:$D$27,0))*INDEX('Control Panel'!$H$24:$L$27,MATCH($D10,'Control Panel'!$D$24:$D$27,0),MATCH(AB$6,'Control Panel'!$H$23:$L$23,0))*INDEX('Control Panel'!$E$29:$E$32,MATCH($D20,'Control Panel'!$D$29:$D$32,0))/'Control Panel'!$E$5</f>
        <v>0</v>
      </c>
      <c r="AC20" s="8">
        <f>-INDEX('Control Panel'!$F$24:$F$27,MATCH($D10,'Control Panel'!$D$24:$D$27,0))*INDEX('Control Panel'!$H$24:$L$27,MATCH($D10,'Control Panel'!$D$24:$D$27,0),MATCH(AC$6,'Control Panel'!$H$23:$L$23,0))*INDEX('Control Panel'!$E$29:$E$32,MATCH($D20,'Control Panel'!$D$29:$D$32,0))/'Control Panel'!$E$5</f>
        <v>0</v>
      </c>
      <c r="AD20" s="8">
        <f>-INDEX('Control Panel'!$F$24:$F$27,MATCH($D10,'Control Panel'!$D$24:$D$27,0))*INDEX('Control Panel'!$H$24:$L$27,MATCH($D10,'Control Panel'!$D$24:$D$27,0),MATCH(AD$6,'Control Panel'!$H$23:$L$23,0))*INDEX('Control Panel'!$E$29:$E$32,MATCH($D20,'Control Panel'!$D$29:$D$32,0))/'Control Panel'!$E$5</f>
        <v>0</v>
      </c>
      <c r="AE20" s="8">
        <f>-INDEX('Control Panel'!$F$24:$F$27,MATCH($D10,'Control Panel'!$D$24:$D$27,0))*INDEX('Control Panel'!$H$24:$L$27,MATCH($D10,'Control Panel'!$D$24:$D$27,0),MATCH(AE$6,'Control Panel'!$H$23:$L$23,0))*INDEX('Control Panel'!$E$29:$E$32,MATCH($D20,'Control Panel'!$D$29:$D$32,0))/'Control Panel'!$E$5</f>
        <v>0</v>
      </c>
      <c r="AF20" s="28"/>
      <c r="AG20"/>
      <c r="AH20" s="27"/>
      <c r="AI20" s="32" t="str">
        <f t="shared" si="2"/>
        <v>Single event sponsor servicing cost</v>
      </c>
      <c r="AJ20" s="8">
        <f t="shared" ref="AJ20:AN26" si="12">+SUMIFS($G20:$AE20,$G$6:$AE$6,AJ$6)</f>
        <v>0</v>
      </c>
      <c r="AK20" s="8">
        <f t="shared" si="12"/>
        <v>0</v>
      </c>
      <c r="AL20" s="8">
        <f t="shared" si="12"/>
        <v>0</v>
      </c>
      <c r="AM20" s="8">
        <f t="shared" si="12"/>
        <v>0</v>
      </c>
      <c r="AN20" s="8">
        <f t="shared" si="12"/>
        <v>0</v>
      </c>
      <c r="AO20" s="28"/>
    </row>
    <row r="21" spans="3:41" hidden="1" outlineLevel="1" x14ac:dyDescent="0.55000000000000004">
      <c r="C21" s="27"/>
      <c r="D21" s="32" t="str">
        <f>+'Control Panel'!D30</f>
        <v>Product promo sponsor servicing cost</v>
      </c>
      <c r="E21" s="32"/>
      <c r="F21" s="32"/>
      <c r="G21" s="8">
        <f>-INDEX('Control Panel'!$F$24:$F$27,MATCH($D11,'Control Panel'!$D$24:$D$27,0))*INDEX('Control Panel'!$H$24:$L$27,MATCH($D11,'Control Panel'!$D$24:$D$27,0),MATCH(G$6,'Control Panel'!$H$23:$L$23,0))*INDEX('Control Panel'!$E$29:$E$32,MATCH($D21,'Control Panel'!$D$29:$D$32,0))/'Control Panel'!$E$5</f>
        <v>0</v>
      </c>
      <c r="H21" s="8">
        <f>-INDEX('Control Panel'!$F$24:$F$27,MATCH($D11,'Control Panel'!$D$24:$D$27,0))*INDEX('Control Panel'!$H$24:$L$27,MATCH($D11,'Control Panel'!$D$24:$D$27,0),MATCH(H$6,'Control Panel'!$H$23:$L$23,0))*INDEX('Control Panel'!$E$29:$E$32,MATCH($D21,'Control Panel'!$D$29:$D$32,0))/'Control Panel'!$E$5</f>
        <v>0</v>
      </c>
      <c r="I21" s="8">
        <f>-INDEX('Control Panel'!$F$24:$F$27,MATCH($D11,'Control Panel'!$D$24:$D$27,0))*INDEX('Control Panel'!$H$24:$L$27,MATCH($D11,'Control Panel'!$D$24:$D$27,0),MATCH(I$6,'Control Panel'!$H$23:$L$23,0))*INDEX('Control Panel'!$E$29:$E$32,MATCH($D21,'Control Panel'!$D$29:$D$32,0))/'Control Panel'!$E$5</f>
        <v>0</v>
      </c>
      <c r="J21" s="8">
        <f>-INDEX('Control Panel'!$F$24:$F$27,MATCH($D11,'Control Panel'!$D$24:$D$27,0))*INDEX('Control Panel'!$H$24:$L$27,MATCH($D11,'Control Panel'!$D$24:$D$27,0),MATCH(J$6,'Control Panel'!$H$23:$L$23,0))*INDEX('Control Panel'!$E$29:$E$32,MATCH($D21,'Control Panel'!$D$29:$D$32,0))/'Control Panel'!$E$5</f>
        <v>0</v>
      </c>
      <c r="K21" s="8">
        <f>-INDEX('Control Panel'!$F$24:$F$27,MATCH($D11,'Control Panel'!$D$24:$D$27,0))*INDEX('Control Panel'!$H$24:$L$27,MATCH($D11,'Control Panel'!$D$24:$D$27,0),MATCH(K$6,'Control Panel'!$H$23:$L$23,0))*INDEX('Control Panel'!$E$29:$E$32,MATCH($D21,'Control Panel'!$D$29:$D$32,0))/'Control Panel'!$E$5</f>
        <v>0</v>
      </c>
      <c r="L21" s="8">
        <f>-INDEX('Control Panel'!$F$24:$F$27,MATCH($D11,'Control Panel'!$D$24:$D$27,0))*INDEX('Control Panel'!$H$24:$L$27,MATCH($D11,'Control Panel'!$D$24:$D$27,0),MATCH(L$6,'Control Panel'!$H$23:$L$23,0))*INDEX('Control Panel'!$E$29:$E$32,MATCH($D21,'Control Panel'!$D$29:$D$32,0))/'Control Panel'!$E$5</f>
        <v>0</v>
      </c>
      <c r="M21" s="8">
        <f>-INDEX('Control Panel'!$F$24:$F$27,MATCH($D11,'Control Panel'!$D$24:$D$27,0))*INDEX('Control Panel'!$H$24:$L$27,MATCH($D11,'Control Panel'!$D$24:$D$27,0),MATCH(M$6,'Control Panel'!$H$23:$L$23,0))*INDEX('Control Panel'!$E$29:$E$32,MATCH($D21,'Control Panel'!$D$29:$D$32,0))/'Control Panel'!$E$5</f>
        <v>0</v>
      </c>
      <c r="N21" s="8">
        <f>-INDEX('Control Panel'!$F$24:$F$27,MATCH($D11,'Control Panel'!$D$24:$D$27,0))*INDEX('Control Panel'!$H$24:$L$27,MATCH($D11,'Control Panel'!$D$24:$D$27,0),MATCH(N$6,'Control Panel'!$H$23:$L$23,0))*INDEX('Control Panel'!$E$29:$E$32,MATCH($D21,'Control Panel'!$D$29:$D$32,0))/'Control Panel'!$E$5</f>
        <v>0</v>
      </c>
      <c r="O21" s="8">
        <f>-INDEX('Control Panel'!$F$24:$F$27,MATCH($D11,'Control Panel'!$D$24:$D$27,0))*INDEX('Control Panel'!$H$24:$L$27,MATCH($D11,'Control Panel'!$D$24:$D$27,0),MATCH(O$6,'Control Panel'!$H$23:$L$23,0))*INDEX('Control Panel'!$E$29:$E$32,MATCH($D21,'Control Panel'!$D$29:$D$32,0))/'Control Panel'!$E$5</f>
        <v>0</v>
      </c>
      <c r="P21" s="8">
        <f>-INDEX('Control Panel'!$F$24:$F$27,MATCH($D11,'Control Panel'!$D$24:$D$27,0))*INDEX('Control Panel'!$H$24:$L$27,MATCH($D11,'Control Panel'!$D$24:$D$27,0),MATCH(P$6,'Control Panel'!$H$23:$L$23,0))*INDEX('Control Panel'!$E$29:$E$32,MATCH($D21,'Control Panel'!$D$29:$D$32,0))/'Control Panel'!$E$5</f>
        <v>0</v>
      </c>
      <c r="Q21" s="8">
        <f>-INDEX('Control Panel'!$F$24:$F$27,MATCH($D11,'Control Panel'!$D$24:$D$27,0))*INDEX('Control Panel'!$H$24:$L$27,MATCH($D11,'Control Panel'!$D$24:$D$27,0),MATCH(Q$6,'Control Panel'!$H$23:$L$23,0))*INDEX('Control Panel'!$E$29:$E$32,MATCH($D21,'Control Panel'!$D$29:$D$32,0))/'Control Panel'!$E$5</f>
        <v>0</v>
      </c>
      <c r="R21" s="8">
        <f>-INDEX('Control Panel'!$F$24:$F$27,MATCH($D11,'Control Panel'!$D$24:$D$27,0))*INDEX('Control Panel'!$H$24:$L$27,MATCH($D11,'Control Panel'!$D$24:$D$27,0),MATCH(R$6,'Control Panel'!$H$23:$L$23,0))*INDEX('Control Panel'!$E$29:$E$32,MATCH($D21,'Control Panel'!$D$29:$D$32,0))/'Control Panel'!$E$5</f>
        <v>0</v>
      </c>
      <c r="S21" s="8">
        <f>-INDEX('Control Panel'!$F$24:$F$27,MATCH($D11,'Control Panel'!$D$24:$D$27,0))*INDEX('Control Panel'!$H$24:$L$27,MATCH($D11,'Control Panel'!$D$24:$D$27,0),MATCH(S$6,'Control Panel'!$H$23:$L$23,0))*INDEX('Control Panel'!$E$29:$E$32,MATCH($D21,'Control Panel'!$D$29:$D$32,0))/'Control Panel'!$E$5</f>
        <v>0</v>
      </c>
      <c r="T21" s="8">
        <f>-INDEX('Control Panel'!$F$24:$F$27,MATCH($D11,'Control Panel'!$D$24:$D$27,0))*INDEX('Control Panel'!$H$24:$L$27,MATCH($D11,'Control Panel'!$D$24:$D$27,0),MATCH(T$6,'Control Panel'!$H$23:$L$23,0))*INDEX('Control Panel'!$E$29:$E$32,MATCH($D21,'Control Panel'!$D$29:$D$32,0))/'Control Panel'!$E$5</f>
        <v>0</v>
      </c>
      <c r="U21" s="8">
        <f>-INDEX('Control Panel'!$F$24:$F$27,MATCH($D11,'Control Panel'!$D$24:$D$27,0))*INDEX('Control Panel'!$H$24:$L$27,MATCH($D11,'Control Panel'!$D$24:$D$27,0),MATCH(U$6,'Control Panel'!$H$23:$L$23,0))*INDEX('Control Panel'!$E$29:$E$32,MATCH($D21,'Control Panel'!$D$29:$D$32,0))/'Control Panel'!$E$5</f>
        <v>0</v>
      </c>
      <c r="V21" s="8">
        <f>-INDEX('Control Panel'!$F$24:$F$27,MATCH($D11,'Control Panel'!$D$24:$D$27,0))*INDEX('Control Panel'!$H$24:$L$27,MATCH($D11,'Control Panel'!$D$24:$D$27,0),MATCH(V$6,'Control Panel'!$H$23:$L$23,0))*INDEX('Control Panel'!$E$29:$E$32,MATCH($D21,'Control Panel'!$D$29:$D$32,0))/'Control Panel'!$E$5</f>
        <v>0</v>
      </c>
      <c r="W21" s="8">
        <f>-INDEX('Control Panel'!$F$24:$F$27,MATCH($D11,'Control Panel'!$D$24:$D$27,0))*INDEX('Control Panel'!$H$24:$L$27,MATCH($D11,'Control Panel'!$D$24:$D$27,0),MATCH(W$6,'Control Panel'!$H$23:$L$23,0))*INDEX('Control Panel'!$E$29:$E$32,MATCH($D21,'Control Panel'!$D$29:$D$32,0))/'Control Panel'!$E$5</f>
        <v>0</v>
      </c>
      <c r="X21" s="8">
        <f>-INDEX('Control Panel'!$F$24:$F$27,MATCH($D11,'Control Panel'!$D$24:$D$27,0))*INDEX('Control Panel'!$H$24:$L$27,MATCH($D11,'Control Panel'!$D$24:$D$27,0),MATCH(X$6,'Control Panel'!$H$23:$L$23,0))*INDEX('Control Panel'!$E$29:$E$32,MATCH($D21,'Control Panel'!$D$29:$D$32,0))/'Control Panel'!$E$5</f>
        <v>0</v>
      </c>
      <c r="Y21" s="8">
        <f>-INDEX('Control Panel'!$F$24:$F$27,MATCH($D11,'Control Panel'!$D$24:$D$27,0))*INDEX('Control Panel'!$H$24:$L$27,MATCH($D11,'Control Panel'!$D$24:$D$27,0),MATCH(Y$6,'Control Panel'!$H$23:$L$23,0))*INDEX('Control Panel'!$E$29:$E$32,MATCH($D21,'Control Panel'!$D$29:$D$32,0))/'Control Panel'!$E$5</f>
        <v>0</v>
      </c>
      <c r="Z21" s="8">
        <f>-INDEX('Control Panel'!$F$24:$F$27,MATCH($D11,'Control Panel'!$D$24:$D$27,0))*INDEX('Control Panel'!$H$24:$L$27,MATCH($D11,'Control Panel'!$D$24:$D$27,0),MATCH(Z$6,'Control Panel'!$H$23:$L$23,0))*INDEX('Control Panel'!$E$29:$E$32,MATCH($D21,'Control Panel'!$D$29:$D$32,0))/'Control Panel'!$E$5</f>
        <v>0</v>
      </c>
      <c r="AA21" s="8">
        <f>-INDEX('Control Panel'!$F$24:$F$27,MATCH($D11,'Control Panel'!$D$24:$D$27,0))*INDEX('Control Panel'!$H$24:$L$27,MATCH($D11,'Control Panel'!$D$24:$D$27,0),MATCH(AA$6,'Control Panel'!$H$23:$L$23,0))*INDEX('Control Panel'!$E$29:$E$32,MATCH($D21,'Control Panel'!$D$29:$D$32,0))/'Control Panel'!$E$5</f>
        <v>0</v>
      </c>
      <c r="AB21" s="8">
        <f>-INDEX('Control Panel'!$F$24:$F$27,MATCH($D11,'Control Panel'!$D$24:$D$27,0))*INDEX('Control Panel'!$H$24:$L$27,MATCH($D11,'Control Panel'!$D$24:$D$27,0),MATCH(AB$6,'Control Panel'!$H$23:$L$23,0))*INDEX('Control Panel'!$E$29:$E$32,MATCH($D21,'Control Panel'!$D$29:$D$32,0))/'Control Panel'!$E$5</f>
        <v>0</v>
      </c>
      <c r="AC21" s="8">
        <f>-INDEX('Control Panel'!$F$24:$F$27,MATCH($D11,'Control Panel'!$D$24:$D$27,0))*INDEX('Control Panel'!$H$24:$L$27,MATCH($D11,'Control Panel'!$D$24:$D$27,0),MATCH(AC$6,'Control Panel'!$H$23:$L$23,0))*INDEX('Control Panel'!$E$29:$E$32,MATCH($D21,'Control Panel'!$D$29:$D$32,0))/'Control Panel'!$E$5</f>
        <v>0</v>
      </c>
      <c r="AD21" s="8">
        <f>-INDEX('Control Panel'!$F$24:$F$27,MATCH($D11,'Control Panel'!$D$24:$D$27,0))*INDEX('Control Panel'!$H$24:$L$27,MATCH($D11,'Control Panel'!$D$24:$D$27,0),MATCH(AD$6,'Control Panel'!$H$23:$L$23,0))*INDEX('Control Panel'!$E$29:$E$32,MATCH($D21,'Control Panel'!$D$29:$D$32,0))/'Control Panel'!$E$5</f>
        <v>0</v>
      </c>
      <c r="AE21" s="8">
        <f>-INDEX('Control Panel'!$F$24:$F$27,MATCH($D11,'Control Panel'!$D$24:$D$27,0))*INDEX('Control Panel'!$H$24:$L$27,MATCH($D11,'Control Panel'!$D$24:$D$27,0),MATCH(AE$6,'Control Panel'!$H$23:$L$23,0))*INDEX('Control Panel'!$E$29:$E$32,MATCH($D21,'Control Panel'!$D$29:$D$32,0))/'Control Panel'!$E$5</f>
        <v>0</v>
      </c>
      <c r="AF21" s="28"/>
      <c r="AG21"/>
      <c r="AH21" s="27"/>
      <c r="AI21" s="32" t="str">
        <f t="shared" si="2"/>
        <v>Product promo sponsor servicing cost</v>
      </c>
      <c r="AJ21" s="8">
        <f t="shared" si="12"/>
        <v>0</v>
      </c>
      <c r="AK21" s="8">
        <f t="shared" si="12"/>
        <v>0</v>
      </c>
      <c r="AL21" s="8">
        <f t="shared" si="12"/>
        <v>0</v>
      </c>
      <c r="AM21" s="8">
        <f t="shared" si="12"/>
        <v>0</v>
      </c>
      <c r="AN21" s="8">
        <f t="shared" si="12"/>
        <v>0</v>
      </c>
      <c r="AO21" s="28"/>
    </row>
    <row r="22" spans="3:41" hidden="1" outlineLevel="1" x14ac:dyDescent="0.55000000000000004">
      <c r="C22" s="27"/>
      <c r="D22" s="32" t="str">
        <f>+'Control Panel'!D31</f>
        <v>Event series sponsor servicing cost</v>
      </c>
      <c r="E22" s="32"/>
      <c r="F22" s="32"/>
      <c r="G22" s="8">
        <f>-INDEX('Control Panel'!$F$24:$F$27,MATCH($D12,'Control Panel'!$D$24:$D$27,0))*INDEX('Control Panel'!$H$24:$L$27,MATCH($D12,'Control Panel'!$D$24:$D$27,0),MATCH(G$6,'Control Panel'!$H$23:$L$23,0))*INDEX('Control Panel'!$E$29:$E$32,MATCH($D22,'Control Panel'!$D$29:$D$32,0))/'Control Panel'!$E$5</f>
        <v>0</v>
      </c>
      <c r="H22" s="8">
        <f>-INDEX('Control Panel'!$F$24:$F$27,MATCH($D12,'Control Panel'!$D$24:$D$27,0))*INDEX('Control Panel'!$H$24:$L$27,MATCH($D12,'Control Panel'!$D$24:$D$27,0),MATCH(H$6,'Control Panel'!$H$23:$L$23,0))*INDEX('Control Panel'!$E$29:$E$32,MATCH($D22,'Control Panel'!$D$29:$D$32,0))/'Control Panel'!$E$5</f>
        <v>0</v>
      </c>
      <c r="I22" s="8">
        <f>-INDEX('Control Panel'!$F$24:$F$27,MATCH($D12,'Control Panel'!$D$24:$D$27,0))*INDEX('Control Panel'!$H$24:$L$27,MATCH($D12,'Control Panel'!$D$24:$D$27,0),MATCH(I$6,'Control Panel'!$H$23:$L$23,0))*INDEX('Control Panel'!$E$29:$E$32,MATCH($D22,'Control Panel'!$D$29:$D$32,0))/'Control Panel'!$E$5</f>
        <v>0</v>
      </c>
      <c r="J22" s="8">
        <f>-INDEX('Control Panel'!$F$24:$F$27,MATCH($D12,'Control Panel'!$D$24:$D$27,0))*INDEX('Control Panel'!$H$24:$L$27,MATCH($D12,'Control Panel'!$D$24:$D$27,0),MATCH(J$6,'Control Panel'!$H$23:$L$23,0))*INDEX('Control Panel'!$E$29:$E$32,MATCH($D22,'Control Panel'!$D$29:$D$32,0))/'Control Panel'!$E$5</f>
        <v>0</v>
      </c>
      <c r="K22" s="8">
        <f>-INDEX('Control Panel'!$F$24:$F$27,MATCH($D12,'Control Panel'!$D$24:$D$27,0))*INDEX('Control Panel'!$H$24:$L$27,MATCH($D12,'Control Panel'!$D$24:$D$27,0),MATCH(K$6,'Control Panel'!$H$23:$L$23,0))*INDEX('Control Panel'!$E$29:$E$32,MATCH($D22,'Control Panel'!$D$29:$D$32,0))/'Control Panel'!$E$5</f>
        <v>0</v>
      </c>
      <c r="L22" s="8">
        <f>-INDEX('Control Panel'!$F$24:$F$27,MATCH($D12,'Control Panel'!$D$24:$D$27,0))*INDEX('Control Panel'!$H$24:$L$27,MATCH($D12,'Control Panel'!$D$24:$D$27,0),MATCH(L$6,'Control Panel'!$H$23:$L$23,0))*INDEX('Control Panel'!$E$29:$E$32,MATCH($D22,'Control Panel'!$D$29:$D$32,0))/'Control Panel'!$E$5</f>
        <v>0</v>
      </c>
      <c r="M22" s="8">
        <f>-INDEX('Control Panel'!$F$24:$F$27,MATCH($D12,'Control Panel'!$D$24:$D$27,0))*INDEX('Control Panel'!$H$24:$L$27,MATCH($D12,'Control Panel'!$D$24:$D$27,0),MATCH(M$6,'Control Panel'!$H$23:$L$23,0))*INDEX('Control Panel'!$E$29:$E$32,MATCH($D22,'Control Panel'!$D$29:$D$32,0))/'Control Panel'!$E$5</f>
        <v>0</v>
      </c>
      <c r="N22" s="8">
        <f>-INDEX('Control Panel'!$F$24:$F$27,MATCH($D12,'Control Panel'!$D$24:$D$27,0))*INDEX('Control Panel'!$H$24:$L$27,MATCH($D12,'Control Panel'!$D$24:$D$27,0),MATCH(N$6,'Control Panel'!$H$23:$L$23,0))*INDEX('Control Panel'!$E$29:$E$32,MATCH($D22,'Control Panel'!$D$29:$D$32,0))/'Control Panel'!$E$5</f>
        <v>0</v>
      </c>
      <c r="O22" s="8">
        <f>-INDEX('Control Panel'!$F$24:$F$27,MATCH($D12,'Control Panel'!$D$24:$D$27,0))*INDEX('Control Panel'!$H$24:$L$27,MATCH($D12,'Control Panel'!$D$24:$D$27,0),MATCH(O$6,'Control Panel'!$H$23:$L$23,0))*INDEX('Control Panel'!$E$29:$E$32,MATCH($D22,'Control Panel'!$D$29:$D$32,0))/'Control Panel'!$E$5</f>
        <v>0</v>
      </c>
      <c r="P22" s="8">
        <f>-INDEX('Control Panel'!$F$24:$F$27,MATCH($D12,'Control Panel'!$D$24:$D$27,0))*INDEX('Control Panel'!$H$24:$L$27,MATCH($D12,'Control Panel'!$D$24:$D$27,0),MATCH(P$6,'Control Panel'!$H$23:$L$23,0))*INDEX('Control Panel'!$E$29:$E$32,MATCH($D22,'Control Panel'!$D$29:$D$32,0))/'Control Panel'!$E$5</f>
        <v>0</v>
      </c>
      <c r="Q22" s="8">
        <f>-INDEX('Control Panel'!$F$24:$F$27,MATCH($D12,'Control Panel'!$D$24:$D$27,0))*INDEX('Control Panel'!$H$24:$L$27,MATCH($D12,'Control Panel'!$D$24:$D$27,0),MATCH(Q$6,'Control Panel'!$H$23:$L$23,0))*INDEX('Control Panel'!$E$29:$E$32,MATCH($D22,'Control Panel'!$D$29:$D$32,0))/'Control Panel'!$E$5</f>
        <v>0</v>
      </c>
      <c r="R22" s="8">
        <f>-INDEX('Control Panel'!$F$24:$F$27,MATCH($D12,'Control Panel'!$D$24:$D$27,0))*INDEX('Control Panel'!$H$24:$L$27,MATCH($D12,'Control Panel'!$D$24:$D$27,0),MATCH(R$6,'Control Panel'!$H$23:$L$23,0))*INDEX('Control Panel'!$E$29:$E$32,MATCH($D22,'Control Panel'!$D$29:$D$32,0))/'Control Panel'!$E$5</f>
        <v>0</v>
      </c>
      <c r="S22" s="8">
        <f>-INDEX('Control Panel'!$F$24:$F$27,MATCH($D12,'Control Panel'!$D$24:$D$27,0))*INDEX('Control Panel'!$H$24:$L$27,MATCH($D12,'Control Panel'!$D$24:$D$27,0),MATCH(S$6,'Control Panel'!$H$23:$L$23,0))*INDEX('Control Panel'!$E$29:$E$32,MATCH($D22,'Control Panel'!$D$29:$D$32,0))/'Control Panel'!$E$5</f>
        <v>0</v>
      </c>
      <c r="T22" s="8">
        <f>-INDEX('Control Panel'!$F$24:$F$27,MATCH($D12,'Control Panel'!$D$24:$D$27,0))*INDEX('Control Panel'!$H$24:$L$27,MATCH($D12,'Control Panel'!$D$24:$D$27,0),MATCH(T$6,'Control Panel'!$H$23:$L$23,0))*INDEX('Control Panel'!$E$29:$E$32,MATCH($D22,'Control Panel'!$D$29:$D$32,0))/'Control Panel'!$E$5</f>
        <v>0</v>
      </c>
      <c r="U22" s="8">
        <f>-INDEX('Control Panel'!$F$24:$F$27,MATCH($D12,'Control Panel'!$D$24:$D$27,0))*INDEX('Control Panel'!$H$24:$L$27,MATCH($D12,'Control Panel'!$D$24:$D$27,0),MATCH(U$6,'Control Panel'!$H$23:$L$23,0))*INDEX('Control Panel'!$E$29:$E$32,MATCH($D22,'Control Panel'!$D$29:$D$32,0))/'Control Panel'!$E$5</f>
        <v>0</v>
      </c>
      <c r="V22" s="8">
        <f>-INDEX('Control Panel'!$F$24:$F$27,MATCH($D12,'Control Panel'!$D$24:$D$27,0))*INDEX('Control Panel'!$H$24:$L$27,MATCH($D12,'Control Panel'!$D$24:$D$27,0),MATCH(V$6,'Control Panel'!$H$23:$L$23,0))*INDEX('Control Panel'!$E$29:$E$32,MATCH($D22,'Control Panel'!$D$29:$D$32,0))/'Control Panel'!$E$5</f>
        <v>0</v>
      </c>
      <c r="W22" s="8">
        <f>-INDEX('Control Panel'!$F$24:$F$27,MATCH($D12,'Control Panel'!$D$24:$D$27,0))*INDEX('Control Panel'!$H$24:$L$27,MATCH($D12,'Control Panel'!$D$24:$D$27,0),MATCH(W$6,'Control Panel'!$H$23:$L$23,0))*INDEX('Control Panel'!$E$29:$E$32,MATCH($D22,'Control Panel'!$D$29:$D$32,0))/'Control Panel'!$E$5</f>
        <v>0</v>
      </c>
      <c r="X22" s="8">
        <f>-INDEX('Control Panel'!$F$24:$F$27,MATCH($D12,'Control Panel'!$D$24:$D$27,0))*INDEX('Control Panel'!$H$24:$L$27,MATCH($D12,'Control Panel'!$D$24:$D$27,0),MATCH(X$6,'Control Panel'!$H$23:$L$23,0))*INDEX('Control Panel'!$E$29:$E$32,MATCH($D22,'Control Panel'!$D$29:$D$32,0))/'Control Panel'!$E$5</f>
        <v>0</v>
      </c>
      <c r="Y22" s="8">
        <f>-INDEX('Control Panel'!$F$24:$F$27,MATCH($D12,'Control Panel'!$D$24:$D$27,0))*INDEX('Control Panel'!$H$24:$L$27,MATCH($D12,'Control Panel'!$D$24:$D$27,0),MATCH(Y$6,'Control Panel'!$H$23:$L$23,0))*INDEX('Control Panel'!$E$29:$E$32,MATCH($D22,'Control Panel'!$D$29:$D$32,0))/'Control Panel'!$E$5</f>
        <v>0</v>
      </c>
      <c r="Z22" s="8">
        <f>-INDEX('Control Panel'!$F$24:$F$27,MATCH($D12,'Control Panel'!$D$24:$D$27,0))*INDEX('Control Panel'!$H$24:$L$27,MATCH($D12,'Control Panel'!$D$24:$D$27,0),MATCH(Z$6,'Control Panel'!$H$23:$L$23,0))*INDEX('Control Panel'!$E$29:$E$32,MATCH($D22,'Control Panel'!$D$29:$D$32,0))/'Control Panel'!$E$5</f>
        <v>0</v>
      </c>
      <c r="AA22" s="8">
        <f>-INDEX('Control Panel'!$F$24:$F$27,MATCH($D12,'Control Panel'!$D$24:$D$27,0))*INDEX('Control Panel'!$H$24:$L$27,MATCH($D12,'Control Panel'!$D$24:$D$27,0),MATCH(AA$6,'Control Panel'!$H$23:$L$23,0))*INDEX('Control Panel'!$E$29:$E$32,MATCH($D22,'Control Panel'!$D$29:$D$32,0))/'Control Panel'!$E$5</f>
        <v>0</v>
      </c>
      <c r="AB22" s="8">
        <f>-INDEX('Control Panel'!$F$24:$F$27,MATCH($D12,'Control Panel'!$D$24:$D$27,0))*INDEX('Control Panel'!$H$24:$L$27,MATCH($D12,'Control Panel'!$D$24:$D$27,0),MATCH(AB$6,'Control Panel'!$H$23:$L$23,0))*INDEX('Control Panel'!$E$29:$E$32,MATCH($D22,'Control Panel'!$D$29:$D$32,0))/'Control Panel'!$E$5</f>
        <v>0</v>
      </c>
      <c r="AC22" s="8">
        <f>-INDEX('Control Panel'!$F$24:$F$27,MATCH($D12,'Control Panel'!$D$24:$D$27,0))*INDEX('Control Panel'!$H$24:$L$27,MATCH($D12,'Control Panel'!$D$24:$D$27,0),MATCH(AC$6,'Control Panel'!$H$23:$L$23,0))*INDEX('Control Panel'!$E$29:$E$32,MATCH($D22,'Control Panel'!$D$29:$D$32,0))/'Control Panel'!$E$5</f>
        <v>0</v>
      </c>
      <c r="AD22" s="8">
        <f>-INDEX('Control Panel'!$F$24:$F$27,MATCH($D12,'Control Panel'!$D$24:$D$27,0))*INDEX('Control Panel'!$H$24:$L$27,MATCH($D12,'Control Panel'!$D$24:$D$27,0),MATCH(AD$6,'Control Panel'!$H$23:$L$23,0))*INDEX('Control Panel'!$E$29:$E$32,MATCH($D22,'Control Panel'!$D$29:$D$32,0))/'Control Panel'!$E$5</f>
        <v>0</v>
      </c>
      <c r="AE22" s="8">
        <f>-INDEX('Control Panel'!$F$24:$F$27,MATCH($D12,'Control Panel'!$D$24:$D$27,0))*INDEX('Control Panel'!$H$24:$L$27,MATCH($D12,'Control Panel'!$D$24:$D$27,0),MATCH(AE$6,'Control Panel'!$H$23:$L$23,0))*INDEX('Control Panel'!$E$29:$E$32,MATCH($D22,'Control Panel'!$D$29:$D$32,0))/'Control Panel'!$E$5</f>
        <v>0</v>
      </c>
      <c r="AF22" s="28"/>
      <c r="AG22"/>
      <c r="AH22" s="27"/>
      <c r="AI22" s="32" t="str">
        <f t="shared" si="2"/>
        <v>Event series sponsor servicing cost</v>
      </c>
      <c r="AJ22" s="8">
        <f t="shared" si="12"/>
        <v>0</v>
      </c>
      <c r="AK22" s="8">
        <f t="shared" si="12"/>
        <v>0</v>
      </c>
      <c r="AL22" s="8">
        <f t="shared" si="12"/>
        <v>0</v>
      </c>
      <c r="AM22" s="8">
        <f t="shared" si="12"/>
        <v>0</v>
      </c>
      <c r="AN22" s="8">
        <f t="shared" si="12"/>
        <v>0</v>
      </c>
      <c r="AO22" s="28"/>
    </row>
    <row r="23" spans="3:41" collapsed="1" x14ac:dyDescent="0.55000000000000004">
      <c r="C23" s="27"/>
      <c r="D23" s="32" t="str">
        <f>+'Control Panel'!D32</f>
        <v>Presenting partner servicing cost</v>
      </c>
      <c r="E23" s="63" t="s">
        <v>73</v>
      </c>
      <c r="F23" s="23">
        <v>1</v>
      </c>
      <c r="G23" s="8">
        <f>-INDEX('Control Panel'!$F$24:$F$27,MATCH($D13,'Control Panel'!$D$24:$D$27,0))*INDEX('Control Panel'!$H$24:$L$27,MATCH($D13,'Control Panel'!$D$24:$D$27,0),MATCH(G$6,'Control Panel'!$H$23:$L$23,0))*INDEX('Control Panel'!$E$29:$E$32,MATCH($D23,'Control Panel'!$D$29:$D$32,0))/'Control Panel'!$E$5</f>
        <v>0</v>
      </c>
      <c r="H23" s="8">
        <f>-INDEX('Control Panel'!$F$24:$F$27,MATCH($D13,'Control Panel'!$D$24:$D$27,0))*INDEX('Control Panel'!$H$24:$L$27,MATCH($D13,'Control Panel'!$D$24:$D$27,0),MATCH(H$6,'Control Panel'!$H$23:$L$23,0))*INDEX('Control Panel'!$E$29:$E$32,MATCH($D23,'Control Panel'!$D$29:$D$32,0))/'Control Panel'!$E$5</f>
        <v>0</v>
      </c>
      <c r="I23" s="8">
        <f>-INDEX('Control Panel'!$F$24:$F$27,MATCH($D13,'Control Panel'!$D$24:$D$27,0))*INDEX('Control Panel'!$H$24:$L$27,MATCH($D13,'Control Panel'!$D$24:$D$27,0),MATCH(I$6,'Control Panel'!$H$23:$L$23,0))*INDEX('Control Panel'!$E$29:$E$32,MATCH($D23,'Control Panel'!$D$29:$D$32,0))/'Control Panel'!$E$5</f>
        <v>0</v>
      </c>
      <c r="J23" s="8">
        <f>-INDEX('Control Panel'!$F$24:$F$27,MATCH($D13,'Control Panel'!$D$24:$D$27,0))*INDEX('Control Panel'!$H$24:$L$27,MATCH($D13,'Control Panel'!$D$24:$D$27,0),MATCH(J$6,'Control Panel'!$H$23:$L$23,0))*INDEX('Control Panel'!$E$29:$E$32,MATCH($D23,'Control Panel'!$D$29:$D$32,0))/'Control Panel'!$E$5</f>
        <v>0</v>
      </c>
      <c r="K23" s="8">
        <f>-INDEX('Control Panel'!$F$24:$F$27,MATCH($D13,'Control Panel'!$D$24:$D$27,0))*INDEX('Control Panel'!$H$24:$L$27,MATCH($D13,'Control Panel'!$D$24:$D$27,0),MATCH(K$6,'Control Panel'!$H$23:$L$23,0))*INDEX('Control Panel'!$E$29:$E$32,MATCH($D23,'Control Panel'!$D$29:$D$32,0))/'Control Panel'!$E$5</f>
        <v>0</v>
      </c>
      <c r="L23" s="8">
        <f>-INDEX('Control Panel'!$F$24:$F$27,MATCH($D13,'Control Panel'!$D$24:$D$27,0))*INDEX('Control Panel'!$H$24:$L$27,MATCH($D13,'Control Panel'!$D$24:$D$27,0),MATCH(L$6,'Control Panel'!$H$23:$L$23,0))*INDEX('Control Panel'!$E$29:$E$32,MATCH($D23,'Control Panel'!$D$29:$D$32,0))/'Control Panel'!$E$5</f>
        <v>-50</v>
      </c>
      <c r="M23" s="8">
        <f>-INDEX('Control Panel'!$F$24:$F$27,MATCH($D13,'Control Panel'!$D$24:$D$27,0))*INDEX('Control Panel'!$H$24:$L$27,MATCH($D13,'Control Panel'!$D$24:$D$27,0),MATCH(M$6,'Control Panel'!$H$23:$L$23,0))*INDEX('Control Panel'!$E$29:$E$32,MATCH($D23,'Control Panel'!$D$29:$D$32,0))/'Control Panel'!$E$5</f>
        <v>-50</v>
      </c>
      <c r="N23" s="8">
        <f>-INDEX('Control Panel'!$F$24:$F$27,MATCH($D13,'Control Panel'!$D$24:$D$27,0))*INDEX('Control Panel'!$H$24:$L$27,MATCH($D13,'Control Panel'!$D$24:$D$27,0),MATCH(N$6,'Control Panel'!$H$23:$L$23,0))*INDEX('Control Panel'!$E$29:$E$32,MATCH($D23,'Control Panel'!$D$29:$D$32,0))/'Control Panel'!$E$5</f>
        <v>-50</v>
      </c>
      <c r="O23" s="8">
        <f>-INDEX('Control Panel'!$F$24:$F$27,MATCH($D13,'Control Panel'!$D$24:$D$27,0))*INDEX('Control Panel'!$H$24:$L$27,MATCH($D13,'Control Panel'!$D$24:$D$27,0),MATCH(O$6,'Control Panel'!$H$23:$L$23,0))*INDEX('Control Panel'!$E$29:$E$32,MATCH($D23,'Control Panel'!$D$29:$D$32,0))/'Control Panel'!$E$5</f>
        <v>-50</v>
      </c>
      <c r="P23" s="8">
        <f>-INDEX('Control Panel'!$F$24:$F$27,MATCH($D13,'Control Panel'!$D$24:$D$27,0))*INDEX('Control Panel'!$H$24:$L$27,MATCH($D13,'Control Panel'!$D$24:$D$27,0),MATCH(P$6,'Control Panel'!$H$23:$L$23,0))*INDEX('Control Panel'!$E$29:$E$32,MATCH($D23,'Control Panel'!$D$29:$D$32,0))/'Control Panel'!$E$5</f>
        <v>-50</v>
      </c>
      <c r="Q23" s="8">
        <f>-INDEX('Control Panel'!$F$24:$F$27,MATCH($D13,'Control Panel'!$D$24:$D$27,0))*INDEX('Control Panel'!$H$24:$L$27,MATCH($D13,'Control Panel'!$D$24:$D$27,0),MATCH(Q$6,'Control Panel'!$H$23:$L$23,0))*INDEX('Control Panel'!$E$29:$E$32,MATCH($D23,'Control Panel'!$D$29:$D$32,0))/'Control Panel'!$E$5</f>
        <v>-50</v>
      </c>
      <c r="R23" s="8">
        <f>-INDEX('Control Panel'!$F$24:$F$27,MATCH($D13,'Control Panel'!$D$24:$D$27,0))*INDEX('Control Panel'!$H$24:$L$27,MATCH($D13,'Control Panel'!$D$24:$D$27,0),MATCH(R$6,'Control Panel'!$H$23:$L$23,0))*INDEX('Control Panel'!$E$29:$E$32,MATCH($D23,'Control Panel'!$D$29:$D$32,0))/'Control Panel'!$E$5</f>
        <v>-50</v>
      </c>
      <c r="S23" s="8">
        <f>-INDEX('Control Panel'!$F$24:$F$27,MATCH($D13,'Control Panel'!$D$24:$D$27,0))*INDEX('Control Panel'!$H$24:$L$27,MATCH($D13,'Control Panel'!$D$24:$D$27,0),MATCH(S$6,'Control Panel'!$H$23:$L$23,0))*INDEX('Control Panel'!$E$29:$E$32,MATCH($D23,'Control Panel'!$D$29:$D$32,0))/'Control Panel'!$E$5</f>
        <v>-50</v>
      </c>
      <c r="T23" s="8">
        <f>-INDEX('Control Panel'!$F$24:$F$27,MATCH($D13,'Control Panel'!$D$24:$D$27,0))*INDEX('Control Panel'!$H$24:$L$27,MATCH($D13,'Control Panel'!$D$24:$D$27,0),MATCH(T$6,'Control Panel'!$H$23:$L$23,0))*INDEX('Control Panel'!$E$29:$E$32,MATCH($D23,'Control Panel'!$D$29:$D$32,0))/'Control Panel'!$E$5</f>
        <v>-50</v>
      </c>
      <c r="U23" s="8">
        <f>-INDEX('Control Panel'!$F$24:$F$27,MATCH($D13,'Control Panel'!$D$24:$D$27,0))*INDEX('Control Panel'!$H$24:$L$27,MATCH($D13,'Control Panel'!$D$24:$D$27,0),MATCH(U$6,'Control Panel'!$H$23:$L$23,0))*INDEX('Control Panel'!$E$29:$E$32,MATCH($D23,'Control Panel'!$D$29:$D$32,0))/'Control Panel'!$E$5</f>
        <v>-50</v>
      </c>
      <c r="V23" s="8">
        <f>-INDEX('Control Panel'!$F$24:$F$27,MATCH($D13,'Control Panel'!$D$24:$D$27,0))*INDEX('Control Panel'!$H$24:$L$27,MATCH($D13,'Control Panel'!$D$24:$D$27,0),MATCH(V$6,'Control Panel'!$H$23:$L$23,0))*INDEX('Control Panel'!$E$29:$E$32,MATCH($D23,'Control Panel'!$D$29:$D$32,0))/'Control Panel'!$E$5</f>
        <v>-50</v>
      </c>
      <c r="W23" s="8">
        <f>-INDEX('Control Panel'!$F$24:$F$27,MATCH($D13,'Control Panel'!$D$24:$D$27,0))*INDEX('Control Panel'!$H$24:$L$27,MATCH($D13,'Control Panel'!$D$24:$D$27,0),MATCH(W$6,'Control Panel'!$H$23:$L$23,0))*INDEX('Control Panel'!$E$29:$E$32,MATCH($D23,'Control Panel'!$D$29:$D$32,0))/'Control Panel'!$E$5</f>
        <v>-50</v>
      </c>
      <c r="X23" s="8">
        <f>-INDEX('Control Panel'!$F$24:$F$27,MATCH($D13,'Control Panel'!$D$24:$D$27,0))*INDEX('Control Panel'!$H$24:$L$27,MATCH($D13,'Control Panel'!$D$24:$D$27,0),MATCH(X$6,'Control Panel'!$H$23:$L$23,0))*INDEX('Control Panel'!$E$29:$E$32,MATCH($D23,'Control Panel'!$D$29:$D$32,0))/'Control Panel'!$E$5</f>
        <v>-50</v>
      </c>
      <c r="Y23" s="8">
        <f>-INDEX('Control Panel'!$F$24:$F$27,MATCH($D13,'Control Panel'!$D$24:$D$27,0))*INDEX('Control Panel'!$H$24:$L$27,MATCH($D13,'Control Panel'!$D$24:$D$27,0),MATCH(Y$6,'Control Panel'!$H$23:$L$23,0))*INDEX('Control Panel'!$E$29:$E$32,MATCH($D23,'Control Panel'!$D$29:$D$32,0))/'Control Panel'!$E$5</f>
        <v>-50</v>
      </c>
      <c r="Z23" s="8">
        <f>-INDEX('Control Panel'!$F$24:$F$27,MATCH($D13,'Control Panel'!$D$24:$D$27,0))*INDEX('Control Panel'!$H$24:$L$27,MATCH($D13,'Control Panel'!$D$24:$D$27,0),MATCH(Z$6,'Control Panel'!$H$23:$L$23,0))*INDEX('Control Panel'!$E$29:$E$32,MATCH($D23,'Control Panel'!$D$29:$D$32,0))/'Control Panel'!$E$5</f>
        <v>-50</v>
      </c>
      <c r="AA23" s="8">
        <f>-INDEX('Control Panel'!$F$24:$F$27,MATCH($D13,'Control Panel'!$D$24:$D$27,0))*INDEX('Control Panel'!$H$24:$L$27,MATCH($D13,'Control Panel'!$D$24:$D$27,0),MATCH(AA$6,'Control Panel'!$H$23:$L$23,0))*INDEX('Control Panel'!$E$29:$E$32,MATCH($D23,'Control Panel'!$D$29:$D$32,0))/'Control Panel'!$E$5</f>
        <v>-50</v>
      </c>
      <c r="AB23" s="8">
        <f>-INDEX('Control Panel'!$F$24:$F$27,MATCH($D13,'Control Panel'!$D$24:$D$27,0))*INDEX('Control Panel'!$H$24:$L$27,MATCH($D13,'Control Panel'!$D$24:$D$27,0),MATCH(AB$6,'Control Panel'!$H$23:$L$23,0))*INDEX('Control Panel'!$E$29:$E$32,MATCH($D23,'Control Panel'!$D$29:$D$32,0))/'Control Panel'!$E$5</f>
        <v>-50</v>
      </c>
      <c r="AC23" s="8">
        <f>-INDEX('Control Panel'!$F$24:$F$27,MATCH($D13,'Control Panel'!$D$24:$D$27,0))*INDEX('Control Panel'!$H$24:$L$27,MATCH($D13,'Control Panel'!$D$24:$D$27,0),MATCH(AC$6,'Control Panel'!$H$23:$L$23,0))*INDEX('Control Panel'!$E$29:$E$32,MATCH($D23,'Control Panel'!$D$29:$D$32,0))/'Control Panel'!$E$5</f>
        <v>-50</v>
      </c>
      <c r="AD23" s="8">
        <f>-INDEX('Control Panel'!$F$24:$F$27,MATCH($D13,'Control Panel'!$D$24:$D$27,0))*INDEX('Control Panel'!$H$24:$L$27,MATCH($D13,'Control Panel'!$D$24:$D$27,0),MATCH(AD$6,'Control Panel'!$H$23:$L$23,0))*INDEX('Control Panel'!$E$29:$E$32,MATCH($D23,'Control Panel'!$D$29:$D$32,0))/'Control Panel'!$E$5</f>
        <v>-50</v>
      </c>
      <c r="AE23" s="8">
        <f>-INDEX('Control Panel'!$F$24:$F$27,MATCH($D13,'Control Panel'!$D$24:$D$27,0))*INDEX('Control Panel'!$H$24:$L$27,MATCH($D13,'Control Panel'!$D$24:$D$27,0),MATCH(AE$6,'Control Panel'!$H$23:$L$23,0))*INDEX('Control Panel'!$E$29:$E$32,MATCH($D23,'Control Panel'!$D$29:$D$32,0))/'Control Panel'!$E$5</f>
        <v>-50</v>
      </c>
      <c r="AF23" s="28"/>
      <c r="AG23"/>
      <c r="AH23" s="27"/>
      <c r="AI23" s="32" t="str">
        <f t="shared" si="2"/>
        <v>Presenting partner servicing cost</v>
      </c>
      <c r="AJ23" s="8">
        <f t="shared" si="12"/>
        <v>0</v>
      </c>
      <c r="AK23" s="8">
        <f t="shared" si="12"/>
        <v>-250</v>
      </c>
      <c r="AL23" s="8">
        <f t="shared" si="12"/>
        <v>-250</v>
      </c>
      <c r="AM23" s="8">
        <f t="shared" si="12"/>
        <v>-250</v>
      </c>
      <c r="AN23" s="8">
        <f t="shared" si="12"/>
        <v>-250</v>
      </c>
      <c r="AO23" s="28"/>
    </row>
    <row r="24" spans="3:41" x14ac:dyDescent="0.55000000000000004">
      <c r="C24" s="27"/>
      <c r="D24" s="32" t="s">
        <v>55</v>
      </c>
      <c r="E24" s="63">
        <v>0.5</v>
      </c>
      <c r="F24" s="23">
        <v>1</v>
      </c>
      <c r="G24" s="8">
        <f>-SUMPRODUCT('Control Panel'!$E$16:$G$16,'Control Panel'!$E$17:$G$17,'Control Panel'!$E$19:$G$19)</f>
        <v>-4000</v>
      </c>
      <c r="H24" s="8">
        <f>-SUMPRODUCT('Control Panel'!$E$16:$G$16,'Control Panel'!$E$17:$G$17,'Control Panel'!$E$19:$G$19)</f>
        <v>-4000</v>
      </c>
      <c r="I24" s="8">
        <f>-SUMPRODUCT('Control Panel'!$E$16:$G$16,'Control Panel'!$E$17:$G$17,'Control Panel'!$E$19:$G$19)</f>
        <v>-4000</v>
      </c>
      <c r="J24" s="8">
        <f>-SUMPRODUCT('Control Panel'!$E$16:$G$16,'Control Panel'!$E$17:$G$17,'Control Panel'!$E$19:$G$19)</f>
        <v>-4000</v>
      </c>
      <c r="K24" s="8">
        <f>-SUMPRODUCT('Control Panel'!$E$16:$G$16,'Control Panel'!$E$17:$G$17,'Control Panel'!$E$19:$G$19)</f>
        <v>-4000</v>
      </c>
      <c r="L24" s="8">
        <f>-SUMPRODUCT('Control Panel'!$E$16:$G$16,'Control Panel'!$E$17:$G$17,'Control Panel'!$E$19:$G$19)</f>
        <v>-4000</v>
      </c>
      <c r="M24" s="8">
        <f>-SUMPRODUCT('Control Panel'!$E$16:$G$16,'Control Panel'!$E$17:$G$17,'Control Panel'!$E$19:$G$19)</f>
        <v>-4000</v>
      </c>
      <c r="N24" s="8">
        <f>-SUMPRODUCT('Control Panel'!$E$16:$G$16,'Control Panel'!$E$17:$G$17,'Control Panel'!$E$19:$G$19)</f>
        <v>-4000</v>
      </c>
      <c r="O24" s="8">
        <f>-SUMPRODUCT('Control Panel'!$E$16:$G$16,'Control Panel'!$E$17:$G$17,'Control Panel'!$E$19:$G$19)</f>
        <v>-4000</v>
      </c>
      <c r="P24" s="8">
        <f>-SUMPRODUCT('Control Panel'!$E$16:$G$16,'Control Panel'!$E$17:$G$17,'Control Panel'!$E$19:$G$19)</f>
        <v>-4000</v>
      </c>
      <c r="Q24" s="8">
        <f>-SUMPRODUCT('Control Panel'!$E$16:$G$16,'Control Panel'!$E$17:$G$17,'Control Panel'!$E$19:$G$19)</f>
        <v>-4000</v>
      </c>
      <c r="R24" s="8">
        <f>-SUMPRODUCT('Control Panel'!$E$16:$G$16,'Control Panel'!$E$17:$G$17,'Control Panel'!$E$19:$G$19)</f>
        <v>-4000</v>
      </c>
      <c r="S24" s="8">
        <f>-SUMPRODUCT('Control Panel'!$E$16:$G$16,'Control Panel'!$E$17:$G$17,'Control Panel'!$E$19:$G$19)</f>
        <v>-4000</v>
      </c>
      <c r="T24" s="8">
        <f>-SUMPRODUCT('Control Panel'!$E$16:$G$16,'Control Panel'!$E$17:$G$17,'Control Panel'!$E$19:$G$19)</f>
        <v>-4000</v>
      </c>
      <c r="U24" s="8">
        <f>-SUMPRODUCT('Control Panel'!$E$16:$G$16,'Control Panel'!$E$17:$G$17,'Control Panel'!$E$19:$G$19)</f>
        <v>-4000</v>
      </c>
      <c r="V24" s="8">
        <f>-SUMPRODUCT('Control Panel'!$E$16:$G$16,'Control Panel'!$E$17:$G$17,'Control Panel'!$E$19:$G$19)</f>
        <v>-4000</v>
      </c>
      <c r="W24" s="8">
        <f>-SUMPRODUCT('Control Panel'!$E$16:$G$16,'Control Panel'!$E$17:$G$17,'Control Panel'!$E$19:$G$19)</f>
        <v>-4000</v>
      </c>
      <c r="X24" s="8">
        <f>-SUMPRODUCT('Control Panel'!$E$16:$G$16,'Control Panel'!$E$17:$G$17,'Control Panel'!$E$19:$G$19)</f>
        <v>-4000</v>
      </c>
      <c r="Y24" s="8">
        <f>-SUMPRODUCT('Control Panel'!$E$16:$G$16,'Control Panel'!$E$17:$G$17,'Control Panel'!$E$19:$G$19)</f>
        <v>-4000</v>
      </c>
      <c r="Z24" s="8">
        <f>-SUMPRODUCT('Control Panel'!$E$16:$G$16,'Control Panel'!$E$17:$G$17,'Control Panel'!$E$19:$G$19)</f>
        <v>-4000</v>
      </c>
      <c r="AA24" s="8">
        <f>-SUMPRODUCT('Control Panel'!$E$16:$G$16,'Control Panel'!$E$17:$G$17,'Control Panel'!$E$19:$G$19)</f>
        <v>-4000</v>
      </c>
      <c r="AB24" s="8">
        <f>-SUMPRODUCT('Control Panel'!$E$16:$G$16,'Control Panel'!$E$17:$G$17,'Control Panel'!$E$19:$G$19)</f>
        <v>-4000</v>
      </c>
      <c r="AC24" s="8">
        <f>-SUMPRODUCT('Control Panel'!$E$16:$G$16,'Control Panel'!$E$17:$G$17,'Control Panel'!$E$19:$G$19)</f>
        <v>-4000</v>
      </c>
      <c r="AD24" s="8">
        <f>-SUMPRODUCT('Control Panel'!$E$16:$G$16,'Control Panel'!$E$17:$G$17,'Control Panel'!$E$19:$G$19)</f>
        <v>-4000</v>
      </c>
      <c r="AE24" s="8">
        <f>-SUMPRODUCT('Control Panel'!$E$16:$G$16,'Control Panel'!$E$17:$G$17,'Control Panel'!$E$19:$G$19)</f>
        <v>-4000</v>
      </c>
      <c r="AF24" s="28"/>
      <c r="AG24"/>
      <c r="AH24" s="27"/>
      <c r="AI24" s="32" t="str">
        <f t="shared" si="2"/>
        <v>Event services</v>
      </c>
      <c r="AJ24" s="8">
        <f t="shared" si="12"/>
        <v>-20000</v>
      </c>
      <c r="AK24" s="8">
        <f t="shared" si="12"/>
        <v>-20000</v>
      </c>
      <c r="AL24" s="8">
        <f t="shared" si="12"/>
        <v>-20000</v>
      </c>
      <c r="AM24" s="8">
        <f t="shared" si="12"/>
        <v>-20000</v>
      </c>
      <c r="AN24" s="8">
        <f t="shared" si="12"/>
        <v>-20000</v>
      </c>
      <c r="AO24" s="28"/>
    </row>
    <row r="25" spans="3:41" x14ac:dyDescent="0.55000000000000004">
      <c r="C25" s="27"/>
      <c r="D25" s="32" t="s">
        <v>60</v>
      </c>
      <c r="E25" s="63">
        <v>1</v>
      </c>
      <c r="F25" s="23">
        <v>1</v>
      </c>
      <c r="G25" s="8">
        <f>-'Control Panel'!$E$7*SUM('Control Panel'!$E$16:$G$16)</f>
        <v>-1500</v>
      </c>
      <c r="H25" s="8">
        <f>-'Control Panel'!$E$7*SUM('Control Panel'!$E$16:$G$16)</f>
        <v>-1500</v>
      </c>
      <c r="I25" s="8">
        <f>-'Control Panel'!$E$7*SUM('Control Panel'!$E$16:$G$16)</f>
        <v>-1500</v>
      </c>
      <c r="J25" s="8">
        <f>-'Control Panel'!$E$7*SUM('Control Panel'!$E$16:$G$16)</f>
        <v>-1500</v>
      </c>
      <c r="K25" s="8">
        <f>-'Control Panel'!$E$7*SUM('Control Panel'!$E$16:$G$16)</f>
        <v>-1500</v>
      </c>
      <c r="L25" s="8">
        <f>-'Control Panel'!$E$7*SUM('Control Panel'!$E$16:$G$16)</f>
        <v>-1500</v>
      </c>
      <c r="M25" s="8">
        <f>-'Control Panel'!$E$7*SUM('Control Panel'!$E$16:$G$16)</f>
        <v>-1500</v>
      </c>
      <c r="N25" s="8">
        <f>-'Control Panel'!$E$7*SUM('Control Panel'!$E$16:$G$16)</f>
        <v>-1500</v>
      </c>
      <c r="O25" s="8">
        <f>-'Control Panel'!$E$7*SUM('Control Panel'!$E$16:$G$16)</f>
        <v>-1500</v>
      </c>
      <c r="P25" s="8">
        <f>-'Control Panel'!$E$7*SUM('Control Panel'!$E$16:$G$16)</f>
        <v>-1500</v>
      </c>
      <c r="Q25" s="8">
        <f>-'Control Panel'!$E$7*SUM('Control Panel'!$E$16:$G$16)</f>
        <v>-1500</v>
      </c>
      <c r="R25" s="8">
        <f>-'Control Panel'!$E$7*SUM('Control Panel'!$E$16:$G$16)</f>
        <v>-1500</v>
      </c>
      <c r="S25" s="8">
        <f>-'Control Panel'!$E$7*SUM('Control Panel'!$E$16:$G$16)</f>
        <v>-1500</v>
      </c>
      <c r="T25" s="8">
        <f>-'Control Panel'!$E$7*SUM('Control Panel'!$E$16:$G$16)</f>
        <v>-1500</v>
      </c>
      <c r="U25" s="8">
        <f>-'Control Panel'!$E$7*SUM('Control Panel'!$E$16:$G$16)</f>
        <v>-1500</v>
      </c>
      <c r="V25" s="8">
        <f>-'Control Panel'!$E$7*SUM('Control Panel'!$E$16:$G$16)</f>
        <v>-1500</v>
      </c>
      <c r="W25" s="8">
        <f>-'Control Panel'!$E$7*SUM('Control Panel'!$E$16:$G$16)</f>
        <v>-1500</v>
      </c>
      <c r="X25" s="8">
        <f>-'Control Panel'!$E$7*SUM('Control Panel'!$E$16:$G$16)</f>
        <v>-1500</v>
      </c>
      <c r="Y25" s="8">
        <f>-'Control Panel'!$E$7*SUM('Control Panel'!$E$16:$G$16)</f>
        <v>-1500</v>
      </c>
      <c r="Z25" s="8">
        <f>-'Control Panel'!$E$7*SUM('Control Panel'!$E$16:$G$16)</f>
        <v>-1500</v>
      </c>
      <c r="AA25" s="8">
        <f>-'Control Panel'!$E$7*SUM('Control Panel'!$E$16:$G$16)</f>
        <v>-1500</v>
      </c>
      <c r="AB25" s="8">
        <f>-'Control Panel'!$E$7*SUM('Control Panel'!$E$16:$G$16)</f>
        <v>-1500</v>
      </c>
      <c r="AC25" s="8">
        <f>-'Control Panel'!$E$7*SUM('Control Panel'!$E$16:$G$16)</f>
        <v>-1500</v>
      </c>
      <c r="AD25" s="8">
        <f>-'Control Panel'!$E$7*SUM('Control Panel'!$E$16:$G$16)</f>
        <v>-1500</v>
      </c>
      <c r="AE25" s="8">
        <f>-'Control Panel'!$E$7*SUM('Control Panel'!$E$16:$G$16)</f>
        <v>-1500</v>
      </c>
      <c r="AF25" s="28"/>
      <c r="AG25"/>
      <c r="AH25" s="27"/>
      <c r="AI25" s="32" t="str">
        <f t="shared" si="2"/>
        <v>Photo/videography</v>
      </c>
      <c r="AJ25" s="8">
        <f t="shared" si="12"/>
        <v>-7500</v>
      </c>
      <c r="AK25" s="8">
        <f t="shared" si="12"/>
        <v>-7500</v>
      </c>
      <c r="AL25" s="8">
        <f t="shared" si="12"/>
        <v>-7500</v>
      </c>
      <c r="AM25" s="8">
        <f t="shared" si="12"/>
        <v>-7500</v>
      </c>
      <c r="AN25" s="8">
        <f t="shared" si="12"/>
        <v>-7500</v>
      </c>
      <c r="AO25" s="28"/>
    </row>
    <row r="26" spans="3:41" x14ac:dyDescent="0.55000000000000004">
      <c r="C26" s="27"/>
      <c r="D26" s="32" t="s">
        <v>57</v>
      </c>
      <c r="E26" s="63">
        <v>-0.25</v>
      </c>
      <c r="F26" s="23">
        <v>1</v>
      </c>
      <c r="G26" s="8">
        <f>-SUMPRODUCT('Control Panel'!$E$16:$G$16,'Control Panel'!$E$20:$G$20)</f>
        <v>-1900</v>
      </c>
      <c r="H26" s="8">
        <f>-SUMPRODUCT('Control Panel'!$E$16:$G$16,'Control Panel'!$E$20:$G$20)</f>
        <v>-1900</v>
      </c>
      <c r="I26" s="8">
        <f>-SUMPRODUCT('Control Panel'!$E$16:$G$16,'Control Panel'!$E$20:$G$20)</f>
        <v>-1900</v>
      </c>
      <c r="J26" s="8">
        <f>-SUMPRODUCT('Control Panel'!$E$16:$G$16,'Control Panel'!$E$20:$G$20)</f>
        <v>-1900</v>
      </c>
      <c r="K26" s="8">
        <f>-SUMPRODUCT('Control Panel'!$E$16:$G$16,'Control Panel'!$E$20:$G$20)</f>
        <v>-1900</v>
      </c>
      <c r="L26" s="8">
        <f>-SUMPRODUCT('Control Panel'!$E$16:$G$16,'Control Panel'!$E$20:$G$20)</f>
        <v>-1900</v>
      </c>
      <c r="M26" s="8">
        <f>-SUMPRODUCT('Control Panel'!$E$16:$G$16,'Control Panel'!$E$20:$G$20)</f>
        <v>-1900</v>
      </c>
      <c r="N26" s="8">
        <f>-SUMPRODUCT('Control Panel'!$E$16:$G$16,'Control Panel'!$E$20:$G$20)</f>
        <v>-1900</v>
      </c>
      <c r="O26" s="8">
        <f>-SUMPRODUCT('Control Panel'!$E$16:$G$16,'Control Panel'!$E$20:$G$20)</f>
        <v>-1900</v>
      </c>
      <c r="P26" s="8">
        <f>-SUMPRODUCT('Control Panel'!$E$16:$G$16,'Control Panel'!$E$20:$G$20)</f>
        <v>-1900</v>
      </c>
      <c r="Q26" s="8">
        <f>-SUMPRODUCT('Control Panel'!$E$16:$G$16,'Control Panel'!$E$20:$G$20)</f>
        <v>-1900</v>
      </c>
      <c r="R26" s="8">
        <f>-SUMPRODUCT('Control Panel'!$E$16:$G$16,'Control Panel'!$E$20:$G$20)</f>
        <v>-1900</v>
      </c>
      <c r="S26" s="8">
        <f>-SUMPRODUCT('Control Panel'!$E$16:$G$16,'Control Panel'!$E$20:$G$20)</f>
        <v>-1900</v>
      </c>
      <c r="T26" s="8">
        <f>-SUMPRODUCT('Control Panel'!$E$16:$G$16,'Control Panel'!$E$20:$G$20)</f>
        <v>-1900</v>
      </c>
      <c r="U26" s="8">
        <f>-SUMPRODUCT('Control Panel'!$E$16:$G$16,'Control Panel'!$E$20:$G$20)</f>
        <v>-1900</v>
      </c>
      <c r="V26" s="8">
        <f>-SUMPRODUCT('Control Panel'!$E$16:$G$16,'Control Panel'!$E$20:$G$20)</f>
        <v>-1900</v>
      </c>
      <c r="W26" s="8">
        <f>-SUMPRODUCT('Control Panel'!$E$16:$G$16,'Control Panel'!$E$20:$G$20)</f>
        <v>-1900</v>
      </c>
      <c r="X26" s="8">
        <f>-SUMPRODUCT('Control Panel'!$E$16:$G$16,'Control Panel'!$E$20:$G$20)</f>
        <v>-1900</v>
      </c>
      <c r="Y26" s="8">
        <f>-SUMPRODUCT('Control Panel'!$E$16:$G$16,'Control Panel'!$E$20:$G$20)</f>
        <v>-1900</v>
      </c>
      <c r="Z26" s="8">
        <f>-SUMPRODUCT('Control Panel'!$E$16:$G$16,'Control Panel'!$E$20:$G$20)</f>
        <v>-1900</v>
      </c>
      <c r="AA26" s="8">
        <f>-SUMPRODUCT('Control Panel'!$E$16:$G$16,'Control Panel'!$E$20:$G$20)</f>
        <v>-1900</v>
      </c>
      <c r="AB26" s="8">
        <f>-SUMPRODUCT('Control Panel'!$E$16:$G$16,'Control Panel'!$E$20:$G$20)</f>
        <v>-1900</v>
      </c>
      <c r="AC26" s="8">
        <f>-SUMPRODUCT('Control Panel'!$E$16:$G$16,'Control Panel'!$E$20:$G$20)</f>
        <v>-1900</v>
      </c>
      <c r="AD26" s="8">
        <f>-SUMPRODUCT('Control Panel'!$E$16:$G$16,'Control Panel'!$E$20:$G$20)</f>
        <v>-1900</v>
      </c>
      <c r="AE26" s="8">
        <f>-SUMPRODUCT('Control Panel'!$E$16:$G$16,'Control Panel'!$E$20:$G$20)</f>
        <v>-1900</v>
      </c>
      <c r="AF26" s="28"/>
      <c r="AG26"/>
      <c r="AH26" s="27"/>
      <c r="AI26" s="32" t="str">
        <f t="shared" si="2"/>
        <v>Venue rental/activation</v>
      </c>
      <c r="AJ26" s="8">
        <f t="shared" si="12"/>
        <v>-9500</v>
      </c>
      <c r="AK26" s="8">
        <f t="shared" si="12"/>
        <v>-9500</v>
      </c>
      <c r="AL26" s="8">
        <f t="shared" si="12"/>
        <v>-9500</v>
      </c>
      <c r="AM26" s="8">
        <f t="shared" si="12"/>
        <v>-9500</v>
      </c>
      <c r="AN26" s="8">
        <f t="shared" si="12"/>
        <v>-9500</v>
      </c>
      <c r="AO26" s="28"/>
    </row>
    <row r="27" spans="3:41" s="5" customFormat="1" x14ac:dyDescent="0.55000000000000004">
      <c r="C27" s="33"/>
      <c r="D27" s="5" t="s">
        <v>58</v>
      </c>
      <c r="G27" s="12">
        <f t="shared" ref="G27:AE27" si="13">+SUM(G20:G26)</f>
        <v>-7400</v>
      </c>
      <c r="H27" s="12">
        <f t="shared" si="13"/>
        <v>-7400</v>
      </c>
      <c r="I27" s="12">
        <f t="shared" si="13"/>
        <v>-7400</v>
      </c>
      <c r="J27" s="12">
        <f t="shared" si="13"/>
        <v>-7400</v>
      </c>
      <c r="K27" s="12">
        <f t="shared" si="13"/>
        <v>-7400</v>
      </c>
      <c r="L27" s="12">
        <f t="shared" si="13"/>
        <v>-7450</v>
      </c>
      <c r="M27" s="12">
        <f t="shared" si="13"/>
        <v>-7450</v>
      </c>
      <c r="N27" s="12">
        <f t="shared" si="13"/>
        <v>-7450</v>
      </c>
      <c r="O27" s="12">
        <f t="shared" si="13"/>
        <v>-7450</v>
      </c>
      <c r="P27" s="12">
        <f t="shared" si="13"/>
        <v>-7450</v>
      </c>
      <c r="Q27" s="12">
        <f t="shared" si="13"/>
        <v>-7450</v>
      </c>
      <c r="R27" s="12">
        <f t="shared" si="13"/>
        <v>-7450</v>
      </c>
      <c r="S27" s="12">
        <f t="shared" si="13"/>
        <v>-7450</v>
      </c>
      <c r="T27" s="12">
        <f t="shared" si="13"/>
        <v>-7450</v>
      </c>
      <c r="U27" s="12">
        <f t="shared" si="13"/>
        <v>-7450</v>
      </c>
      <c r="V27" s="12">
        <f t="shared" si="13"/>
        <v>-7450</v>
      </c>
      <c r="W27" s="12">
        <f t="shared" si="13"/>
        <v>-7450</v>
      </c>
      <c r="X27" s="12">
        <f t="shared" si="13"/>
        <v>-7450</v>
      </c>
      <c r="Y27" s="12">
        <f t="shared" si="13"/>
        <v>-7450</v>
      </c>
      <c r="Z27" s="12">
        <f t="shared" si="13"/>
        <v>-7450</v>
      </c>
      <c r="AA27" s="12">
        <f t="shared" si="13"/>
        <v>-7450</v>
      </c>
      <c r="AB27" s="12">
        <f t="shared" si="13"/>
        <v>-7450</v>
      </c>
      <c r="AC27" s="12">
        <f t="shared" si="13"/>
        <v>-7450</v>
      </c>
      <c r="AD27" s="12">
        <f t="shared" si="13"/>
        <v>-7450</v>
      </c>
      <c r="AE27" s="12">
        <f t="shared" si="13"/>
        <v>-7450</v>
      </c>
      <c r="AF27" s="34"/>
      <c r="AH27" s="33"/>
      <c r="AI27" s="5" t="str">
        <f t="shared" si="2"/>
        <v>Total costs of goods sold</v>
      </c>
      <c r="AJ27" s="12">
        <f t="shared" ref="AJ27:AN27" si="14">+SUM(AJ20:AJ26)</f>
        <v>-37000</v>
      </c>
      <c r="AK27" s="12">
        <f t="shared" si="14"/>
        <v>-37250</v>
      </c>
      <c r="AL27" s="12">
        <f t="shared" si="14"/>
        <v>-37250</v>
      </c>
      <c r="AM27" s="12">
        <f t="shared" si="14"/>
        <v>-37250</v>
      </c>
      <c r="AN27" s="12">
        <f t="shared" si="14"/>
        <v>-37250</v>
      </c>
      <c r="AO27" s="34"/>
    </row>
    <row r="28" spans="3:41" x14ac:dyDescent="0.55000000000000004">
      <c r="C28" s="27"/>
      <c r="D28" s="6" t="s">
        <v>9</v>
      </c>
      <c r="E28" s="6"/>
      <c r="F28" s="6"/>
      <c r="G28" s="7">
        <f t="shared" ref="G28:AE28" si="15">+G19+G27</f>
        <v>1436</v>
      </c>
      <c r="H28" s="7">
        <f t="shared" si="15"/>
        <v>1436</v>
      </c>
      <c r="I28" s="7">
        <f t="shared" si="15"/>
        <v>1436</v>
      </c>
      <c r="J28" s="7">
        <f t="shared" si="15"/>
        <v>1436</v>
      </c>
      <c r="K28" s="7">
        <f t="shared" si="15"/>
        <v>1436</v>
      </c>
      <c r="L28" s="7">
        <f t="shared" si="15"/>
        <v>3659.75</v>
      </c>
      <c r="M28" s="7">
        <f t="shared" si="15"/>
        <v>3659.75</v>
      </c>
      <c r="N28" s="7">
        <f t="shared" si="15"/>
        <v>3659.75</v>
      </c>
      <c r="O28" s="7">
        <f t="shared" si="15"/>
        <v>3659.75</v>
      </c>
      <c r="P28" s="7">
        <f t="shared" si="15"/>
        <v>3659.75</v>
      </c>
      <c r="Q28" s="7">
        <f t="shared" si="15"/>
        <v>4852.7999999999993</v>
      </c>
      <c r="R28" s="7">
        <f t="shared" si="15"/>
        <v>4852.7999999999993</v>
      </c>
      <c r="S28" s="7">
        <f t="shared" si="15"/>
        <v>4852.7999999999993</v>
      </c>
      <c r="T28" s="7">
        <f t="shared" si="15"/>
        <v>4852.7999999999993</v>
      </c>
      <c r="U28" s="7">
        <f t="shared" si="15"/>
        <v>4852.7999999999993</v>
      </c>
      <c r="V28" s="7">
        <f t="shared" si="15"/>
        <v>5961.3700000000026</v>
      </c>
      <c r="W28" s="7">
        <f t="shared" si="15"/>
        <v>5961.3700000000026</v>
      </c>
      <c r="X28" s="7">
        <f t="shared" si="15"/>
        <v>5961.3700000000026</v>
      </c>
      <c r="Y28" s="7">
        <f t="shared" si="15"/>
        <v>5961.3700000000026</v>
      </c>
      <c r="Z28" s="7">
        <f t="shared" si="15"/>
        <v>5961.3700000000026</v>
      </c>
      <c r="AA28" s="7">
        <f t="shared" si="15"/>
        <v>7342.0500000000029</v>
      </c>
      <c r="AB28" s="7">
        <f t="shared" si="15"/>
        <v>7342.0500000000029</v>
      </c>
      <c r="AC28" s="7">
        <f t="shared" si="15"/>
        <v>7342.0500000000029</v>
      </c>
      <c r="AD28" s="7">
        <f t="shared" si="15"/>
        <v>7342.0500000000029</v>
      </c>
      <c r="AE28" s="7">
        <f t="shared" si="15"/>
        <v>7342.0500000000029</v>
      </c>
      <c r="AF28" s="28"/>
      <c r="AG28"/>
      <c r="AH28" s="27"/>
      <c r="AI28" s="6" t="str">
        <f t="shared" si="2"/>
        <v>Gross profit</v>
      </c>
      <c r="AJ28" s="7">
        <f t="shared" ref="AJ28:AN28" si="16">+AJ19+AJ27</f>
        <v>7180</v>
      </c>
      <c r="AK28" s="7">
        <f t="shared" si="16"/>
        <v>18298.75</v>
      </c>
      <c r="AL28" s="7">
        <f t="shared" si="16"/>
        <v>24264</v>
      </c>
      <c r="AM28" s="7">
        <f t="shared" si="16"/>
        <v>29806.850000000006</v>
      </c>
      <c r="AN28" s="7">
        <f t="shared" si="16"/>
        <v>36710.250000000015</v>
      </c>
      <c r="AO28" s="28"/>
    </row>
    <row r="29" spans="3:41" s="4" customFormat="1" x14ac:dyDescent="0.55000000000000004">
      <c r="C29" s="35"/>
      <c r="D29" s="16" t="s">
        <v>10</v>
      </c>
      <c r="E29" s="16"/>
      <c r="F29" s="16"/>
      <c r="G29" s="36">
        <f t="shared" ref="G29:AE29" si="17">+G28/G$19</f>
        <v>0.1625169760072431</v>
      </c>
      <c r="H29" s="36">
        <f t="shared" si="17"/>
        <v>0.1625169760072431</v>
      </c>
      <c r="I29" s="36">
        <f t="shared" si="17"/>
        <v>0.1625169760072431</v>
      </c>
      <c r="J29" s="36">
        <f t="shared" si="17"/>
        <v>0.1625169760072431</v>
      </c>
      <c r="K29" s="36">
        <f t="shared" si="17"/>
        <v>0.1625169760072431</v>
      </c>
      <c r="L29" s="36">
        <f t="shared" si="17"/>
        <v>0.32941785368707666</v>
      </c>
      <c r="M29" s="36">
        <f t="shared" si="17"/>
        <v>0.32941785368707666</v>
      </c>
      <c r="N29" s="36">
        <f t="shared" si="17"/>
        <v>0.32941785368707666</v>
      </c>
      <c r="O29" s="36">
        <f t="shared" si="17"/>
        <v>0.32941785368707666</v>
      </c>
      <c r="P29" s="36">
        <f t="shared" si="17"/>
        <v>0.32941785368707666</v>
      </c>
      <c r="Q29" s="36">
        <f t="shared" si="17"/>
        <v>0.39444679260005849</v>
      </c>
      <c r="R29" s="36">
        <f t="shared" si="17"/>
        <v>0.39444679260005849</v>
      </c>
      <c r="S29" s="36">
        <f t="shared" si="17"/>
        <v>0.39444679260005849</v>
      </c>
      <c r="T29" s="36">
        <f t="shared" si="17"/>
        <v>0.39444679260005849</v>
      </c>
      <c r="U29" s="36">
        <f t="shared" si="17"/>
        <v>0.39444679260005849</v>
      </c>
      <c r="V29" s="36">
        <f t="shared" si="17"/>
        <v>0.44450119562729246</v>
      </c>
      <c r="W29" s="36">
        <f t="shared" si="17"/>
        <v>0.44450119562729246</v>
      </c>
      <c r="X29" s="36">
        <f t="shared" si="17"/>
        <v>0.44450119562729246</v>
      </c>
      <c r="Y29" s="36">
        <f t="shared" si="17"/>
        <v>0.44450119562729246</v>
      </c>
      <c r="Z29" s="36">
        <f t="shared" si="17"/>
        <v>0.44450119562729246</v>
      </c>
      <c r="AA29" s="36">
        <f t="shared" si="17"/>
        <v>0.4963510804790412</v>
      </c>
      <c r="AB29" s="36">
        <f t="shared" si="17"/>
        <v>0.4963510804790412</v>
      </c>
      <c r="AC29" s="36">
        <f t="shared" si="17"/>
        <v>0.4963510804790412</v>
      </c>
      <c r="AD29" s="36">
        <f t="shared" si="17"/>
        <v>0.4963510804790412</v>
      </c>
      <c r="AE29" s="36">
        <f t="shared" si="17"/>
        <v>0.4963510804790412</v>
      </c>
      <c r="AF29" s="37"/>
      <c r="AH29" s="35"/>
      <c r="AI29" s="16" t="str">
        <f t="shared" si="2"/>
        <v>Gross margin</v>
      </c>
      <c r="AJ29" s="36">
        <f>+AJ28/AJ$19</f>
        <v>0.1625169760072431</v>
      </c>
      <c r="AK29" s="36">
        <f>+AK28/AK$19</f>
        <v>0.32941785368707666</v>
      </c>
      <c r="AL29" s="36">
        <f>+AL28/AL$19</f>
        <v>0.39444679260005855</v>
      </c>
      <c r="AM29" s="36">
        <f>+AM28/AM$19</f>
        <v>0.4445011956272924</v>
      </c>
      <c r="AN29" s="36">
        <f>+AN28/AN$19</f>
        <v>0.4963510804790412</v>
      </c>
      <c r="AO29" s="37"/>
    </row>
    <row r="30" spans="3:41" x14ac:dyDescent="0.55000000000000004">
      <c r="C30" s="27"/>
      <c r="D30" t="s">
        <v>61</v>
      </c>
      <c r="E30" s="63">
        <v>1</v>
      </c>
      <c r="F30" s="23">
        <v>1</v>
      </c>
      <c r="G30" s="8">
        <f>-'Control Panel'!$E$6</f>
        <v>-2100</v>
      </c>
      <c r="H30" s="8">
        <f>-'Control Panel'!$E$6</f>
        <v>-2100</v>
      </c>
      <c r="I30" s="8">
        <f>-'Control Panel'!$E$6</f>
        <v>-2100</v>
      </c>
      <c r="J30" s="8">
        <f>-'Control Panel'!$E$6</f>
        <v>-2100</v>
      </c>
      <c r="K30" s="8">
        <f>-'Control Panel'!$E$6</f>
        <v>-2100</v>
      </c>
      <c r="L30" s="8">
        <f>-'Control Panel'!$E$6</f>
        <v>-2100</v>
      </c>
      <c r="M30" s="8">
        <f>-'Control Panel'!$E$6</f>
        <v>-2100</v>
      </c>
      <c r="N30" s="8">
        <f>-'Control Panel'!$E$6</f>
        <v>-2100</v>
      </c>
      <c r="O30" s="8">
        <f>-'Control Panel'!$E$6</f>
        <v>-2100</v>
      </c>
      <c r="P30" s="8">
        <f>-'Control Panel'!$E$6</f>
        <v>-2100</v>
      </c>
      <c r="Q30" s="8">
        <f>-'Control Panel'!$E$6</f>
        <v>-2100</v>
      </c>
      <c r="R30" s="8">
        <f>-'Control Panel'!$E$6</f>
        <v>-2100</v>
      </c>
      <c r="S30" s="8">
        <f>-'Control Panel'!$E$6</f>
        <v>-2100</v>
      </c>
      <c r="T30" s="8">
        <f>-'Control Panel'!$E$6</f>
        <v>-2100</v>
      </c>
      <c r="U30" s="8">
        <f>-'Control Panel'!$E$6</f>
        <v>-2100</v>
      </c>
      <c r="V30" s="8">
        <f>-'Control Panel'!$E$6</f>
        <v>-2100</v>
      </c>
      <c r="W30" s="8">
        <f>-'Control Panel'!$E$6</f>
        <v>-2100</v>
      </c>
      <c r="X30" s="8">
        <f>-'Control Panel'!$E$6</f>
        <v>-2100</v>
      </c>
      <c r="Y30" s="8">
        <f>-'Control Panel'!$E$6</f>
        <v>-2100</v>
      </c>
      <c r="Z30" s="8">
        <f>-'Control Panel'!$E$6</f>
        <v>-2100</v>
      </c>
      <c r="AA30" s="8">
        <f>-'Control Panel'!$E$6</f>
        <v>-2100</v>
      </c>
      <c r="AB30" s="8">
        <f>-'Control Panel'!$E$6</f>
        <v>-2100</v>
      </c>
      <c r="AC30" s="8">
        <f>-'Control Panel'!$E$6</f>
        <v>-2100</v>
      </c>
      <c r="AD30" s="8">
        <f>-'Control Panel'!$E$6</f>
        <v>-2100</v>
      </c>
      <c r="AE30" s="8">
        <f>-'Control Panel'!$E$6</f>
        <v>-2100</v>
      </c>
      <c r="AF30" s="28"/>
      <c r="AG30"/>
      <c r="AH30" s="27"/>
      <c r="AI30" t="str">
        <f t="shared" si="2"/>
        <v>Social media manager retainer</v>
      </c>
      <c r="AJ30" s="8">
        <f t="shared" ref="AJ30:AN32" si="18">+SUMIFS($G30:$AE30,$G$6:$AE$6,AJ$6)</f>
        <v>-10500</v>
      </c>
      <c r="AK30" s="8">
        <f t="shared" si="18"/>
        <v>-10500</v>
      </c>
      <c r="AL30" s="8">
        <f t="shared" si="18"/>
        <v>-10500</v>
      </c>
      <c r="AM30" s="8">
        <f t="shared" si="18"/>
        <v>-10500</v>
      </c>
      <c r="AN30" s="8">
        <f t="shared" si="18"/>
        <v>-10500</v>
      </c>
      <c r="AO30" s="28"/>
    </row>
    <row r="31" spans="3:41" x14ac:dyDescent="0.55000000000000004">
      <c r="C31" s="27"/>
      <c r="D31" t="str">
        <f>+'Control Panel'!D9</f>
        <v>Software stack</v>
      </c>
      <c r="E31" s="63">
        <v>-1</v>
      </c>
      <c r="F31" s="23">
        <v>1</v>
      </c>
      <c r="G31" s="8">
        <f>-'Control Panel'!$E$9</f>
        <v>-300</v>
      </c>
      <c r="H31" s="8">
        <f>-'Control Panel'!$E$9</f>
        <v>-300</v>
      </c>
      <c r="I31" s="8">
        <f>-'Control Panel'!$E$9</f>
        <v>-300</v>
      </c>
      <c r="J31" s="8">
        <f>-'Control Panel'!$E$9</f>
        <v>-300</v>
      </c>
      <c r="K31" s="8">
        <f>-'Control Panel'!$E$9</f>
        <v>-300</v>
      </c>
      <c r="L31" s="8">
        <f>-'Control Panel'!$E$9</f>
        <v>-300</v>
      </c>
      <c r="M31" s="8">
        <f>-'Control Panel'!$E$9</f>
        <v>-300</v>
      </c>
      <c r="N31" s="8">
        <f>-'Control Panel'!$E$9</f>
        <v>-300</v>
      </c>
      <c r="O31" s="8">
        <f>-'Control Panel'!$E$9</f>
        <v>-300</v>
      </c>
      <c r="P31" s="8">
        <f>-'Control Panel'!$E$9</f>
        <v>-300</v>
      </c>
      <c r="Q31" s="8">
        <f>-'Control Panel'!$E$9</f>
        <v>-300</v>
      </c>
      <c r="R31" s="8">
        <f>-'Control Panel'!$E$9</f>
        <v>-300</v>
      </c>
      <c r="S31" s="8">
        <f>-'Control Panel'!$E$9</f>
        <v>-300</v>
      </c>
      <c r="T31" s="8">
        <f>-'Control Panel'!$E$9</f>
        <v>-300</v>
      </c>
      <c r="U31" s="8">
        <f>-'Control Panel'!$E$9</f>
        <v>-300</v>
      </c>
      <c r="V31" s="8">
        <f>-'Control Panel'!$E$9</f>
        <v>-300</v>
      </c>
      <c r="W31" s="8">
        <f>-'Control Panel'!$E$9</f>
        <v>-300</v>
      </c>
      <c r="X31" s="8">
        <f>-'Control Panel'!$E$9</f>
        <v>-300</v>
      </c>
      <c r="Y31" s="8">
        <f>-'Control Panel'!$E$9</f>
        <v>-300</v>
      </c>
      <c r="Z31" s="8">
        <f>-'Control Panel'!$E$9</f>
        <v>-300</v>
      </c>
      <c r="AA31" s="8">
        <f>-'Control Panel'!$E$9</f>
        <v>-300</v>
      </c>
      <c r="AB31" s="8">
        <f>-'Control Panel'!$E$9</f>
        <v>-300</v>
      </c>
      <c r="AC31" s="8">
        <f>-'Control Panel'!$E$9</f>
        <v>-300</v>
      </c>
      <c r="AD31" s="8">
        <f>-'Control Panel'!$E$9</f>
        <v>-300</v>
      </c>
      <c r="AE31" s="8">
        <f>-'Control Panel'!$E$9</f>
        <v>-300</v>
      </c>
      <c r="AF31" s="28"/>
      <c r="AG31"/>
      <c r="AH31" s="27"/>
      <c r="AI31" t="str">
        <f t="shared" si="2"/>
        <v>Software stack</v>
      </c>
      <c r="AJ31" s="8">
        <f t="shared" si="18"/>
        <v>-1500</v>
      </c>
      <c r="AK31" s="8">
        <f t="shared" si="18"/>
        <v>-1500</v>
      </c>
      <c r="AL31" s="8">
        <f t="shared" si="18"/>
        <v>-1500</v>
      </c>
      <c r="AM31" s="8">
        <f t="shared" si="18"/>
        <v>-1500</v>
      </c>
      <c r="AN31" s="8">
        <f t="shared" si="18"/>
        <v>-1500</v>
      </c>
      <c r="AO31" s="28"/>
    </row>
    <row r="32" spans="3:41" x14ac:dyDescent="0.55000000000000004">
      <c r="C32" s="27"/>
      <c r="D32" t="str">
        <f>+'Control Panel'!D8</f>
        <v>Annual insurance policy</v>
      </c>
      <c r="E32" s="63" t="s">
        <v>73</v>
      </c>
      <c r="F32" s="23">
        <v>1</v>
      </c>
      <c r="G32" s="8">
        <f>-'Control Panel'!$E$8/'Control Panel'!$E$5</f>
        <v>-100</v>
      </c>
      <c r="H32" s="8">
        <f>-'Control Panel'!$E$8/'Control Panel'!$E$5</f>
        <v>-100</v>
      </c>
      <c r="I32" s="8">
        <f>-'Control Panel'!$E$8/'Control Panel'!$E$5</f>
        <v>-100</v>
      </c>
      <c r="J32" s="8">
        <f>-'Control Panel'!$E$8/'Control Panel'!$E$5</f>
        <v>-100</v>
      </c>
      <c r="K32" s="8">
        <f>-'Control Panel'!$E$8/'Control Panel'!$E$5</f>
        <v>-100</v>
      </c>
      <c r="L32" s="8">
        <f>-'Control Panel'!$E$8/'Control Panel'!$E$5</f>
        <v>-100</v>
      </c>
      <c r="M32" s="8">
        <f>-'Control Panel'!$E$8/'Control Panel'!$E$5</f>
        <v>-100</v>
      </c>
      <c r="N32" s="8">
        <f>-'Control Panel'!$E$8/'Control Panel'!$E$5</f>
        <v>-100</v>
      </c>
      <c r="O32" s="8">
        <f>-'Control Panel'!$E$8/'Control Panel'!$E$5</f>
        <v>-100</v>
      </c>
      <c r="P32" s="8">
        <f>-'Control Panel'!$E$8/'Control Panel'!$E$5</f>
        <v>-100</v>
      </c>
      <c r="Q32" s="8">
        <f>-'Control Panel'!$E$8/'Control Panel'!$E$5</f>
        <v>-100</v>
      </c>
      <c r="R32" s="8">
        <f>-'Control Panel'!$E$8/'Control Panel'!$E$5</f>
        <v>-100</v>
      </c>
      <c r="S32" s="8">
        <f>-'Control Panel'!$E$8/'Control Panel'!$E$5</f>
        <v>-100</v>
      </c>
      <c r="T32" s="8">
        <f>-'Control Panel'!$E$8/'Control Panel'!$E$5</f>
        <v>-100</v>
      </c>
      <c r="U32" s="8">
        <f>-'Control Panel'!$E$8/'Control Panel'!$E$5</f>
        <v>-100</v>
      </c>
      <c r="V32" s="8">
        <f>-'Control Panel'!$E$8/'Control Panel'!$E$5</f>
        <v>-100</v>
      </c>
      <c r="W32" s="8">
        <f>-'Control Panel'!$E$8/'Control Panel'!$E$5</f>
        <v>-100</v>
      </c>
      <c r="X32" s="8">
        <f>-'Control Panel'!$E$8/'Control Panel'!$E$5</f>
        <v>-100</v>
      </c>
      <c r="Y32" s="8">
        <f>-'Control Panel'!$E$8/'Control Panel'!$E$5</f>
        <v>-100</v>
      </c>
      <c r="Z32" s="8">
        <f>-'Control Panel'!$E$8/'Control Panel'!$E$5</f>
        <v>-100</v>
      </c>
      <c r="AA32" s="8">
        <f>-'Control Panel'!$E$8/'Control Panel'!$E$5</f>
        <v>-100</v>
      </c>
      <c r="AB32" s="8">
        <f>-'Control Panel'!$E$8/'Control Panel'!$E$5</f>
        <v>-100</v>
      </c>
      <c r="AC32" s="8">
        <f>-'Control Panel'!$E$8/'Control Panel'!$E$5</f>
        <v>-100</v>
      </c>
      <c r="AD32" s="8">
        <f>-'Control Panel'!$E$8/'Control Panel'!$E$5</f>
        <v>-100</v>
      </c>
      <c r="AE32" s="8">
        <f>-'Control Panel'!$E$8/'Control Panel'!$E$5</f>
        <v>-100</v>
      </c>
      <c r="AF32" s="28"/>
      <c r="AG32"/>
      <c r="AH32" s="27"/>
      <c r="AI32" t="str">
        <f t="shared" si="2"/>
        <v>Annual insurance policy</v>
      </c>
      <c r="AJ32" s="8">
        <f t="shared" si="18"/>
        <v>-500</v>
      </c>
      <c r="AK32" s="8">
        <f t="shared" si="18"/>
        <v>-500</v>
      </c>
      <c r="AL32" s="8">
        <f t="shared" si="18"/>
        <v>-500</v>
      </c>
      <c r="AM32" s="8">
        <f t="shared" si="18"/>
        <v>-500</v>
      </c>
      <c r="AN32" s="8">
        <f t="shared" si="18"/>
        <v>-500</v>
      </c>
      <c r="AO32" s="28"/>
    </row>
    <row r="33" spans="3:41" x14ac:dyDescent="0.55000000000000004">
      <c r="C33" s="27"/>
      <c r="D33" s="6" t="s">
        <v>19</v>
      </c>
      <c r="E33" s="6"/>
      <c r="F33" s="6"/>
      <c r="G33" s="7">
        <f>+G28+SUM(G30:G32)</f>
        <v>-1064</v>
      </c>
      <c r="H33" s="7">
        <f t="shared" ref="H33:AE33" si="19">+H28+SUM(H30:H32)</f>
        <v>-1064</v>
      </c>
      <c r="I33" s="7">
        <f t="shared" si="19"/>
        <v>-1064</v>
      </c>
      <c r="J33" s="7">
        <f t="shared" si="19"/>
        <v>-1064</v>
      </c>
      <c r="K33" s="7">
        <f t="shared" si="19"/>
        <v>-1064</v>
      </c>
      <c r="L33" s="7">
        <f t="shared" si="19"/>
        <v>1159.75</v>
      </c>
      <c r="M33" s="7">
        <f t="shared" si="19"/>
        <v>1159.75</v>
      </c>
      <c r="N33" s="7">
        <f t="shared" si="19"/>
        <v>1159.75</v>
      </c>
      <c r="O33" s="7">
        <f t="shared" si="19"/>
        <v>1159.75</v>
      </c>
      <c r="P33" s="7">
        <f t="shared" si="19"/>
        <v>1159.75</v>
      </c>
      <c r="Q33" s="7">
        <f t="shared" si="19"/>
        <v>2352.7999999999993</v>
      </c>
      <c r="R33" s="7">
        <f t="shared" si="19"/>
        <v>2352.7999999999993</v>
      </c>
      <c r="S33" s="7">
        <f t="shared" si="19"/>
        <v>2352.7999999999993</v>
      </c>
      <c r="T33" s="7">
        <f t="shared" si="19"/>
        <v>2352.7999999999993</v>
      </c>
      <c r="U33" s="7">
        <f t="shared" si="19"/>
        <v>2352.7999999999993</v>
      </c>
      <c r="V33" s="7">
        <f t="shared" si="19"/>
        <v>3461.3700000000026</v>
      </c>
      <c r="W33" s="7">
        <f t="shared" si="19"/>
        <v>3461.3700000000026</v>
      </c>
      <c r="X33" s="7">
        <f t="shared" si="19"/>
        <v>3461.3700000000026</v>
      </c>
      <c r="Y33" s="7">
        <f t="shared" si="19"/>
        <v>3461.3700000000026</v>
      </c>
      <c r="Z33" s="7">
        <f t="shared" si="19"/>
        <v>3461.3700000000026</v>
      </c>
      <c r="AA33" s="7">
        <f t="shared" si="19"/>
        <v>4842.0500000000029</v>
      </c>
      <c r="AB33" s="7">
        <f t="shared" si="19"/>
        <v>4842.0500000000029</v>
      </c>
      <c r="AC33" s="7">
        <f t="shared" si="19"/>
        <v>4842.0500000000029</v>
      </c>
      <c r="AD33" s="7">
        <f t="shared" si="19"/>
        <v>4842.0500000000029</v>
      </c>
      <c r="AE33" s="7">
        <f t="shared" si="19"/>
        <v>4842.0500000000029</v>
      </c>
      <c r="AF33" s="28"/>
      <c r="AG33"/>
      <c r="AH33" s="27"/>
      <c r="AI33" s="6" t="str">
        <f t="shared" si="2"/>
        <v>Net income</v>
      </c>
      <c r="AJ33" s="7">
        <f t="shared" ref="AJ33" si="20">+AJ28+SUM(AJ30:AJ32)</f>
        <v>-5320</v>
      </c>
      <c r="AK33" s="7">
        <f t="shared" ref="AK33" si="21">+AK28+SUM(AK30:AK32)</f>
        <v>5798.75</v>
      </c>
      <c r="AL33" s="7">
        <f t="shared" ref="AL33" si="22">+AL28+SUM(AL30:AL32)</f>
        <v>11764</v>
      </c>
      <c r="AM33" s="7">
        <f t="shared" ref="AM33" si="23">+AM28+SUM(AM30:AM32)</f>
        <v>17306.850000000006</v>
      </c>
      <c r="AN33" s="7">
        <f t="shared" ref="AN33" si="24">+AN28+SUM(AN30:AN32)</f>
        <v>24210.250000000015</v>
      </c>
      <c r="AO33" s="28"/>
    </row>
    <row r="34" spans="3:41" s="4" customFormat="1" x14ac:dyDescent="0.55000000000000004">
      <c r="C34" s="35"/>
      <c r="D34" s="16" t="s">
        <v>63</v>
      </c>
      <c r="E34" s="16"/>
      <c r="F34" s="16"/>
      <c r="G34" s="36">
        <f t="shared" ref="G34:AE34" si="25">+G33/G$19</f>
        <v>-0.12041647804436396</v>
      </c>
      <c r="H34" s="36">
        <f t="shared" si="25"/>
        <v>-0.12041647804436396</v>
      </c>
      <c r="I34" s="36">
        <f t="shared" si="25"/>
        <v>-0.12041647804436396</v>
      </c>
      <c r="J34" s="36">
        <f t="shared" si="25"/>
        <v>-0.12041647804436396</v>
      </c>
      <c r="K34" s="36">
        <f t="shared" si="25"/>
        <v>-0.12041647804436396</v>
      </c>
      <c r="L34" s="36">
        <f t="shared" si="25"/>
        <v>0.10439028781025676</v>
      </c>
      <c r="M34" s="36">
        <f t="shared" si="25"/>
        <v>0.10439028781025676</v>
      </c>
      <c r="N34" s="36">
        <f t="shared" si="25"/>
        <v>0.10439028781025676</v>
      </c>
      <c r="O34" s="36">
        <f t="shared" si="25"/>
        <v>0.10439028781025676</v>
      </c>
      <c r="P34" s="36">
        <f t="shared" si="25"/>
        <v>0.10439028781025676</v>
      </c>
      <c r="Q34" s="36">
        <f t="shared" si="25"/>
        <v>0.19124101830477611</v>
      </c>
      <c r="R34" s="36">
        <f t="shared" si="25"/>
        <v>0.19124101830477611</v>
      </c>
      <c r="S34" s="36">
        <f t="shared" si="25"/>
        <v>0.19124101830477611</v>
      </c>
      <c r="T34" s="36">
        <f t="shared" si="25"/>
        <v>0.19124101830477611</v>
      </c>
      <c r="U34" s="36">
        <f t="shared" si="25"/>
        <v>0.19124101830477611</v>
      </c>
      <c r="V34" s="36">
        <f t="shared" si="25"/>
        <v>0.25809220087135037</v>
      </c>
      <c r="W34" s="36">
        <f t="shared" si="25"/>
        <v>0.25809220087135037</v>
      </c>
      <c r="X34" s="36">
        <f t="shared" si="25"/>
        <v>0.25809220087135037</v>
      </c>
      <c r="Y34" s="36">
        <f t="shared" si="25"/>
        <v>0.25809220087135037</v>
      </c>
      <c r="Z34" s="36">
        <f t="shared" si="25"/>
        <v>0.25809220087135037</v>
      </c>
      <c r="AA34" s="36">
        <f t="shared" si="25"/>
        <v>0.32734137594180673</v>
      </c>
      <c r="AB34" s="36">
        <f t="shared" si="25"/>
        <v>0.32734137594180673</v>
      </c>
      <c r="AC34" s="36">
        <f t="shared" si="25"/>
        <v>0.32734137594180673</v>
      </c>
      <c r="AD34" s="36">
        <f t="shared" si="25"/>
        <v>0.32734137594180673</v>
      </c>
      <c r="AE34" s="36">
        <f t="shared" si="25"/>
        <v>0.32734137594180673</v>
      </c>
      <c r="AF34" s="37"/>
      <c r="AH34" s="35"/>
      <c r="AI34" s="16" t="str">
        <f t="shared" si="2"/>
        <v>Net margin</v>
      </c>
      <c r="AJ34" s="36">
        <f>+AJ33/AJ$19</f>
        <v>-0.12041647804436396</v>
      </c>
      <c r="AK34" s="36">
        <f>+AK33/AK$19</f>
        <v>0.10439028781025676</v>
      </c>
      <c r="AL34" s="36">
        <f>+AL33/AL$19</f>
        <v>0.19124101830477616</v>
      </c>
      <c r="AM34" s="36">
        <f>+AM33/AM$19</f>
        <v>0.25809220087135026</v>
      </c>
      <c r="AN34" s="36">
        <f>+AN33/AN$19</f>
        <v>0.32734137594180673</v>
      </c>
      <c r="AO34" s="37"/>
    </row>
    <row r="35" spans="3:41" x14ac:dyDescent="0.55000000000000004">
      <c r="C35" s="27"/>
      <c r="D35" t="s">
        <v>23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28"/>
      <c r="AG35"/>
      <c r="AH35" s="27"/>
      <c r="AI35" t="str">
        <f t="shared" si="2"/>
        <v>(+) D&amp;A</v>
      </c>
      <c r="AJ35" s="17">
        <f t="shared" ref="AJ35:AN39" si="26">+SUMIFS($G35:$AE35,$G$6:$AE$6,AJ$6)</f>
        <v>0</v>
      </c>
      <c r="AK35" s="17">
        <f t="shared" si="26"/>
        <v>0</v>
      </c>
      <c r="AL35" s="17">
        <f t="shared" si="26"/>
        <v>0</v>
      </c>
      <c r="AM35" s="17">
        <f t="shared" si="26"/>
        <v>0</v>
      </c>
      <c r="AN35" s="17">
        <f t="shared" si="26"/>
        <v>0</v>
      </c>
      <c r="AO35" s="28"/>
    </row>
    <row r="36" spans="3:41" x14ac:dyDescent="0.55000000000000004">
      <c r="C36" s="27"/>
      <c r="D36" t="s">
        <v>84</v>
      </c>
      <c r="E36" s="63">
        <v>0</v>
      </c>
      <c r="F36" s="23">
        <v>1</v>
      </c>
      <c r="G36" s="17">
        <f t="shared" ref="G36:AE36" ca="1" si="27">+F103</f>
        <v>19.786666666666861</v>
      </c>
      <c r="H36" s="17">
        <f t="shared" ca="1" si="27"/>
        <v>27.038577777778301</v>
      </c>
      <c r="I36" s="17">
        <f t="shared" ca="1" si="27"/>
        <v>27.128706370371219</v>
      </c>
      <c r="J36" s="17">
        <f t="shared" ca="1" si="27"/>
        <v>27.21913539160505</v>
      </c>
      <c r="K36" s="17">
        <f t="shared" ca="1" si="27"/>
        <v>27.309865842911677</v>
      </c>
      <c r="L36" s="17">
        <f t="shared" ca="1" si="27"/>
        <v>221.78172772436301</v>
      </c>
      <c r="M36" s="17">
        <f t="shared" ca="1" si="27"/>
        <v>40.272776913883717</v>
      </c>
      <c r="N36" s="17">
        <f t="shared" ca="1" si="27"/>
        <v>40.40701950359653</v>
      </c>
      <c r="O36" s="17">
        <f t="shared" ca="1" si="27"/>
        <v>49.468023398347214</v>
      </c>
      <c r="P36" s="17">
        <f t="shared" ca="1" si="27"/>
        <v>49.632916809674498</v>
      </c>
      <c r="Q36" s="17">
        <f t="shared" ca="1" si="27"/>
        <v>403.06584094430946</v>
      </c>
      <c r="R36" s="17">
        <f t="shared" ca="1" si="27"/>
        <v>51.141912668854275</v>
      </c>
      <c r="S36" s="17">
        <f t="shared" ca="1" si="27"/>
        <v>51.312385711084062</v>
      </c>
      <c r="T36" s="17">
        <f t="shared" ca="1" si="27"/>
        <v>51.483426996786875</v>
      </c>
      <c r="U36" s="17">
        <f t="shared" ca="1" si="27"/>
        <v>51.655038420110941</v>
      </c>
      <c r="V36" s="17">
        <f t="shared" ca="1" si="27"/>
        <v>419.48736520264356</v>
      </c>
      <c r="W36" s="17">
        <f t="shared" ca="1" si="27"/>
        <v>53.225513098852389</v>
      </c>
      <c r="X36" s="17">
        <f t="shared" ca="1" si="27"/>
        <v>53.402931475848163</v>
      </c>
      <c r="Y36" s="17">
        <f t="shared" ca="1" si="27"/>
        <v>53.580941247435476</v>
      </c>
      <c r="Z36" s="17">
        <f t="shared" ca="1" si="27"/>
        <v>53.759544384925903</v>
      </c>
      <c r="AA36" s="17">
        <f t="shared" ca="1" si="27"/>
        <v>436.57792769635853</v>
      </c>
      <c r="AB36" s="17">
        <f t="shared" ca="1" si="27"/>
        <v>55.394002625198482</v>
      </c>
      <c r="AC36" s="17">
        <f t="shared" ca="1" si="27"/>
        <v>55.578649300616235</v>
      </c>
      <c r="AD36" s="17">
        <f t="shared" ca="1" si="27"/>
        <v>55.76391146495007</v>
      </c>
      <c r="AE36" s="17">
        <f t="shared" ca="1" si="27"/>
        <v>55.949791169834498</v>
      </c>
      <c r="AF36" s="28"/>
      <c r="AG36"/>
      <c r="AH36" s="27"/>
      <c r="AI36" t="str">
        <f t="shared" si="2"/>
        <v>(+) Interest income</v>
      </c>
      <c r="AJ36" s="17">
        <f t="shared" ca="1" si="26"/>
        <v>128.48295204933311</v>
      </c>
      <c r="AK36" s="17">
        <f t="shared" ca="1" si="26"/>
        <v>401.56246434986497</v>
      </c>
      <c r="AL36" s="17">
        <f t="shared" ca="1" si="26"/>
        <v>608.65860474114561</v>
      </c>
      <c r="AM36" s="17">
        <f t="shared" ca="1" si="26"/>
        <v>633.45629540970549</v>
      </c>
      <c r="AN36" s="17">
        <f t="shared" ca="1" si="26"/>
        <v>659.26428225695781</v>
      </c>
      <c r="AO36" s="28"/>
    </row>
    <row r="37" spans="3:41" x14ac:dyDescent="0.55000000000000004">
      <c r="C37" s="27"/>
      <c r="D37" t="s">
        <v>83</v>
      </c>
      <c r="E37" s="63">
        <v>0</v>
      </c>
      <c r="F37" s="23">
        <v>1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28"/>
      <c r="AG37"/>
      <c r="AH37" s="27"/>
      <c r="AI37" t="str">
        <f t="shared" si="2"/>
        <v>(-) Cash interest paid</v>
      </c>
      <c r="AJ37" s="17">
        <f t="shared" si="26"/>
        <v>0</v>
      </c>
      <c r="AK37" s="17">
        <f t="shared" si="26"/>
        <v>0</v>
      </c>
      <c r="AL37" s="17">
        <f t="shared" si="26"/>
        <v>0</v>
      </c>
      <c r="AM37" s="17">
        <f t="shared" si="26"/>
        <v>0</v>
      </c>
      <c r="AN37" s="17">
        <f t="shared" si="26"/>
        <v>0</v>
      </c>
      <c r="AO37" s="28"/>
    </row>
    <row r="38" spans="3:41" x14ac:dyDescent="0.55000000000000004">
      <c r="C38" s="27"/>
      <c r="D38" t="s">
        <v>20</v>
      </c>
      <c r="E38" s="63">
        <v>0</v>
      </c>
      <c r="F38" s="23">
        <v>1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28"/>
      <c r="AG38"/>
      <c r="AH38" s="27"/>
      <c r="AI38" t="str">
        <f t="shared" si="2"/>
        <v>(-) Capex</v>
      </c>
      <c r="AJ38" s="17">
        <f t="shared" si="26"/>
        <v>0</v>
      </c>
      <c r="AK38" s="17">
        <f t="shared" si="26"/>
        <v>0</v>
      </c>
      <c r="AL38" s="17">
        <f t="shared" si="26"/>
        <v>0</v>
      </c>
      <c r="AM38" s="17">
        <f t="shared" si="26"/>
        <v>0</v>
      </c>
      <c r="AN38" s="17">
        <f t="shared" si="26"/>
        <v>0</v>
      </c>
      <c r="AO38" s="28"/>
    </row>
    <row r="39" spans="3:41" x14ac:dyDescent="0.55000000000000004">
      <c r="C39" s="27"/>
      <c r="D39" t="s">
        <v>21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28"/>
      <c r="AG39"/>
      <c r="AH39" s="27"/>
      <c r="AI39" t="str">
        <f t="shared" si="2"/>
        <v>(-) Δ NWC</v>
      </c>
      <c r="AJ39" s="17">
        <f t="shared" si="26"/>
        <v>0</v>
      </c>
      <c r="AK39" s="17">
        <f t="shared" si="26"/>
        <v>0</v>
      </c>
      <c r="AL39" s="17">
        <f t="shared" si="26"/>
        <v>0</v>
      </c>
      <c r="AM39" s="17">
        <f t="shared" si="26"/>
        <v>0</v>
      </c>
      <c r="AN39" s="17">
        <f t="shared" si="26"/>
        <v>0</v>
      </c>
      <c r="AO39" s="28"/>
    </row>
    <row r="40" spans="3:41" s="5" customFormat="1" x14ac:dyDescent="0.55000000000000004">
      <c r="C40" s="33"/>
      <c r="D40" s="52" t="s">
        <v>22</v>
      </c>
      <c r="E40" s="52"/>
      <c r="F40" s="52"/>
      <c r="G40" s="53">
        <f t="shared" ref="G40:AE40" ca="1" si="28">+SUM(G33,G35:G39)</f>
        <v>-1044.2133333333331</v>
      </c>
      <c r="H40" s="53">
        <f t="shared" ca="1" si="28"/>
        <v>-1036.9614222222217</v>
      </c>
      <c r="I40" s="53">
        <f t="shared" ca="1" si="28"/>
        <v>-1036.8712936296288</v>
      </c>
      <c r="J40" s="53">
        <f t="shared" ca="1" si="28"/>
        <v>-1036.7808646083949</v>
      </c>
      <c r="K40" s="53">
        <f t="shared" ca="1" si="28"/>
        <v>-1036.6901341570883</v>
      </c>
      <c r="L40" s="53">
        <f t="shared" ca="1" si="28"/>
        <v>1381.531727724363</v>
      </c>
      <c r="M40" s="53">
        <f t="shared" ca="1" si="28"/>
        <v>1200.0227769138837</v>
      </c>
      <c r="N40" s="53">
        <f t="shared" ca="1" si="28"/>
        <v>1200.1570195035965</v>
      </c>
      <c r="O40" s="53">
        <f t="shared" ca="1" si="28"/>
        <v>1209.2180233983472</v>
      </c>
      <c r="P40" s="53">
        <f t="shared" ca="1" si="28"/>
        <v>1209.3829168096745</v>
      </c>
      <c r="Q40" s="53">
        <f t="shared" ca="1" si="28"/>
        <v>2755.8658409443087</v>
      </c>
      <c r="R40" s="53">
        <f t="shared" ca="1" si="28"/>
        <v>2403.9419126688535</v>
      </c>
      <c r="S40" s="53">
        <f t="shared" ca="1" si="28"/>
        <v>2404.1123857110833</v>
      </c>
      <c r="T40" s="53">
        <f t="shared" ca="1" si="28"/>
        <v>2404.2834269967861</v>
      </c>
      <c r="U40" s="53">
        <f t="shared" ca="1" si="28"/>
        <v>2404.4550384201102</v>
      </c>
      <c r="V40" s="53">
        <f t="shared" ca="1" si="28"/>
        <v>3880.8573652026462</v>
      </c>
      <c r="W40" s="53">
        <f t="shared" ca="1" si="28"/>
        <v>3514.595513098855</v>
      </c>
      <c r="X40" s="53">
        <f t="shared" ca="1" si="28"/>
        <v>3514.7729314758508</v>
      </c>
      <c r="Y40" s="53">
        <f t="shared" ca="1" si="28"/>
        <v>3514.9509412474381</v>
      </c>
      <c r="Z40" s="53">
        <f t="shared" ca="1" si="28"/>
        <v>3515.1295443849285</v>
      </c>
      <c r="AA40" s="53">
        <f t="shared" ca="1" si="28"/>
        <v>5278.6279276963614</v>
      </c>
      <c r="AB40" s="53">
        <f t="shared" ca="1" si="28"/>
        <v>4897.4440026252014</v>
      </c>
      <c r="AC40" s="53">
        <f t="shared" ca="1" si="28"/>
        <v>4897.6286493006191</v>
      </c>
      <c r="AD40" s="53">
        <f t="shared" ca="1" si="28"/>
        <v>4897.813911464953</v>
      </c>
      <c r="AE40" s="53">
        <f t="shared" ca="1" si="28"/>
        <v>4897.9997911698374</v>
      </c>
      <c r="AF40" s="34"/>
      <c r="AH40" s="33"/>
      <c r="AI40" s="52" t="str">
        <f t="shared" si="2"/>
        <v>Free cash flow</v>
      </c>
      <c r="AJ40" s="53">
        <f ca="1">+SUM(AJ33,AJ35:AJ39)</f>
        <v>-5191.5170479506669</v>
      </c>
      <c r="AK40" s="53">
        <f ca="1">+SUM(AK33,AK35:AK39)</f>
        <v>6200.312464349865</v>
      </c>
      <c r="AL40" s="53">
        <f ca="1">+SUM(AL33,AL35:AL39)</f>
        <v>12372.658604741146</v>
      </c>
      <c r="AM40" s="53">
        <f ca="1">+SUM(AM33,AM35:AM39)</f>
        <v>17940.306295409711</v>
      </c>
      <c r="AN40" s="53">
        <f ca="1">+SUM(AN33,AN35:AN39)</f>
        <v>24869.514282256972</v>
      </c>
      <c r="AO40" s="34"/>
    </row>
    <row r="41" spans="3:41" ht="5.05" customHeight="1" x14ac:dyDescent="0.55000000000000004">
      <c r="C41" s="27"/>
      <c r="AF41" s="28"/>
      <c r="AG41"/>
      <c r="AH41" s="27"/>
      <c r="AO41" s="28"/>
    </row>
    <row r="42" spans="3:41" x14ac:dyDescent="0.55000000000000004">
      <c r="C42" s="27"/>
      <c r="D42" s="25" t="s">
        <v>24</v>
      </c>
      <c r="E42" s="14"/>
      <c r="F42" s="14"/>
      <c r="G42" s="19">
        <v>1000</v>
      </c>
      <c r="H42" s="13">
        <f t="shared" ref="H42:AE42" ca="1" si="29">+G46</f>
        <v>-44.213333333333139</v>
      </c>
      <c r="I42" s="13">
        <f t="shared" ca="1" si="29"/>
        <v>-1081.1747555555548</v>
      </c>
      <c r="J42" s="13">
        <f t="shared" ca="1" si="29"/>
        <v>-2118.0460491851836</v>
      </c>
      <c r="K42" s="13">
        <f t="shared" ca="1" si="29"/>
        <v>-3154.8269137935786</v>
      </c>
      <c r="L42" s="13">
        <f t="shared" ca="1" si="29"/>
        <v>-4191.5170479506669</v>
      </c>
      <c r="M42" s="13">
        <f t="shared" ca="1" si="29"/>
        <v>-2809.9853202263039</v>
      </c>
      <c r="N42" s="13">
        <f t="shared" ca="1" si="29"/>
        <v>-1609.9625433124202</v>
      </c>
      <c r="O42" s="13">
        <f t="shared" ca="1" si="29"/>
        <v>-409.80552380882364</v>
      </c>
      <c r="P42" s="13">
        <f t="shared" ca="1" si="29"/>
        <v>799.41249958952358</v>
      </c>
      <c r="Q42" s="13">
        <f t="shared" ca="1" si="29"/>
        <v>2008.7954163991981</v>
      </c>
      <c r="R42" s="13">
        <f t="shared" ca="1" si="29"/>
        <v>4764.6612573435068</v>
      </c>
      <c r="S42" s="13">
        <f t="shared" ca="1" si="29"/>
        <v>7168.6031700123604</v>
      </c>
      <c r="T42" s="13">
        <f t="shared" ca="1" si="29"/>
        <v>9572.7155557234437</v>
      </c>
      <c r="U42" s="13">
        <f t="shared" ca="1" si="29"/>
        <v>11976.99898272023</v>
      </c>
      <c r="V42" s="13">
        <f t="shared" ca="1" si="29"/>
        <v>14381.45402114034</v>
      </c>
      <c r="W42" s="13">
        <f t="shared" ca="1" si="29"/>
        <v>18262.311386342986</v>
      </c>
      <c r="X42" s="13">
        <f t="shared" ca="1" si="29"/>
        <v>21776.906899441841</v>
      </c>
      <c r="Y42" s="13">
        <f t="shared" ca="1" si="29"/>
        <v>25291.679830917692</v>
      </c>
      <c r="Z42" s="13">
        <f t="shared" ca="1" si="29"/>
        <v>28806.630772165132</v>
      </c>
      <c r="AA42" s="13">
        <f t="shared" ca="1" si="29"/>
        <v>32321.760316550062</v>
      </c>
      <c r="AB42" s="13">
        <f t="shared" ca="1" si="29"/>
        <v>37600.388244246424</v>
      </c>
      <c r="AC42" s="13">
        <f t="shared" ca="1" si="29"/>
        <v>42497.832246871621</v>
      </c>
      <c r="AD42" s="13">
        <f t="shared" ca="1" si="29"/>
        <v>47395.460896172241</v>
      </c>
      <c r="AE42" s="45">
        <f t="shared" ca="1" si="29"/>
        <v>52293.274807637194</v>
      </c>
      <c r="AF42" s="28"/>
      <c r="AG42"/>
      <c r="AH42" s="27"/>
      <c r="AI42" s="25" t="str">
        <f>D42</f>
        <v>BOP cash balance</v>
      </c>
      <c r="AJ42" s="43">
        <f>+G42</f>
        <v>1000</v>
      </c>
      <c r="AK42" s="13">
        <f ca="1">+AJ46</f>
        <v>-4191.5170479506669</v>
      </c>
      <c r="AL42" s="13">
        <f ca="1">+AK46</f>
        <v>2008.7954163991981</v>
      </c>
      <c r="AM42" s="13">
        <f ca="1">+AL46</f>
        <v>14381.45402114034</v>
      </c>
      <c r="AN42" s="45">
        <f ca="1">+AM46</f>
        <v>32321.760316550059</v>
      </c>
      <c r="AO42" s="28"/>
    </row>
    <row r="43" spans="3:41" x14ac:dyDescent="0.55000000000000004">
      <c r="C43" s="27"/>
      <c r="D43" s="27" t="str">
        <f>+"(+) "&amp;D40</f>
        <v>(+) Free cash flow</v>
      </c>
      <c r="G43" s="8">
        <f t="shared" ref="G43:AE43" ca="1" si="30">+G40</f>
        <v>-1044.2133333333331</v>
      </c>
      <c r="H43" s="8">
        <f t="shared" ca="1" si="30"/>
        <v>-1036.9614222222217</v>
      </c>
      <c r="I43" s="8">
        <f t="shared" ca="1" si="30"/>
        <v>-1036.8712936296288</v>
      </c>
      <c r="J43" s="8">
        <f t="shared" ca="1" si="30"/>
        <v>-1036.7808646083949</v>
      </c>
      <c r="K43" s="8">
        <f t="shared" ca="1" si="30"/>
        <v>-1036.6901341570883</v>
      </c>
      <c r="L43" s="8">
        <f t="shared" ca="1" si="30"/>
        <v>1381.531727724363</v>
      </c>
      <c r="M43" s="8">
        <f t="shared" ca="1" si="30"/>
        <v>1200.0227769138837</v>
      </c>
      <c r="N43" s="8">
        <f t="shared" ca="1" si="30"/>
        <v>1200.1570195035965</v>
      </c>
      <c r="O43" s="8">
        <f t="shared" ca="1" si="30"/>
        <v>1209.2180233983472</v>
      </c>
      <c r="P43" s="8">
        <f t="shared" ca="1" si="30"/>
        <v>1209.3829168096745</v>
      </c>
      <c r="Q43" s="8">
        <f t="shared" ca="1" si="30"/>
        <v>2755.8658409443087</v>
      </c>
      <c r="R43" s="8">
        <f t="shared" ca="1" si="30"/>
        <v>2403.9419126688535</v>
      </c>
      <c r="S43" s="8">
        <f t="shared" ca="1" si="30"/>
        <v>2404.1123857110833</v>
      </c>
      <c r="T43" s="8">
        <f t="shared" ca="1" si="30"/>
        <v>2404.2834269967861</v>
      </c>
      <c r="U43" s="8">
        <f t="shared" ca="1" si="30"/>
        <v>2404.4550384201102</v>
      </c>
      <c r="V43" s="8">
        <f t="shared" ca="1" si="30"/>
        <v>3880.8573652026462</v>
      </c>
      <c r="W43" s="8">
        <f t="shared" ca="1" si="30"/>
        <v>3514.595513098855</v>
      </c>
      <c r="X43" s="8">
        <f t="shared" ca="1" si="30"/>
        <v>3514.7729314758508</v>
      </c>
      <c r="Y43" s="8">
        <f t="shared" ca="1" si="30"/>
        <v>3514.9509412474381</v>
      </c>
      <c r="Z43" s="8">
        <f t="shared" ca="1" si="30"/>
        <v>3515.1295443849285</v>
      </c>
      <c r="AA43" s="8">
        <f t="shared" ca="1" si="30"/>
        <v>5278.6279276963614</v>
      </c>
      <c r="AB43" s="8">
        <f t="shared" ca="1" si="30"/>
        <v>4897.4440026252014</v>
      </c>
      <c r="AC43" s="8">
        <f t="shared" ca="1" si="30"/>
        <v>4897.6286493006191</v>
      </c>
      <c r="AD43" s="8">
        <f t="shared" ca="1" si="30"/>
        <v>4897.813911464953</v>
      </c>
      <c r="AE43" s="46">
        <f t="shared" ca="1" si="30"/>
        <v>4897.9997911698374</v>
      </c>
      <c r="AF43" s="28"/>
      <c r="AG43"/>
      <c r="AH43" s="27"/>
      <c r="AI43" s="27" t="str">
        <f>D43</f>
        <v>(+) Free cash flow</v>
      </c>
      <c r="AJ43" s="8">
        <f t="shared" ref="AJ43:AN45" ca="1" si="31">+SUMIFS($G43:$AE43,$G$6:$AE$6,AJ$6)</f>
        <v>-5191.5170479506669</v>
      </c>
      <c r="AK43" s="8">
        <f t="shared" ca="1" si="31"/>
        <v>6200.312464349865</v>
      </c>
      <c r="AL43" s="8">
        <f t="shared" ca="1" si="31"/>
        <v>12372.658604741142</v>
      </c>
      <c r="AM43" s="8">
        <f t="shared" ca="1" si="31"/>
        <v>17940.306295409719</v>
      </c>
      <c r="AN43" s="46">
        <f t="shared" ca="1" si="31"/>
        <v>24869.514282256972</v>
      </c>
      <c r="AO43" s="28"/>
    </row>
    <row r="44" spans="3:41" x14ac:dyDescent="0.55000000000000004">
      <c r="C44" s="27"/>
      <c r="D44" s="27" t="s">
        <v>26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48">
        <v>0</v>
      </c>
      <c r="AF44" s="28"/>
      <c r="AG44"/>
      <c r="AH44" s="27"/>
      <c r="AI44" s="27" t="str">
        <f>D44</f>
        <v>(-) Equity distributions</v>
      </c>
      <c r="AJ44" s="44">
        <f t="shared" si="31"/>
        <v>0</v>
      </c>
      <c r="AK44" s="44">
        <f t="shared" si="31"/>
        <v>0</v>
      </c>
      <c r="AL44" s="44">
        <f t="shared" si="31"/>
        <v>0</v>
      </c>
      <c r="AM44" s="44">
        <f t="shared" si="31"/>
        <v>0</v>
      </c>
      <c r="AN44" s="47">
        <f t="shared" si="31"/>
        <v>0</v>
      </c>
      <c r="AO44" s="28"/>
    </row>
    <row r="45" spans="3:41" x14ac:dyDescent="0.55000000000000004">
      <c r="C45" s="27"/>
      <c r="D45" s="27" t="s">
        <v>27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48">
        <v>0</v>
      </c>
      <c r="AF45" s="28"/>
      <c r="AG45"/>
      <c r="AH45" s="27"/>
      <c r="AI45" s="27" t="str">
        <f>D45</f>
        <v>(+) Equity contributions</v>
      </c>
      <c r="AJ45" s="44">
        <f t="shared" si="31"/>
        <v>0</v>
      </c>
      <c r="AK45" s="44">
        <f t="shared" si="31"/>
        <v>0</v>
      </c>
      <c r="AL45" s="44">
        <f t="shared" si="31"/>
        <v>0</v>
      </c>
      <c r="AM45" s="44">
        <f t="shared" si="31"/>
        <v>0</v>
      </c>
      <c r="AN45" s="47">
        <f t="shared" si="31"/>
        <v>0</v>
      </c>
      <c r="AO45" s="28"/>
    </row>
    <row r="46" spans="3:41" s="5" customFormat="1" x14ac:dyDescent="0.55000000000000004">
      <c r="C46" s="33"/>
      <c r="D46" s="49" t="s">
        <v>25</v>
      </c>
      <c r="E46" s="60"/>
      <c r="F46" s="60"/>
      <c r="G46" s="50">
        <f t="shared" ref="G46:AE46" ca="1" si="32">+G42+G43+G44+G45</f>
        <v>-44.213333333333139</v>
      </c>
      <c r="H46" s="50">
        <f t="shared" ca="1" si="32"/>
        <v>-1081.1747555555548</v>
      </c>
      <c r="I46" s="50">
        <f t="shared" ca="1" si="32"/>
        <v>-2118.0460491851836</v>
      </c>
      <c r="J46" s="50">
        <f t="shared" ca="1" si="32"/>
        <v>-3154.8269137935786</v>
      </c>
      <c r="K46" s="50">
        <f t="shared" ca="1" si="32"/>
        <v>-4191.5170479506669</v>
      </c>
      <c r="L46" s="50">
        <f t="shared" ca="1" si="32"/>
        <v>-2809.9853202263039</v>
      </c>
      <c r="M46" s="50">
        <f t="shared" ca="1" si="32"/>
        <v>-1609.9625433124202</v>
      </c>
      <c r="N46" s="50">
        <f t="shared" ca="1" si="32"/>
        <v>-409.80552380882364</v>
      </c>
      <c r="O46" s="50">
        <f t="shared" ca="1" si="32"/>
        <v>799.41249958952358</v>
      </c>
      <c r="P46" s="50">
        <f t="shared" ca="1" si="32"/>
        <v>2008.7954163991981</v>
      </c>
      <c r="Q46" s="50">
        <f t="shared" ca="1" si="32"/>
        <v>4764.6612573435068</v>
      </c>
      <c r="R46" s="50">
        <f t="shared" ca="1" si="32"/>
        <v>7168.6031700123604</v>
      </c>
      <c r="S46" s="50">
        <f t="shared" ca="1" si="32"/>
        <v>9572.7155557234437</v>
      </c>
      <c r="T46" s="50">
        <f t="shared" ca="1" si="32"/>
        <v>11976.99898272023</v>
      </c>
      <c r="U46" s="50">
        <f t="shared" ca="1" si="32"/>
        <v>14381.45402114034</v>
      </c>
      <c r="V46" s="50">
        <f t="shared" ca="1" si="32"/>
        <v>18262.311386342986</v>
      </c>
      <c r="W46" s="50">
        <f t="shared" ca="1" si="32"/>
        <v>21776.906899441841</v>
      </c>
      <c r="X46" s="50">
        <f t="shared" ca="1" si="32"/>
        <v>25291.679830917692</v>
      </c>
      <c r="Y46" s="50">
        <f t="shared" ca="1" si="32"/>
        <v>28806.630772165132</v>
      </c>
      <c r="Z46" s="50">
        <f t="shared" ca="1" si="32"/>
        <v>32321.760316550062</v>
      </c>
      <c r="AA46" s="50">
        <f t="shared" ca="1" si="32"/>
        <v>37600.388244246424</v>
      </c>
      <c r="AB46" s="50">
        <f t="shared" ca="1" si="32"/>
        <v>42497.832246871621</v>
      </c>
      <c r="AC46" s="50">
        <f t="shared" ca="1" si="32"/>
        <v>47395.460896172241</v>
      </c>
      <c r="AD46" s="50">
        <f t="shared" ca="1" si="32"/>
        <v>52293.274807637194</v>
      </c>
      <c r="AE46" s="51">
        <f t="shared" ca="1" si="32"/>
        <v>57191.274598807031</v>
      </c>
      <c r="AF46" s="34"/>
      <c r="AH46" s="33"/>
      <c r="AI46" s="49" t="str">
        <f>D46</f>
        <v>EOP cash balance</v>
      </c>
      <c r="AJ46" s="50">
        <f ca="1">+AJ42+AJ43+AJ44+AJ45</f>
        <v>-4191.5170479506669</v>
      </c>
      <c r="AK46" s="50">
        <f ca="1">+AK42+AK43+AK44+AK45</f>
        <v>2008.7954163991981</v>
      </c>
      <c r="AL46" s="50">
        <f ca="1">+AL42+AL43+AL44+AL45</f>
        <v>14381.45402114034</v>
      </c>
      <c r="AM46" s="50">
        <f ca="1">+AM42+AM43+AM44+AM45</f>
        <v>32321.760316550059</v>
      </c>
      <c r="AN46" s="51">
        <f ca="1">+AN42+AN43+AN44+AN45</f>
        <v>57191.274598807031</v>
      </c>
      <c r="AO46" s="34"/>
    </row>
    <row r="47" spans="3:41" s="5" customFormat="1" x14ac:dyDescent="0.55000000000000004">
      <c r="C47" s="3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34"/>
      <c r="AH47" s="38"/>
      <c r="AI47" s="39"/>
      <c r="AJ47" s="40"/>
      <c r="AK47" s="40"/>
      <c r="AL47" s="40"/>
      <c r="AM47" s="40"/>
      <c r="AN47" s="40"/>
      <c r="AO47" s="41"/>
    </row>
    <row r="48" spans="3:41" s="4" customFormat="1" x14ac:dyDescent="0.55000000000000004">
      <c r="C48" s="35"/>
      <c r="D48" s="71" t="str">
        <f>+D60</f>
        <v>End of period date</v>
      </c>
      <c r="E48" s="71">
        <f>+E60</f>
        <v>46112</v>
      </c>
      <c r="F48" s="71">
        <f t="shared" ref="F48:AE48" si="33">+F60</f>
        <v>46142</v>
      </c>
      <c r="G48" s="71">
        <f t="shared" si="33"/>
        <v>46173</v>
      </c>
      <c r="H48" s="71">
        <f t="shared" si="33"/>
        <v>46203</v>
      </c>
      <c r="I48" s="71">
        <f t="shared" si="33"/>
        <v>46234</v>
      </c>
      <c r="J48" s="71">
        <f t="shared" si="33"/>
        <v>46265</v>
      </c>
      <c r="K48" s="71">
        <f t="shared" si="33"/>
        <v>46507</v>
      </c>
      <c r="L48" s="71">
        <f t="shared" si="33"/>
        <v>46538</v>
      </c>
      <c r="M48" s="71">
        <f t="shared" si="33"/>
        <v>46568</v>
      </c>
      <c r="N48" s="71">
        <f t="shared" si="33"/>
        <v>46599</v>
      </c>
      <c r="O48" s="71">
        <f t="shared" si="33"/>
        <v>46630</v>
      </c>
      <c r="P48" s="71">
        <f t="shared" si="33"/>
        <v>46873</v>
      </c>
      <c r="Q48" s="71">
        <f t="shared" si="33"/>
        <v>46904</v>
      </c>
      <c r="R48" s="71">
        <f t="shared" si="33"/>
        <v>46934</v>
      </c>
      <c r="S48" s="71">
        <f t="shared" si="33"/>
        <v>46965</v>
      </c>
      <c r="T48" s="71">
        <f t="shared" si="33"/>
        <v>46996</v>
      </c>
      <c r="U48" s="71">
        <f t="shared" si="33"/>
        <v>47238</v>
      </c>
      <c r="V48" s="71">
        <f t="shared" si="33"/>
        <v>47269</v>
      </c>
      <c r="W48" s="71">
        <f t="shared" si="33"/>
        <v>47299</v>
      </c>
      <c r="X48" s="71">
        <f t="shared" si="33"/>
        <v>47330</v>
      </c>
      <c r="Y48" s="71">
        <f t="shared" si="33"/>
        <v>47361</v>
      </c>
      <c r="Z48" s="71">
        <f t="shared" si="33"/>
        <v>47603</v>
      </c>
      <c r="AA48" s="71">
        <f t="shared" si="33"/>
        <v>47634</v>
      </c>
      <c r="AB48" s="71">
        <f t="shared" si="33"/>
        <v>47664</v>
      </c>
      <c r="AC48" s="71">
        <f t="shared" si="33"/>
        <v>47695</v>
      </c>
      <c r="AD48" s="71">
        <f t="shared" si="33"/>
        <v>47726</v>
      </c>
      <c r="AE48" s="71">
        <f t="shared" si="33"/>
        <v>47756</v>
      </c>
      <c r="AF48" s="37"/>
      <c r="AH48"/>
      <c r="AI48" s="5"/>
      <c r="AJ48"/>
      <c r="AK48"/>
      <c r="AL48"/>
      <c r="AM48"/>
      <c r="AN48"/>
      <c r="AO48"/>
    </row>
    <row r="49" spans="3:41" s="4" customFormat="1" x14ac:dyDescent="0.55000000000000004">
      <c r="C49" s="35"/>
      <c r="D49" s="70" t="s">
        <v>77</v>
      </c>
      <c r="AF49" s="37"/>
      <c r="AH49"/>
      <c r="AI49"/>
      <c r="AJ49"/>
      <c r="AK49"/>
      <c r="AL49"/>
      <c r="AM49"/>
      <c r="AN49"/>
      <c r="AO49"/>
    </row>
    <row r="50" spans="3:41" s="4" customFormat="1" x14ac:dyDescent="0.55000000000000004">
      <c r="C50" s="35"/>
      <c r="D50" s="4" t="str">
        <f>+D40</f>
        <v>Free cash flow</v>
      </c>
      <c r="E50" s="72">
        <f t="shared" ref="E50:AE50" ca="1" si="34">+E93-E40</f>
        <v>4936</v>
      </c>
      <c r="F50" s="72">
        <f t="shared" ca="1" si="34"/>
        <v>2155.7866666666669</v>
      </c>
      <c r="G50" s="72">
        <f t="shared" ca="1" si="34"/>
        <v>107.25191111111144</v>
      </c>
      <c r="H50" s="72">
        <f t="shared" ca="1" si="34"/>
        <v>100.09012859259292</v>
      </c>
      <c r="I50" s="72">
        <f t="shared" ca="1" si="34"/>
        <v>100.09042902123383</v>
      </c>
      <c r="J50" s="72">
        <f t="shared" ca="1" si="34"/>
        <v>232.09073045130663</v>
      </c>
      <c r="K50" s="72">
        <f t="shared" ca="1" si="34"/>
        <v>4676.4718618814513</v>
      </c>
      <c r="L50" s="72">
        <f t="shared" ca="1" si="34"/>
        <v>-2031.5089508104793</v>
      </c>
      <c r="M50" s="72">
        <f t="shared" ca="1" si="34"/>
        <v>3150.1342425897128</v>
      </c>
      <c r="N50" s="72">
        <f t="shared" ca="1" si="34"/>
        <v>-1840.9389961052493</v>
      </c>
      <c r="O50" s="72">
        <f t="shared" ca="1" si="34"/>
        <v>-1277.8351065886727</v>
      </c>
      <c r="P50" s="72">
        <f t="shared" ca="1" si="34"/>
        <v>3825.432924134635</v>
      </c>
      <c r="Q50" s="72">
        <f t="shared" ca="1" si="34"/>
        <v>-2401.9239282754552</v>
      </c>
      <c r="R50" s="72">
        <f t="shared" ca="1" si="34"/>
        <v>3450.1704730422298</v>
      </c>
      <c r="S50" s="72">
        <f t="shared" ca="1" si="34"/>
        <v>-2049.8289587142972</v>
      </c>
      <c r="T50" s="72">
        <f t="shared" ca="1" si="34"/>
        <v>-1895.8283885766741</v>
      </c>
      <c r="U50" s="72">
        <f t="shared" ca="1" si="34"/>
        <v>3971.8323267825363</v>
      </c>
      <c r="V50" s="72">
        <f t="shared" ca="1" si="34"/>
        <v>-2716.2618521037912</v>
      </c>
      <c r="W50" s="72">
        <f t="shared" ca="1" si="34"/>
        <v>3900.1774183769958</v>
      </c>
      <c r="X50" s="72">
        <f t="shared" ca="1" si="34"/>
        <v>-2349.8219902284127</v>
      </c>
      <c r="Y50" s="72">
        <f t="shared" ca="1" si="34"/>
        <v>-1711.8213968625096</v>
      </c>
      <c r="Z50" s="72">
        <f t="shared" ca="1" si="34"/>
        <v>4920.8183833114326</v>
      </c>
      <c r="AA50" s="72">
        <f t="shared" ca="1" si="34"/>
        <v>-3031.18392507116</v>
      </c>
      <c r="AB50" s="72">
        <f t="shared" ca="1" si="34"/>
        <v>4350.1846466754178</v>
      </c>
      <c r="AC50" s="72">
        <f t="shared" ca="1" si="34"/>
        <v>-2649.8147378356662</v>
      </c>
      <c r="AD50" s="72">
        <f t="shared" ca="1" si="34"/>
        <v>-9081.8141202951192</v>
      </c>
      <c r="AE50" s="72">
        <f t="shared" ca="1" si="34"/>
        <v>-6837.9497911698381</v>
      </c>
      <c r="AF50" s="37"/>
      <c r="AH50"/>
      <c r="AI50"/>
      <c r="AJ50"/>
      <c r="AK50"/>
      <c r="AL50"/>
      <c r="AM50"/>
      <c r="AN50"/>
      <c r="AO50"/>
    </row>
    <row r="51" spans="3:41" s="4" customFormat="1" x14ac:dyDescent="0.55000000000000004">
      <c r="C51" s="35"/>
      <c r="D51" s="4" t="str">
        <f>+D46</f>
        <v>EOP cash balance</v>
      </c>
      <c r="E51" s="72">
        <f t="shared" ref="E51:AE51" ca="1" si="35">+E99-E46</f>
        <v>5936</v>
      </c>
      <c r="F51" s="72">
        <f t="shared" ca="1" si="35"/>
        <v>8091.7866666666669</v>
      </c>
      <c r="G51" s="72">
        <f t="shared" ca="1" si="35"/>
        <v>7199.0385777777783</v>
      </c>
      <c r="H51" s="72">
        <f t="shared" ca="1" si="35"/>
        <v>7299.1287063703712</v>
      </c>
      <c r="I51" s="72">
        <f t="shared" ca="1" si="35"/>
        <v>7399.2191353916051</v>
      </c>
      <c r="J51" s="72">
        <f t="shared" ca="1" si="35"/>
        <v>7631.3098658429117</v>
      </c>
      <c r="K51" s="72">
        <f t="shared" ca="1" si="35"/>
        <v>12307.781727724363</v>
      </c>
      <c r="L51" s="72">
        <f t="shared" ca="1" si="35"/>
        <v>10276.272776913884</v>
      </c>
      <c r="M51" s="72">
        <f t="shared" ca="1" si="35"/>
        <v>13426.407019503597</v>
      </c>
      <c r="N51" s="72">
        <f t="shared" ca="1" si="35"/>
        <v>11585.468023398347</v>
      </c>
      <c r="O51" s="72">
        <f t="shared" ca="1" si="35"/>
        <v>10307.632916809674</v>
      </c>
      <c r="P51" s="72">
        <f t="shared" ca="1" si="35"/>
        <v>14133.065840944309</v>
      </c>
      <c r="Q51" s="72">
        <f t="shared" ca="1" si="35"/>
        <v>11731.141912668854</v>
      </c>
      <c r="R51" s="72">
        <f t="shared" ca="1" si="35"/>
        <v>15181.312385711084</v>
      </c>
      <c r="S51" s="72">
        <f t="shared" ca="1" si="35"/>
        <v>13131.483426996787</v>
      </c>
      <c r="T51" s="72">
        <f t="shared" ca="1" si="35"/>
        <v>11235.655038420111</v>
      </c>
      <c r="U51" s="72">
        <f t="shared" ca="1" si="35"/>
        <v>15207.487365202647</v>
      </c>
      <c r="V51" s="72">
        <f t="shared" ca="1" si="35"/>
        <v>12491.225513098856</v>
      </c>
      <c r="W51" s="72">
        <f t="shared" ca="1" si="35"/>
        <v>16391.402931475852</v>
      </c>
      <c r="X51" s="72">
        <f t="shared" ca="1" si="35"/>
        <v>14041.580941247437</v>
      </c>
      <c r="Y51" s="72">
        <f t="shared" ca="1" si="35"/>
        <v>12329.759544384928</v>
      </c>
      <c r="Z51" s="72">
        <f t="shared" ca="1" si="35"/>
        <v>17250.577927696359</v>
      </c>
      <c r="AA51" s="72">
        <f t="shared" ca="1" si="35"/>
        <v>14219.394002625195</v>
      </c>
      <c r="AB51" s="72">
        <f t="shared" ca="1" si="35"/>
        <v>18569.578649300616</v>
      </c>
      <c r="AC51" s="72">
        <f t="shared" ca="1" si="35"/>
        <v>15919.76391146495</v>
      </c>
      <c r="AD51" s="72">
        <f t="shared" ca="1" si="35"/>
        <v>6837.9497911698272</v>
      </c>
      <c r="AE51" s="72">
        <f t="shared" ca="1" si="35"/>
        <v>0</v>
      </c>
      <c r="AF51" s="37"/>
      <c r="AH51"/>
      <c r="AI51"/>
      <c r="AJ51"/>
      <c r="AK51"/>
      <c r="AL51"/>
      <c r="AM51"/>
      <c r="AN51"/>
      <c r="AO51"/>
    </row>
    <row r="52" spans="3:41" x14ac:dyDescent="0.55000000000000004">
      <c r="C52" s="38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1"/>
      <c r="AG52"/>
    </row>
    <row r="53" spans="3:41" x14ac:dyDescent="0.55000000000000004">
      <c r="AG53"/>
    </row>
    <row r="55" spans="3:41" x14ac:dyDescent="0.55000000000000004">
      <c r="C55" s="25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26"/>
    </row>
    <row r="56" spans="3:41" x14ac:dyDescent="0.55000000000000004">
      <c r="C56" s="27"/>
      <c r="D56" s="20" t="s">
        <v>74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8"/>
    </row>
    <row r="57" spans="3:41" x14ac:dyDescent="0.55000000000000004">
      <c r="C57" s="27"/>
      <c r="E57" s="69" t="str">
        <f>+IF(MOD(E58,5)=1,"beg.",IF(MOD(E58,5)=3,"mid.",""))</f>
        <v/>
      </c>
      <c r="F57" s="69" t="str">
        <f t="shared" ref="F57:AE57" si="36">+IF(MOD(F58,5)=1,"beg.",IF(MOD(F58,5)=3,"mid.",""))</f>
        <v>beg.</v>
      </c>
      <c r="G57" s="69" t="str">
        <f t="shared" si="36"/>
        <v/>
      </c>
      <c r="H57" s="69" t="str">
        <f t="shared" si="36"/>
        <v>mid.</v>
      </c>
      <c r="I57" s="69" t="str">
        <f t="shared" si="36"/>
        <v/>
      </c>
      <c r="J57" s="69" t="str">
        <f t="shared" si="36"/>
        <v/>
      </c>
      <c r="K57" s="69" t="str">
        <f t="shared" si="36"/>
        <v>beg.</v>
      </c>
      <c r="L57" s="69" t="str">
        <f t="shared" si="36"/>
        <v/>
      </c>
      <c r="M57" s="69" t="str">
        <f t="shared" si="36"/>
        <v>mid.</v>
      </c>
      <c r="N57" s="69" t="str">
        <f t="shared" si="36"/>
        <v/>
      </c>
      <c r="O57" s="69" t="str">
        <f t="shared" si="36"/>
        <v/>
      </c>
      <c r="P57" s="69" t="str">
        <f t="shared" si="36"/>
        <v>beg.</v>
      </c>
      <c r="Q57" s="69" t="str">
        <f t="shared" si="36"/>
        <v/>
      </c>
      <c r="R57" s="69" t="str">
        <f t="shared" si="36"/>
        <v>mid.</v>
      </c>
      <c r="S57" s="69" t="str">
        <f t="shared" si="36"/>
        <v/>
      </c>
      <c r="T57" s="69" t="str">
        <f t="shared" si="36"/>
        <v/>
      </c>
      <c r="U57" s="69" t="str">
        <f t="shared" si="36"/>
        <v>beg.</v>
      </c>
      <c r="V57" s="69" t="str">
        <f t="shared" si="36"/>
        <v/>
      </c>
      <c r="W57" s="69" t="str">
        <f t="shared" si="36"/>
        <v>mid.</v>
      </c>
      <c r="X57" s="69" t="str">
        <f t="shared" si="36"/>
        <v/>
      </c>
      <c r="Y57" s="69" t="str">
        <f t="shared" si="36"/>
        <v/>
      </c>
      <c r="Z57" s="69" t="str">
        <f t="shared" si="36"/>
        <v>beg.</v>
      </c>
      <c r="AA57" s="69" t="str">
        <f t="shared" si="36"/>
        <v/>
      </c>
      <c r="AB57" s="69" t="str">
        <f t="shared" si="36"/>
        <v>mid.</v>
      </c>
      <c r="AC57" s="69" t="str">
        <f t="shared" si="36"/>
        <v/>
      </c>
      <c r="AD57" s="69" t="str">
        <f t="shared" si="36"/>
        <v/>
      </c>
      <c r="AE57" s="69" t="str">
        <f t="shared" si="36"/>
        <v>beg.</v>
      </c>
      <c r="AF57" s="28"/>
    </row>
    <row r="58" spans="3:41" x14ac:dyDescent="0.55000000000000004">
      <c r="C58" s="27"/>
      <c r="D58" s="5" t="s">
        <v>4</v>
      </c>
      <c r="E58">
        <f>+F58-1</f>
        <v>0</v>
      </c>
      <c r="F58">
        <f t="shared" ref="F58:AD58" si="37">+G5</f>
        <v>1</v>
      </c>
      <c r="G58">
        <f t="shared" si="37"/>
        <v>2</v>
      </c>
      <c r="H58">
        <f t="shared" si="37"/>
        <v>3</v>
      </c>
      <c r="I58">
        <f t="shared" si="37"/>
        <v>4</v>
      </c>
      <c r="J58">
        <f t="shared" si="37"/>
        <v>5</v>
      </c>
      <c r="K58">
        <f t="shared" si="37"/>
        <v>6</v>
      </c>
      <c r="L58">
        <f t="shared" si="37"/>
        <v>7</v>
      </c>
      <c r="M58">
        <f t="shared" si="37"/>
        <v>8</v>
      </c>
      <c r="N58">
        <f t="shared" si="37"/>
        <v>9</v>
      </c>
      <c r="O58">
        <f t="shared" si="37"/>
        <v>10</v>
      </c>
      <c r="P58">
        <f t="shared" si="37"/>
        <v>11</v>
      </c>
      <c r="Q58">
        <f t="shared" si="37"/>
        <v>12</v>
      </c>
      <c r="R58">
        <f t="shared" si="37"/>
        <v>13</v>
      </c>
      <c r="S58">
        <f t="shared" si="37"/>
        <v>14</v>
      </c>
      <c r="T58">
        <f t="shared" si="37"/>
        <v>15</v>
      </c>
      <c r="U58">
        <f t="shared" si="37"/>
        <v>16</v>
      </c>
      <c r="V58">
        <f t="shared" si="37"/>
        <v>17</v>
      </c>
      <c r="W58">
        <f t="shared" si="37"/>
        <v>18</v>
      </c>
      <c r="X58">
        <f t="shared" si="37"/>
        <v>19</v>
      </c>
      <c r="Y58">
        <f t="shared" si="37"/>
        <v>20</v>
      </c>
      <c r="Z58">
        <f t="shared" si="37"/>
        <v>21</v>
      </c>
      <c r="AA58">
        <f t="shared" si="37"/>
        <v>22</v>
      </c>
      <c r="AB58">
        <f t="shared" si="37"/>
        <v>23</v>
      </c>
      <c r="AC58">
        <f t="shared" si="37"/>
        <v>24</v>
      </c>
      <c r="AD58">
        <f t="shared" si="37"/>
        <v>25</v>
      </c>
      <c r="AE58">
        <f>+AD58+1</f>
        <v>26</v>
      </c>
      <c r="AF58" s="28"/>
    </row>
    <row r="59" spans="3:41" x14ac:dyDescent="0.55000000000000004">
      <c r="C59" s="27"/>
      <c r="D59" s="5" t="s">
        <v>5</v>
      </c>
      <c r="E59">
        <f>+YEAR(E60)</f>
        <v>2026</v>
      </c>
      <c r="F59">
        <f t="shared" ref="F59:AD59" si="38">+G6</f>
        <v>2026</v>
      </c>
      <c r="G59">
        <f t="shared" si="38"/>
        <v>2026</v>
      </c>
      <c r="H59">
        <f t="shared" si="38"/>
        <v>2026</v>
      </c>
      <c r="I59">
        <f t="shared" si="38"/>
        <v>2026</v>
      </c>
      <c r="J59">
        <f t="shared" si="38"/>
        <v>2026</v>
      </c>
      <c r="K59">
        <f t="shared" si="38"/>
        <v>2027</v>
      </c>
      <c r="L59">
        <f t="shared" si="38"/>
        <v>2027</v>
      </c>
      <c r="M59">
        <f t="shared" si="38"/>
        <v>2027</v>
      </c>
      <c r="N59">
        <f t="shared" si="38"/>
        <v>2027</v>
      </c>
      <c r="O59">
        <f t="shared" si="38"/>
        <v>2027</v>
      </c>
      <c r="P59">
        <f t="shared" si="38"/>
        <v>2028</v>
      </c>
      <c r="Q59">
        <f t="shared" si="38"/>
        <v>2028</v>
      </c>
      <c r="R59">
        <f t="shared" si="38"/>
        <v>2028</v>
      </c>
      <c r="S59">
        <f t="shared" si="38"/>
        <v>2028</v>
      </c>
      <c r="T59">
        <f t="shared" si="38"/>
        <v>2028</v>
      </c>
      <c r="U59">
        <f t="shared" si="38"/>
        <v>2029</v>
      </c>
      <c r="V59">
        <f t="shared" si="38"/>
        <v>2029</v>
      </c>
      <c r="W59">
        <f t="shared" si="38"/>
        <v>2029</v>
      </c>
      <c r="X59">
        <f t="shared" si="38"/>
        <v>2029</v>
      </c>
      <c r="Y59">
        <f t="shared" si="38"/>
        <v>2029</v>
      </c>
      <c r="Z59">
        <f t="shared" si="38"/>
        <v>2030</v>
      </c>
      <c r="AA59">
        <f t="shared" si="38"/>
        <v>2030</v>
      </c>
      <c r="AB59">
        <f t="shared" si="38"/>
        <v>2030</v>
      </c>
      <c r="AC59">
        <f t="shared" si="38"/>
        <v>2030</v>
      </c>
      <c r="AD59">
        <f t="shared" si="38"/>
        <v>2030</v>
      </c>
      <c r="AE59">
        <f>+YEAR(AE60)</f>
        <v>2030</v>
      </c>
      <c r="AF59" s="28"/>
    </row>
    <row r="60" spans="3:41" x14ac:dyDescent="0.55000000000000004">
      <c r="C60" s="27"/>
      <c r="D60" s="39" t="s">
        <v>6</v>
      </c>
      <c r="E60" s="42">
        <f>+EOMONTH(F60,-1)</f>
        <v>46112</v>
      </c>
      <c r="F60" s="42">
        <f t="shared" ref="F60:AD60" si="39">+G7</f>
        <v>46142</v>
      </c>
      <c r="G60" s="42">
        <f t="shared" si="39"/>
        <v>46173</v>
      </c>
      <c r="H60" s="42">
        <f t="shared" si="39"/>
        <v>46203</v>
      </c>
      <c r="I60" s="42">
        <f t="shared" si="39"/>
        <v>46234</v>
      </c>
      <c r="J60" s="42">
        <f t="shared" si="39"/>
        <v>46265</v>
      </c>
      <c r="K60" s="42">
        <f t="shared" si="39"/>
        <v>46507</v>
      </c>
      <c r="L60" s="42">
        <f t="shared" si="39"/>
        <v>46538</v>
      </c>
      <c r="M60" s="42">
        <f t="shared" si="39"/>
        <v>46568</v>
      </c>
      <c r="N60" s="42">
        <f t="shared" si="39"/>
        <v>46599</v>
      </c>
      <c r="O60" s="42">
        <f t="shared" si="39"/>
        <v>46630</v>
      </c>
      <c r="P60" s="42">
        <f t="shared" si="39"/>
        <v>46873</v>
      </c>
      <c r="Q60" s="42">
        <f t="shared" si="39"/>
        <v>46904</v>
      </c>
      <c r="R60" s="42">
        <f t="shared" si="39"/>
        <v>46934</v>
      </c>
      <c r="S60" s="42">
        <f t="shared" si="39"/>
        <v>46965</v>
      </c>
      <c r="T60" s="42">
        <f t="shared" si="39"/>
        <v>46996</v>
      </c>
      <c r="U60" s="42">
        <f t="shared" si="39"/>
        <v>47238</v>
      </c>
      <c r="V60" s="42">
        <f t="shared" si="39"/>
        <v>47269</v>
      </c>
      <c r="W60" s="42">
        <f t="shared" si="39"/>
        <v>47299</v>
      </c>
      <c r="X60" s="42">
        <f t="shared" si="39"/>
        <v>47330</v>
      </c>
      <c r="Y60" s="42">
        <f t="shared" si="39"/>
        <v>47361</v>
      </c>
      <c r="Z60" s="42">
        <f t="shared" si="39"/>
        <v>47603</v>
      </c>
      <c r="AA60" s="42">
        <f t="shared" si="39"/>
        <v>47634</v>
      </c>
      <c r="AB60" s="42">
        <f t="shared" si="39"/>
        <v>47664</v>
      </c>
      <c r="AC60" s="42">
        <f t="shared" si="39"/>
        <v>47695</v>
      </c>
      <c r="AD60" s="42">
        <f t="shared" si="39"/>
        <v>47726</v>
      </c>
      <c r="AE60" s="42">
        <f>+EOMONTH(AD60,1)</f>
        <v>47756</v>
      </c>
      <c r="AF60" s="28"/>
    </row>
    <row r="61" spans="3:41" x14ac:dyDescent="0.55000000000000004">
      <c r="C61" s="27"/>
      <c r="E61" s="29"/>
      <c r="F61" s="29"/>
      <c r="G61" s="29"/>
      <c r="H61" s="29"/>
      <c r="AF61" s="28"/>
    </row>
    <row r="62" spans="3:41" x14ac:dyDescent="0.55000000000000004">
      <c r="C62" s="27"/>
      <c r="D62" s="30" t="str">
        <f t="shared" ref="D62:D93" si="40">+D9</f>
        <v>Ticketing</v>
      </c>
      <c r="E62" s="66" cm="1">
        <f t="array" ref="E62:AD62">+IFERROR(IF($E9="beg. / mid.",(($E$57:$AD$57="beg.")+($E$57:$AD$57="mid."))*$F9*SUMIFS($G9:$AE9,$G$6:$AE$6,$E$59:$AD$59),IF($E9="beg.",IF($E$57:$AD$57="beg.",$F9*SUMIFS($G9:$AE9,$G$6:$AE$6,$E$59:$AD$59),(1-$F9)*IF(OR($E9="beg.",$E9&lt;=-1),$G9:$AE9,_xlfn.HSTACK(_xlfn.SEQUENCE(1,1+ROUNDDOWN($E9,0),0,0),$G9:$AE9))),IF(OR($E9="beg.",$E9&lt;=-1),$G9:$AE9,_xlfn.HSTACK(_xlfn.SEQUENCE(1,1+ROUNDDOWN($E9,0),0,0),$G9:$AE9)))),0)</f>
        <v>0</v>
      </c>
      <c r="F62" s="17">
        <v>3600</v>
      </c>
      <c r="G62" s="17">
        <v>3600</v>
      </c>
      <c r="H62" s="17">
        <v>3600</v>
      </c>
      <c r="I62" s="17">
        <v>3600</v>
      </c>
      <c r="J62" s="17">
        <v>3600</v>
      </c>
      <c r="K62" s="17">
        <v>3600</v>
      </c>
      <c r="L62" s="17">
        <v>3600</v>
      </c>
      <c r="M62" s="17">
        <v>3600</v>
      </c>
      <c r="N62" s="17">
        <v>3600</v>
      </c>
      <c r="O62" s="17">
        <v>3600</v>
      </c>
      <c r="P62" s="17">
        <v>3600</v>
      </c>
      <c r="Q62" s="17">
        <v>3600</v>
      </c>
      <c r="R62" s="17">
        <v>3600</v>
      </c>
      <c r="S62" s="17">
        <v>3600</v>
      </c>
      <c r="T62" s="17">
        <v>3600</v>
      </c>
      <c r="U62" s="17">
        <v>3600</v>
      </c>
      <c r="V62" s="17">
        <v>3600</v>
      </c>
      <c r="W62" s="17">
        <v>3600</v>
      </c>
      <c r="X62" s="17">
        <v>3600</v>
      </c>
      <c r="Y62" s="17">
        <v>3600</v>
      </c>
      <c r="Z62" s="17">
        <v>3600</v>
      </c>
      <c r="AA62" s="17">
        <v>3600</v>
      </c>
      <c r="AB62" s="17">
        <v>3600</v>
      </c>
      <c r="AC62" s="17">
        <v>3600</v>
      </c>
      <c r="AD62" s="17">
        <v>3600</v>
      </c>
      <c r="AE62" s="17"/>
      <c r="AF62" s="28"/>
    </row>
    <row r="63" spans="3:41" x14ac:dyDescent="0.55000000000000004">
      <c r="C63" s="27"/>
      <c r="D63" s="31" t="str">
        <f t="shared" si="40"/>
        <v>Single event sponsor</v>
      </c>
      <c r="E63" s="66" cm="1">
        <f t="array" ref="E63:AC63">+IFERROR(IF($E10="beg. / mid.",(($E$57:$AD$57="beg.")+($E$57:$AD$57="mid."))*$F10*SUMIFS($G10:$AE10,$G$6:$AE$6,$E$59:$AD$59),IF($E10="beg.",IF($E$57:$AD$57="beg.",$F10*SUMIFS($G10:$AE10,$G$6:$AE$6,$E$59:$AD$59),(1-$F10)*IF(OR($E10="beg.",$E10&lt;=-1),$G10:$AE10,_xlfn.HSTACK(_xlfn.SEQUENCE(1,1+ROUNDDOWN($E10,0),0,0),$G10:$AE10))),IF(OR($E10="beg.",$E10&lt;=-1),$G10:$AE10,_xlfn.HSTACK(_xlfn.SEQUENCE(1,1+ROUNDDOWN($E10,0),0,0),$G10:$AE10)))),0)</f>
        <v>3520</v>
      </c>
      <c r="F63" s="17">
        <v>3520</v>
      </c>
      <c r="G63" s="17">
        <v>3520</v>
      </c>
      <c r="H63" s="17">
        <v>3520</v>
      </c>
      <c r="I63" s="17">
        <v>3520</v>
      </c>
      <c r="J63" s="17">
        <v>2243.9999999999991</v>
      </c>
      <c r="K63" s="17">
        <v>2243.9999999999991</v>
      </c>
      <c r="L63" s="17">
        <v>2243.9999999999991</v>
      </c>
      <c r="M63" s="17">
        <v>2243.9999999999991</v>
      </c>
      <c r="N63" s="17">
        <v>2243.9999999999991</v>
      </c>
      <c r="O63" s="17">
        <v>1979.9999999999986</v>
      </c>
      <c r="P63" s="17">
        <v>1979.9999999999986</v>
      </c>
      <c r="Q63" s="17">
        <v>1979.9999999999986</v>
      </c>
      <c r="R63" s="17">
        <v>1979.9999999999986</v>
      </c>
      <c r="S63" s="17">
        <v>1979.9999999999986</v>
      </c>
      <c r="T63" s="17">
        <v>417.99999999999773</v>
      </c>
      <c r="U63" s="17">
        <v>417.99999999999773</v>
      </c>
      <c r="V63" s="17">
        <v>417.99999999999773</v>
      </c>
      <c r="W63" s="17">
        <v>417.99999999999773</v>
      </c>
      <c r="X63" s="17">
        <v>417.99999999999773</v>
      </c>
      <c r="Y63" s="17">
        <v>-3.1263880373444408E-12</v>
      </c>
      <c r="Z63" s="17">
        <v>-3.1263880373444408E-12</v>
      </c>
      <c r="AA63" s="17">
        <v>-3.1263880373444408E-12</v>
      </c>
      <c r="AB63" s="17">
        <v>-3.1263880373444408E-12</v>
      </c>
      <c r="AC63" s="17">
        <v>-3.1263880373444408E-12</v>
      </c>
      <c r="AD63" s="17"/>
      <c r="AE63" s="17"/>
      <c r="AF63" s="28"/>
    </row>
    <row r="64" spans="3:41" x14ac:dyDescent="0.55000000000000004">
      <c r="C64" s="27"/>
      <c r="D64" s="31" t="str">
        <f t="shared" si="40"/>
        <v>Product promo sponsor</v>
      </c>
      <c r="E64" s="66" cm="1">
        <f t="array" ref="E64:AC64">+IFERROR(IF($E11="beg. / mid.",(($E$57:$AD$57="beg.")+($E$57:$AD$57="mid."))*$F11*SUMIFS($G11:$AE11,$G$6:$AE$6,$E$59:$AD$59),IF($E11="beg.",IF($E$57:$AD$57="beg.",$F11*SUMIFS($G11:$AE11,$G$6:$AE$6,$E$59:$AD$59),(1-$F11)*IF(OR($E11="beg.",$E11&lt;=-1),$G11:$AE11,_xlfn.HSTACK(_xlfn.SEQUENCE(1,1+ROUNDDOWN($E11,0),0,0),$G11:$AE11))),IF(OR($E11="beg.",$E11&lt;=-1),$G11:$AE11,_xlfn.HSTACK(_xlfn.SEQUENCE(1,1+ROUNDDOWN($E11,0),0,0),$G11:$AE11)))),0)</f>
        <v>1056</v>
      </c>
      <c r="F64" s="17">
        <v>1056</v>
      </c>
      <c r="G64" s="17">
        <v>1056</v>
      </c>
      <c r="H64" s="17">
        <v>1056</v>
      </c>
      <c r="I64" s="17">
        <v>1056</v>
      </c>
      <c r="J64" s="17">
        <v>1716.0000000000011</v>
      </c>
      <c r="K64" s="17">
        <v>1716.0000000000011</v>
      </c>
      <c r="L64" s="17">
        <v>1716.0000000000011</v>
      </c>
      <c r="M64" s="17">
        <v>1716.0000000000011</v>
      </c>
      <c r="N64" s="17">
        <v>1716.0000000000011</v>
      </c>
      <c r="O64" s="17">
        <v>2464.0000000000018</v>
      </c>
      <c r="P64" s="17">
        <v>2464.0000000000018</v>
      </c>
      <c r="Q64" s="17">
        <v>2464.0000000000018</v>
      </c>
      <c r="R64" s="17">
        <v>2464.0000000000018</v>
      </c>
      <c r="S64" s="17">
        <v>2464.0000000000018</v>
      </c>
      <c r="T64" s="17">
        <v>3300.0000000000036</v>
      </c>
      <c r="U64" s="17">
        <v>3300.0000000000036</v>
      </c>
      <c r="V64" s="17">
        <v>3300.0000000000036</v>
      </c>
      <c r="W64" s="17">
        <v>3300.0000000000036</v>
      </c>
      <c r="X64" s="17">
        <v>3300.0000000000036</v>
      </c>
      <c r="Y64" s="17">
        <v>4224.0000000000055</v>
      </c>
      <c r="Z64" s="17">
        <v>4224.0000000000055</v>
      </c>
      <c r="AA64" s="17">
        <v>4224.0000000000055</v>
      </c>
      <c r="AB64" s="17">
        <v>4224.0000000000055</v>
      </c>
      <c r="AC64" s="17">
        <v>4224.0000000000055</v>
      </c>
      <c r="AD64" s="17"/>
      <c r="AE64" s="17"/>
      <c r="AF64" s="28"/>
    </row>
    <row r="65" spans="3:32" x14ac:dyDescent="0.55000000000000004">
      <c r="C65" s="27"/>
      <c r="D65" s="31" t="str">
        <f t="shared" si="40"/>
        <v>Event series sponsor</v>
      </c>
      <c r="E65" s="66" cm="1">
        <f t="array" ref="E65:AC65">+IFERROR(IF($E12="beg. / mid.",(($E$57:$AD$57="beg.")+($E$57:$AD$57="mid."))*$F12*SUMIFS($G12:$AE12,$G$6:$AE$6,$E$59:$AD$59),IF($E12="beg.",IF($E$57:$AD$57="beg.",$F12*SUMIFS($G12:$AE12,$G$6:$AE$6,$E$59:$AD$59),(1-$F12)*IF(OR($E12="beg.",$E12&lt;=-1),$G12:$AE12,_xlfn.HSTACK(_xlfn.SEQUENCE(1,1+ROUNDDOWN($E12,0),0,0),$G12:$AE12))),IF(OR($E12="beg.",$E12&lt;=-1),$G12:$AE12,_xlfn.HSTACK(_xlfn.SEQUENCE(1,1+ROUNDDOWN($E12,0),0,0),$G12:$AE12)))),0)</f>
        <v>660</v>
      </c>
      <c r="F65" s="17">
        <v>660</v>
      </c>
      <c r="G65" s="17">
        <v>660</v>
      </c>
      <c r="H65" s="17">
        <v>660</v>
      </c>
      <c r="I65" s="17">
        <v>660</v>
      </c>
      <c r="J65" s="17">
        <v>1408</v>
      </c>
      <c r="K65" s="17">
        <v>1408</v>
      </c>
      <c r="L65" s="17">
        <v>1408</v>
      </c>
      <c r="M65" s="17">
        <v>1408</v>
      </c>
      <c r="N65" s="17">
        <v>1408</v>
      </c>
      <c r="O65" s="17">
        <v>1496</v>
      </c>
      <c r="P65" s="17">
        <v>1496</v>
      </c>
      <c r="Q65" s="17">
        <v>1496</v>
      </c>
      <c r="R65" s="17">
        <v>1496</v>
      </c>
      <c r="S65" s="17">
        <v>1496</v>
      </c>
      <c r="T65" s="17">
        <v>2376</v>
      </c>
      <c r="U65" s="17">
        <v>2376</v>
      </c>
      <c r="V65" s="17">
        <v>2376</v>
      </c>
      <c r="W65" s="17">
        <v>2376</v>
      </c>
      <c r="X65" s="17">
        <v>2376</v>
      </c>
      <c r="Y65" s="17">
        <v>2508</v>
      </c>
      <c r="Z65" s="17">
        <v>2508</v>
      </c>
      <c r="AA65" s="17">
        <v>2508</v>
      </c>
      <c r="AB65" s="17">
        <v>2508</v>
      </c>
      <c r="AC65" s="17">
        <v>2508</v>
      </c>
      <c r="AD65" s="17"/>
      <c r="AE65" s="17"/>
      <c r="AF65" s="28"/>
    </row>
    <row r="66" spans="3:32" x14ac:dyDescent="0.55000000000000004">
      <c r="C66" s="27"/>
      <c r="D66" s="31" t="str">
        <f t="shared" si="40"/>
        <v>Presenting partner</v>
      </c>
      <c r="E66" s="66" cm="1">
        <f t="array" ref="E66:AD66">+IFERROR(IF($E13="beg. / mid.",(($E$57:$AD$57="beg.")+($E$57:$AD$57="mid."))*$F13*SUMIFS($G13:$AE13,$G$6:$AE$6,$E$59:$AD$59),IF($E13="beg.",IF($E$57:$AD$57="beg.",$F13*SUMIFS($G13:$AE13,$G$6:$AE$6,$E$59:$AD$59),(1-$F13)*IF(OR($E13="beg.",$E13&lt;=-1),$G13:$AE13,_xlfn.HSTACK(_xlfn.SEQUENCE(1,1+ROUNDDOWN($E13,0),0,0),$G13:$AE13))),IF(OR($E13="beg.",$E13&lt;=-1),$G13:$AE13,_xlfn.HSTACK(_xlfn.SEQUENCE(1,1+ROUNDDOWN($E13,0),0,0),$G13:$AE13)))),0)</f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5000</v>
      </c>
      <c r="L66" s="17">
        <v>0</v>
      </c>
      <c r="M66" s="17">
        <v>5000</v>
      </c>
      <c r="N66" s="17">
        <v>0</v>
      </c>
      <c r="O66" s="17">
        <v>0</v>
      </c>
      <c r="P66" s="17">
        <v>5500</v>
      </c>
      <c r="Q66" s="17">
        <v>0</v>
      </c>
      <c r="R66" s="17">
        <v>5500</v>
      </c>
      <c r="S66" s="17">
        <v>0</v>
      </c>
      <c r="T66" s="17">
        <v>0</v>
      </c>
      <c r="U66" s="17">
        <v>6250</v>
      </c>
      <c r="V66" s="17">
        <v>0</v>
      </c>
      <c r="W66" s="17">
        <v>6250</v>
      </c>
      <c r="X66" s="17">
        <v>0</v>
      </c>
      <c r="Y66" s="17">
        <v>0</v>
      </c>
      <c r="Z66" s="17">
        <v>7000</v>
      </c>
      <c r="AA66" s="17">
        <v>0</v>
      </c>
      <c r="AB66" s="17">
        <v>7000</v>
      </c>
      <c r="AC66" s="17">
        <v>0</v>
      </c>
      <c r="AD66" s="17">
        <v>0</v>
      </c>
      <c r="AE66" s="17"/>
      <c r="AF66" s="28"/>
    </row>
    <row r="67" spans="3:32" x14ac:dyDescent="0.55000000000000004">
      <c r="C67" s="27"/>
      <c r="D67" s="32" t="str">
        <f t="shared" si="40"/>
        <v>Sponsor income</v>
      </c>
      <c r="E67" s="17">
        <f>+SUM(E63:E66)</f>
        <v>5236</v>
      </c>
      <c r="F67" s="17">
        <f t="shared" ref="F67:AE67" si="41">+SUM(F63:F66)</f>
        <v>5236</v>
      </c>
      <c r="G67" s="17">
        <f t="shared" si="41"/>
        <v>5236</v>
      </c>
      <c r="H67" s="17">
        <f t="shared" si="41"/>
        <v>5236</v>
      </c>
      <c r="I67" s="17">
        <f t="shared" si="41"/>
        <v>5236</v>
      </c>
      <c r="J67" s="17">
        <f t="shared" si="41"/>
        <v>5368</v>
      </c>
      <c r="K67" s="17">
        <f t="shared" si="41"/>
        <v>10368</v>
      </c>
      <c r="L67" s="17">
        <f t="shared" si="41"/>
        <v>5368</v>
      </c>
      <c r="M67" s="17">
        <f t="shared" si="41"/>
        <v>10368</v>
      </c>
      <c r="N67" s="17">
        <f t="shared" si="41"/>
        <v>5368</v>
      </c>
      <c r="O67" s="17">
        <f t="shared" si="41"/>
        <v>5940</v>
      </c>
      <c r="P67" s="17">
        <f t="shared" si="41"/>
        <v>11440</v>
      </c>
      <c r="Q67" s="17">
        <f t="shared" si="41"/>
        <v>5940</v>
      </c>
      <c r="R67" s="17">
        <f t="shared" si="41"/>
        <v>11440</v>
      </c>
      <c r="S67" s="17">
        <f t="shared" si="41"/>
        <v>5940</v>
      </c>
      <c r="T67" s="17">
        <f t="shared" si="41"/>
        <v>6094.0000000000018</v>
      </c>
      <c r="U67" s="17">
        <f t="shared" si="41"/>
        <v>12344.000000000002</v>
      </c>
      <c r="V67" s="17">
        <f t="shared" si="41"/>
        <v>6094.0000000000018</v>
      </c>
      <c r="W67" s="17">
        <f t="shared" si="41"/>
        <v>12344.000000000002</v>
      </c>
      <c r="X67" s="17">
        <f t="shared" si="41"/>
        <v>6094.0000000000018</v>
      </c>
      <c r="Y67" s="17">
        <f t="shared" si="41"/>
        <v>6732.0000000000027</v>
      </c>
      <c r="Z67" s="17">
        <f t="shared" si="41"/>
        <v>13732.000000000004</v>
      </c>
      <c r="AA67" s="17">
        <f t="shared" si="41"/>
        <v>6732.0000000000027</v>
      </c>
      <c r="AB67" s="17">
        <f t="shared" si="41"/>
        <v>13732.000000000004</v>
      </c>
      <c r="AC67" s="17">
        <f t="shared" si="41"/>
        <v>6732.0000000000027</v>
      </c>
      <c r="AD67" s="17">
        <f t="shared" si="41"/>
        <v>0</v>
      </c>
      <c r="AE67" s="17">
        <f t="shared" si="41"/>
        <v>0</v>
      </c>
      <c r="AF67" s="28"/>
    </row>
    <row r="68" spans="3:32" x14ac:dyDescent="0.55000000000000004">
      <c r="C68" s="27"/>
      <c r="D68" s="31" t="str">
        <f t="shared" si="40"/>
        <v>Partner 1 (luxe travel)</v>
      </c>
      <c r="E68" s="66" cm="1">
        <f t="array" ref="E68:AE68">+IFERROR(IF($E15="beg. / mid.",(($E$57:$AD$57="beg.")+($E$57:$AD$57="mid."))*$F15*SUMIFS($G15:$AE15,$G$6:$AE$6,$E$59:$AD$59),IF($E15="beg.",IF($E$57:$AD$57="beg.",$F15*SUMIFS($G15:$AE15,$G$6:$AE$6,$E$59:$AD$59),(1-$F15)*IF(OR($E15="beg.",$E15&lt;=-1),$G15:$AE15,_xlfn.HSTACK(_xlfn.SEQUENCE(1,1+ROUNDDOWN($E15,0),0,0),$G15:$AE15))),IF(OR($E15="beg.",$E15&lt;=-1),$G15:$AE15,_xlfn.HSTACK(_xlfn.SEQUENCE(1,1+ROUNDDOWN($E15,0),0,0),$G15:$AE15)))),0)</f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141.74999999999994</v>
      </c>
      <c r="M68" s="17">
        <v>141.74999999999994</v>
      </c>
      <c r="N68" s="17">
        <v>141.74999999999994</v>
      </c>
      <c r="O68" s="17">
        <v>141.74999999999994</v>
      </c>
      <c r="P68" s="17">
        <v>141.74999999999994</v>
      </c>
      <c r="Q68" s="17">
        <v>226.79999999999995</v>
      </c>
      <c r="R68" s="17">
        <v>226.79999999999995</v>
      </c>
      <c r="S68" s="17">
        <v>226.79999999999995</v>
      </c>
      <c r="T68" s="17">
        <v>226.79999999999995</v>
      </c>
      <c r="U68" s="17">
        <v>226.79999999999995</v>
      </c>
      <c r="V68" s="17">
        <v>311.84999999999991</v>
      </c>
      <c r="W68" s="17">
        <v>311.84999999999991</v>
      </c>
      <c r="X68" s="17">
        <v>311.84999999999991</v>
      </c>
      <c r="Y68" s="17">
        <v>311.84999999999991</v>
      </c>
      <c r="Z68" s="17">
        <v>311.84999999999991</v>
      </c>
      <c r="AA68" s="17">
        <v>425.24999999999989</v>
      </c>
      <c r="AB68" s="17">
        <v>425.24999999999989</v>
      </c>
      <c r="AC68" s="17">
        <v>425.24999999999989</v>
      </c>
      <c r="AD68" s="17">
        <v>425.24999999999989</v>
      </c>
      <c r="AE68" s="17">
        <v>425.24999999999989</v>
      </c>
      <c r="AF68" s="28"/>
    </row>
    <row r="69" spans="3:32" x14ac:dyDescent="0.55000000000000004">
      <c r="C69" s="27"/>
      <c r="D69" s="31" t="str">
        <f t="shared" si="40"/>
        <v>Partner 2 (wearable tech)</v>
      </c>
      <c r="E69" s="66" cm="1">
        <f t="array" ref="E69:AE69">+IFERROR(IF($E16="beg. / mid.",(($E$57:$AD$57="beg.")+($E$57:$AD$57="mid."))*$F16*SUMIFS($G16:$AE16,$G$6:$AE$6,$E$59:$AD$59),IF($E16="beg.",IF($E$57:$AD$57="beg.",$F16*SUMIFS($G16:$AE16,$G$6:$AE$6,$E$59:$AD$59),(1-$F16)*IF(OR($E16="beg.",$E16&lt;=-1),$G16:$AE16,_xlfn.HSTACK(_xlfn.SEQUENCE(1,1+ROUNDDOWN($E16,0),0,0),$G16:$AE16))),IF(OR($E16="beg.",$E16&lt;=-1),$G16:$AE16,_xlfn.HSTACK(_xlfn.SEQUENCE(1,1+ROUNDDOWN($E16,0),0,0),$G16:$AE16)))),0)</f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443.52</v>
      </c>
      <c r="W69" s="17">
        <v>443.52</v>
      </c>
      <c r="X69" s="17">
        <v>443.52</v>
      </c>
      <c r="Y69" s="17">
        <v>443.52</v>
      </c>
      <c r="Z69" s="17">
        <v>443.52</v>
      </c>
      <c r="AA69" s="17">
        <v>604.79999999999995</v>
      </c>
      <c r="AB69" s="17">
        <v>604.79999999999995</v>
      </c>
      <c r="AC69" s="17">
        <v>604.79999999999995</v>
      </c>
      <c r="AD69" s="17">
        <v>604.79999999999995</v>
      </c>
      <c r="AE69" s="17">
        <v>604.79999999999995</v>
      </c>
      <c r="AF69" s="28"/>
    </row>
    <row r="70" spans="3:32" x14ac:dyDescent="0.55000000000000004">
      <c r="C70" s="27"/>
      <c r="D70" s="31" t="str">
        <f t="shared" si="40"/>
        <v>Partner 3 (premium credit card)</v>
      </c>
      <c r="E70" s="66" cm="1">
        <f t="array" ref="E70:AE70">+IFERROR(IF($E17="beg. / mid.",(($E$57:$AD$57="beg.")+($E$57:$AD$57="mid."))*$F17*SUMIFS($G17:$AE17,$G$6:$AE$6,$E$59:$AD$59),IF($E17="beg.",IF($E$57:$AD$57="beg.",$F17*SUMIFS($G17:$AE17,$G$6:$AE$6,$E$59:$AD$59),(1-$F17)*IF(OR($E17="beg.",$E17&lt;=-1),$G17:$AE17,_xlfn.HSTACK(_xlfn.SEQUENCE(1,1+ROUNDDOWN($E17,0),0,0),$G17:$AE17))),IF(OR($E17="beg.",$E17&lt;=-1),$G17:$AE17,_xlfn.HSTACK(_xlfn.SEQUENCE(1,1+ROUNDDOWN($E17,0),0,0),$G17:$AE17)))),0)</f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336</v>
      </c>
      <c r="R70" s="17">
        <v>336</v>
      </c>
      <c r="S70" s="17">
        <v>336</v>
      </c>
      <c r="T70" s="17">
        <v>336</v>
      </c>
      <c r="U70" s="17">
        <v>336</v>
      </c>
      <c r="V70" s="17">
        <v>462</v>
      </c>
      <c r="W70" s="17">
        <v>462</v>
      </c>
      <c r="X70" s="17">
        <v>462</v>
      </c>
      <c r="Y70" s="17">
        <v>462</v>
      </c>
      <c r="Z70" s="17">
        <v>462</v>
      </c>
      <c r="AA70" s="17">
        <v>630</v>
      </c>
      <c r="AB70" s="17">
        <v>630</v>
      </c>
      <c r="AC70" s="17">
        <v>630</v>
      </c>
      <c r="AD70" s="17">
        <v>630</v>
      </c>
      <c r="AE70" s="17">
        <v>630</v>
      </c>
      <c r="AF70" s="28"/>
    </row>
    <row r="71" spans="3:32" x14ac:dyDescent="0.55000000000000004">
      <c r="C71" s="27"/>
      <c r="D71" s="32" t="str">
        <f t="shared" si="40"/>
        <v>Affiliate income</v>
      </c>
      <c r="E71" s="17">
        <f>+SUM(E68:E70)</f>
        <v>0</v>
      </c>
      <c r="F71" s="17">
        <f t="shared" ref="F71:AE71" si="42">+SUM(F68:F70)</f>
        <v>0</v>
      </c>
      <c r="G71" s="17">
        <f t="shared" si="42"/>
        <v>0</v>
      </c>
      <c r="H71" s="17">
        <f t="shared" si="42"/>
        <v>0</v>
      </c>
      <c r="I71" s="17">
        <f t="shared" si="42"/>
        <v>0</v>
      </c>
      <c r="J71" s="17">
        <f t="shared" si="42"/>
        <v>0</v>
      </c>
      <c r="K71" s="17">
        <f t="shared" si="42"/>
        <v>0</v>
      </c>
      <c r="L71" s="17">
        <f t="shared" si="42"/>
        <v>141.74999999999994</v>
      </c>
      <c r="M71" s="17">
        <f t="shared" si="42"/>
        <v>141.74999999999994</v>
      </c>
      <c r="N71" s="17">
        <f t="shared" si="42"/>
        <v>141.74999999999994</v>
      </c>
      <c r="O71" s="17">
        <f t="shared" si="42"/>
        <v>141.74999999999994</v>
      </c>
      <c r="P71" s="17">
        <f t="shared" si="42"/>
        <v>141.74999999999994</v>
      </c>
      <c r="Q71" s="17">
        <f t="shared" si="42"/>
        <v>562.79999999999995</v>
      </c>
      <c r="R71" s="17">
        <f t="shared" si="42"/>
        <v>562.79999999999995</v>
      </c>
      <c r="S71" s="17">
        <f t="shared" si="42"/>
        <v>562.79999999999995</v>
      </c>
      <c r="T71" s="17">
        <f t="shared" si="42"/>
        <v>562.79999999999995</v>
      </c>
      <c r="U71" s="17">
        <f t="shared" si="42"/>
        <v>562.79999999999995</v>
      </c>
      <c r="V71" s="17">
        <f t="shared" si="42"/>
        <v>1217.3699999999999</v>
      </c>
      <c r="W71" s="17">
        <f t="shared" si="42"/>
        <v>1217.3699999999999</v>
      </c>
      <c r="X71" s="17">
        <f t="shared" si="42"/>
        <v>1217.3699999999999</v>
      </c>
      <c r="Y71" s="17">
        <f t="shared" si="42"/>
        <v>1217.3699999999999</v>
      </c>
      <c r="Z71" s="17">
        <f t="shared" si="42"/>
        <v>1217.3699999999999</v>
      </c>
      <c r="AA71" s="17">
        <f t="shared" si="42"/>
        <v>1660.0499999999997</v>
      </c>
      <c r="AB71" s="17">
        <f t="shared" si="42"/>
        <v>1660.0499999999997</v>
      </c>
      <c r="AC71" s="17">
        <f t="shared" si="42"/>
        <v>1660.0499999999997</v>
      </c>
      <c r="AD71" s="17">
        <f t="shared" si="42"/>
        <v>1660.0499999999997</v>
      </c>
      <c r="AE71" s="17">
        <f t="shared" si="42"/>
        <v>1660.0499999999997</v>
      </c>
      <c r="AF71" s="28"/>
    </row>
    <row r="72" spans="3:32" x14ac:dyDescent="0.55000000000000004">
      <c r="C72" s="27"/>
      <c r="D72" s="5" t="str">
        <f t="shared" si="40"/>
        <v>Total income</v>
      </c>
      <c r="E72" s="12">
        <f>+E62+E67+E71</f>
        <v>5236</v>
      </c>
      <c r="F72" s="12">
        <f t="shared" ref="F72:AE72" si="43">+F62+F67+F71</f>
        <v>8836</v>
      </c>
      <c r="G72" s="12">
        <f t="shared" si="43"/>
        <v>8836</v>
      </c>
      <c r="H72" s="12">
        <f t="shared" si="43"/>
        <v>8836</v>
      </c>
      <c r="I72" s="12">
        <f t="shared" si="43"/>
        <v>8836</v>
      </c>
      <c r="J72" s="12">
        <f t="shared" si="43"/>
        <v>8968</v>
      </c>
      <c r="K72" s="12">
        <f t="shared" si="43"/>
        <v>13968</v>
      </c>
      <c r="L72" s="12">
        <f t="shared" si="43"/>
        <v>9109.75</v>
      </c>
      <c r="M72" s="12">
        <f t="shared" si="43"/>
        <v>14109.75</v>
      </c>
      <c r="N72" s="12">
        <f t="shared" si="43"/>
        <v>9109.75</v>
      </c>
      <c r="O72" s="12">
        <f t="shared" si="43"/>
        <v>9681.75</v>
      </c>
      <c r="P72" s="12">
        <f t="shared" si="43"/>
        <v>15181.75</v>
      </c>
      <c r="Q72" s="12">
        <f t="shared" si="43"/>
        <v>10102.799999999999</v>
      </c>
      <c r="R72" s="12">
        <f t="shared" si="43"/>
        <v>15602.8</v>
      </c>
      <c r="S72" s="12">
        <f t="shared" si="43"/>
        <v>10102.799999999999</v>
      </c>
      <c r="T72" s="12">
        <f t="shared" si="43"/>
        <v>10256.800000000001</v>
      </c>
      <c r="U72" s="12">
        <f t="shared" si="43"/>
        <v>16506.800000000003</v>
      </c>
      <c r="V72" s="12">
        <f t="shared" si="43"/>
        <v>10911.370000000003</v>
      </c>
      <c r="W72" s="12">
        <f t="shared" si="43"/>
        <v>17161.370000000003</v>
      </c>
      <c r="X72" s="12">
        <f t="shared" si="43"/>
        <v>10911.370000000003</v>
      </c>
      <c r="Y72" s="12">
        <f t="shared" si="43"/>
        <v>11549.370000000003</v>
      </c>
      <c r="Z72" s="12">
        <f t="shared" si="43"/>
        <v>18549.370000000003</v>
      </c>
      <c r="AA72" s="12">
        <f t="shared" si="43"/>
        <v>11992.050000000003</v>
      </c>
      <c r="AB72" s="12">
        <f t="shared" si="43"/>
        <v>18992.050000000003</v>
      </c>
      <c r="AC72" s="12">
        <f t="shared" si="43"/>
        <v>11992.050000000003</v>
      </c>
      <c r="AD72" s="12">
        <f t="shared" si="43"/>
        <v>5260.0499999999993</v>
      </c>
      <c r="AE72" s="12">
        <f t="shared" si="43"/>
        <v>1660.0499999999997</v>
      </c>
      <c r="AF72" s="28"/>
    </row>
    <row r="73" spans="3:32" x14ac:dyDescent="0.55000000000000004">
      <c r="C73" s="27"/>
      <c r="D73" s="32" t="str">
        <f t="shared" si="40"/>
        <v>Single event sponsor servicing cost</v>
      </c>
      <c r="E73" s="66" cm="1">
        <f t="array" ref="E73:AD73">+IFERROR(IF($E20="beg. / mid.",(($E$57:$AD$57="beg.")+($E$57:$AD$57="mid."))*$F20*SUMIFS($G20:$AE20,$G$6:$AE$6,$E$59:$AD$59),IF($E20="beg.",IF($E$57:$AD$57="beg.",$F20*SUMIFS($G20:$AE20,$G$6:$AE$6,$E$59:$AD$59),(1-$F20)*IF(OR($E20="beg.",$E20&lt;=-1),$G20:$AE20,_xlfn.HSTACK(_xlfn.SEQUENCE(1,1+ROUNDDOWN($E20,0),0,0),$G20:$AE20))),IF(OR($E20="beg.",$E20&lt;=-1),$G20:$AE20,_xlfn.HSTACK(_xlfn.SEQUENCE(1,1+ROUNDDOWN($E20,0),0,0),$G20:$AE20)))),0)</f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/>
      <c r="AF73" s="28"/>
    </row>
    <row r="74" spans="3:32" x14ac:dyDescent="0.55000000000000004">
      <c r="C74" s="27"/>
      <c r="D74" s="32" t="str">
        <f t="shared" si="40"/>
        <v>Product promo sponsor servicing cost</v>
      </c>
      <c r="E74" s="66" cm="1">
        <f t="array" ref="E74:AD74">+IFERROR(IF($E21="beg. / mid.",(($E$57:$AD$57="beg.")+($E$57:$AD$57="mid."))*$F21*SUMIFS($G21:$AE21,$G$6:$AE$6,$E$59:$AD$59),IF($E21="beg.",IF($E$57:$AD$57="beg.",$F21*SUMIFS($G21:$AE21,$G$6:$AE$6,$E$59:$AD$59),(1-$F21)*IF(OR($E21="beg.",$E21&lt;=-1),$G21:$AE21,_xlfn.HSTACK(_xlfn.SEQUENCE(1,1+ROUNDDOWN($E21,0),0,0),$G21:$AE21))),IF(OR($E21="beg.",$E21&lt;=-1),$G21:$AE21,_xlfn.HSTACK(_xlfn.SEQUENCE(1,1+ROUNDDOWN($E21,0),0,0),$G21:$AE21)))),0)</f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/>
      <c r="AF74" s="28"/>
    </row>
    <row r="75" spans="3:32" x14ac:dyDescent="0.55000000000000004">
      <c r="C75" s="27"/>
      <c r="D75" s="32" t="str">
        <f t="shared" si="40"/>
        <v>Event series sponsor servicing cost</v>
      </c>
      <c r="E75" s="66" cm="1">
        <f t="array" ref="E75:AD75">+IFERROR(IF($E22="beg. / mid.",(($E$57:$AD$57="beg.")+($E$57:$AD$57="mid."))*$F22*SUMIFS($G22:$AE22,$G$6:$AE$6,$E$59:$AD$59),IF($E22="beg.",IF($E$57:$AD$57="beg.",$F22*SUMIFS($G22:$AE22,$G$6:$AE$6,$E$59:$AD$59),(1-$F22)*IF(OR($E22="beg.",$E22&lt;=-1),$G22:$AE22,_xlfn.HSTACK(_xlfn.SEQUENCE(1,1+ROUNDDOWN($E22,0),0,0),$G22:$AE22))),IF(OR($E22="beg.",$E22&lt;=-1),$G22:$AE22,_xlfn.HSTACK(_xlfn.SEQUENCE(1,1+ROUNDDOWN($E22,0),0,0),$G22:$AE22)))),0)</f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/>
      <c r="AF75" s="28"/>
    </row>
    <row r="76" spans="3:32" x14ac:dyDescent="0.55000000000000004">
      <c r="C76" s="27"/>
      <c r="D76" s="32" t="str">
        <f t="shared" si="40"/>
        <v>Presenting partner servicing cost</v>
      </c>
      <c r="E76" s="66" cm="1">
        <f t="array" ref="E76:AD76">+IFERROR(IF($E23="beg. / mid.",(($E$57:$AD$57="beg.")+($E$57:$AD$57="mid."))*$F23*SUMIFS($G23:$AE23,$G$6:$AE$6,$E$59:$AD$59),IF($E23="beg.",IF($E$57:$AD$57="beg.",$F23*SUMIFS($G23:$AE23,$G$6:$AE$6,$E$59:$AD$59),(1-$F23)*IF(OR($E23="beg.",$E23&lt;=-1),$G23:$AE23,_xlfn.HSTACK(_xlfn.SEQUENCE(1,1+ROUNDDOWN($E23,0),0,0),$G23:$AE23))),IF(OR($E23="beg.",$E23&lt;=-1),$G23:$AE23,_xlfn.HSTACK(_xlfn.SEQUENCE(1,1+ROUNDDOWN($E23,0),0,0),$G23:$AE23)))),0)</f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-250</v>
      </c>
      <c r="L76" s="17">
        <v>0</v>
      </c>
      <c r="M76" s="17">
        <v>0</v>
      </c>
      <c r="N76" s="17">
        <v>0</v>
      </c>
      <c r="O76" s="17">
        <v>0</v>
      </c>
      <c r="P76" s="17">
        <v>-250</v>
      </c>
      <c r="Q76" s="17">
        <v>0</v>
      </c>
      <c r="R76" s="17">
        <v>0</v>
      </c>
      <c r="S76" s="17">
        <v>0</v>
      </c>
      <c r="T76" s="17">
        <v>0</v>
      </c>
      <c r="U76" s="17">
        <v>-250</v>
      </c>
      <c r="V76" s="17">
        <v>0</v>
      </c>
      <c r="W76" s="17">
        <v>0</v>
      </c>
      <c r="X76" s="17">
        <v>0</v>
      </c>
      <c r="Y76" s="17">
        <v>0</v>
      </c>
      <c r="Z76" s="17">
        <v>-250</v>
      </c>
      <c r="AA76" s="17">
        <v>0</v>
      </c>
      <c r="AB76" s="17">
        <v>0</v>
      </c>
      <c r="AC76" s="17">
        <v>0</v>
      </c>
      <c r="AD76" s="17">
        <v>0</v>
      </c>
      <c r="AE76" s="17"/>
      <c r="AF76" s="28"/>
    </row>
    <row r="77" spans="3:32" x14ac:dyDescent="0.55000000000000004">
      <c r="C77" s="27"/>
      <c r="D77" s="32" t="str">
        <f t="shared" si="40"/>
        <v>Event services</v>
      </c>
      <c r="E77" s="66" cm="1">
        <f t="array" ref="E77:AD77">+IFERROR(IF($E24="beg. / mid.",(($E$57:$AD$57="beg.")+($E$57:$AD$57="mid."))*$F24*SUMIFS($G24:$AE24,$G$6:$AE$6,$E$59:$AD$59),IF($E24="beg.",IF($E$57:$AD$57="beg.",$F24*SUMIFS($G24:$AE24,$G$6:$AE$6,$E$59:$AD$59),(1-$F24)*IF(OR($E24="beg.",$E24&lt;=-1),$G24:$AE24,_xlfn.HSTACK(_xlfn.SEQUENCE(1,1+ROUNDDOWN($E24,0),0,0),$G24:$AE24))),IF(OR($E24="beg.",$E24&lt;=-1),$G24:$AE24,_xlfn.HSTACK(_xlfn.SEQUENCE(1,1+ROUNDDOWN($E24,0),0,0),$G24:$AE24)))),0)</f>
        <v>0</v>
      </c>
      <c r="F77" s="17">
        <v>-4000</v>
      </c>
      <c r="G77" s="17">
        <v>-4000</v>
      </c>
      <c r="H77" s="17">
        <v>-4000</v>
      </c>
      <c r="I77" s="17">
        <v>-4000</v>
      </c>
      <c r="J77" s="17">
        <v>-4000</v>
      </c>
      <c r="K77" s="17">
        <v>-4000</v>
      </c>
      <c r="L77" s="17">
        <v>-4000</v>
      </c>
      <c r="M77" s="17">
        <v>-4000</v>
      </c>
      <c r="N77" s="17">
        <v>-4000</v>
      </c>
      <c r="O77" s="17">
        <v>-4000</v>
      </c>
      <c r="P77" s="17">
        <v>-4000</v>
      </c>
      <c r="Q77" s="17">
        <v>-4000</v>
      </c>
      <c r="R77" s="17">
        <v>-4000</v>
      </c>
      <c r="S77" s="17">
        <v>-4000</v>
      </c>
      <c r="T77" s="17">
        <v>-4000</v>
      </c>
      <c r="U77" s="17">
        <v>-4000</v>
      </c>
      <c r="V77" s="17">
        <v>-4000</v>
      </c>
      <c r="W77" s="17">
        <v>-4000</v>
      </c>
      <c r="X77" s="17">
        <v>-4000</v>
      </c>
      <c r="Y77" s="17">
        <v>-4000</v>
      </c>
      <c r="Z77" s="17">
        <v>-4000</v>
      </c>
      <c r="AA77" s="17">
        <v>-4000</v>
      </c>
      <c r="AB77" s="17">
        <v>-4000</v>
      </c>
      <c r="AC77" s="17">
        <v>-4000</v>
      </c>
      <c r="AD77" s="17">
        <v>-4000</v>
      </c>
      <c r="AE77" s="17"/>
      <c r="AF77" s="28"/>
    </row>
    <row r="78" spans="3:32" x14ac:dyDescent="0.55000000000000004">
      <c r="C78" s="27"/>
      <c r="D78" s="32" t="str">
        <f t="shared" si="40"/>
        <v>Photo/videography</v>
      </c>
      <c r="E78" s="66" cm="1">
        <f t="array" ref="E78:AE78">+IFERROR(IF($E25="beg. / mid.",(($E$57:$AD$57="beg.")+($E$57:$AD$57="mid."))*$F25*SUMIFS($G25:$AE25,$G$6:$AE$6,$E$59:$AD$59),IF($E25="beg.",IF($E$57:$AD$57="beg.",$F25*SUMIFS($G25:$AE25,$G$6:$AE$6,$E$59:$AD$59),(1-$F25)*IF(OR($E25="beg.",$E25&lt;=-1),$G25:$AE25,_xlfn.HSTACK(_xlfn.SEQUENCE(1,1+ROUNDDOWN($E25,0),0,0),$G25:$AE25))),IF(OR($E25="beg.",$E25&lt;=-1),$G25:$AE25,_xlfn.HSTACK(_xlfn.SEQUENCE(1,1+ROUNDDOWN($E25,0),0,0),$G25:$AE25)))),0)</f>
        <v>0</v>
      </c>
      <c r="F78" s="17">
        <v>0</v>
      </c>
      <c r="G78" s="17">
        <v>-1500</v>
      </c>
      <c r="H78" s="17">
        <v>-1500</v>
      </c>
      <c r="I78" s="17">
        <v>-1500</v>
      </c>
      <c r="J78" s="17">
        <v>-1500</v>
      </c>
      <c r="K78" s="17">
        <v>-1500</v>
      </c>
      <c r="L78" s="17">
        <v>-1500</v>
      </c>
      <c r="M78" s="17">
        <v>-1500</v>
      </c>
      <c r="N78" s="17">
        <v>-1500</v>
      </c>
      <c r="O78" s="17">
        <v>-1500</v>
      </c>
      <c r="P78" s="17">
        <v>-1500</v>
      </c>
      <c r="Q78" s="17">
        <v>-1500</v>
      </c>
      <c r="R78" s="17">
        <v>-1500</v>
      </c>
      <c r="S78" s="17">
        <v>-1500</v>
      </c>
      <c r="T78" s="17">
        <v>-1500</v>
      </c>
      <c r="U78" s="17">
        <v>-1500</v>
      </c>
      <c r="V78" s="17">
        <v>-1500</v>
      </c>
      <c r="W78" s="17">
        <v>-1500</v>
      </c>
      <c r="X78" s="17">
        <v>-1500</v>
      </c>
      <c r="Y78" s="17">
        <v>-1500</v>
      </c>
      <c r="Z78" s="17">
        <v>-1500</v>
      </c>
      <c r="AA78" s="17">
        <v>-1500</v>
      </c>
      <c r="AB78" s="17">
        <v>-1500</v>
      </c>
      <c r="AC78" s="17">
        <v>-1500</v>
      </c>
      <c r="AD78" s="17">
        <v>-1500</v>
      </c>
      <c r="AE78" s="17">
        <v>-1500</v>
      </c>
      <c r="AF78" s="28"/>
    </row>
    <row r="79" spans="3:32" x14ac:dyDescent="0.55000000000000004">
      <c r="C79" s="27"/>
      <c r="D79" s="32" t="str">
        <f t="shared" si="40"/>
        <v>Venue rental/activation</v>
      </c>
      <c r="E79" s="66" cm="1">
        <f t="array" ref="E79:AD79">+IFERROR(IF($E26="beg. / mid.",(($E$57:$AD$57="beg.")+($E$57:$AD$57="mid."))*$F26*SUMIFS($G26:$AE26,$G$6:$AE$6,$E$59:$AD$59),IF($E26="beg.",IF($E$57:$AD$57="beg.",$F26*SUMIFS($G26:$AE26,$G$6:$AE$6,$E$59:$AD$59),(1-$F26)*IF(OR($E26="beg.",$E26&lt;=-1),$G26:$AE26,_xlfn.HSTACK(_xlfn.SEQUENCE(1,1+ROUNDDOWN($E26,0),0,0),$G26:$AE26))),IF(OR($E26="beg.",$E26&lt;=-1),$G26:$AE26,_xlfn.HSTACK(_xlfn.SEQUENCE(1,1+ROUNDDOWN($E26,0),0,0),$G26:$AE26)))),0)</f>
        <v>0</v>
      </c>
      <c r="F79" s="17">
        <v>-1900</v>
      </c>
      <c r="G79" s="17">
        <v>-1900</v>
      </c>
      <c r="H79" s="17">
        <v>-1900</v>
      </c>
      <c r="I79" s="17">
        <v>-1900</v>
      </c>
      <c r="J79" s="17">
        <v>-1900</v>
      </c>
      <c r="K79" s="17">
        <v>-1900</v>
      </c>
      <c r="L79" s="17">
        <v>-1900</v>
      </c>
      <c r="M79" s="17">
        <v>-1900</v>
      </c>
      <c r="N79" s="17">
        <v>-1900</v>
      </c>
      <c r="O79" s="17">
        <v>-1900</v>
      </c>
      <c r="P79" s="17">
        <v>-1900</v>
      </c>
      <c r="Q79" s="17">
        <v>-1900</v>
      </c>
      <c r="R79" s="17">
        <v>-1900</v>
      </c>
      <c r="S79" s="17">
        <v>-1900</v>
      </c>
      <c r="T79" s="17">
        <v>-1900</v>
      </c>
      <c r="U79" s="17">
        <v>-1900</v>
      </c>
      <c r="V79" s="17">
        <v>-1900</v>
      </c>
      <c r="W79" s="17">
        <v>-1900</v>
      </c>
      <c r="X79" s="17">
        <v>-1900</v>
      </c>
      <c r="Y79" s="17">
        <v>-1900</v>
      </c>
      <c r="Z79" s="17">
        <v>-1900</v>
      </c>
      <c r="AA79" s="17">
        <v>-1900</v>
      </c>
      <c r="AB79" s="17">
        <v>-1900</v>
      </c>
      <c r="AC79" s="17">
        <v>-1900</v>
      </c>
      <c r="AD79" s="17">
        <v>-1900</v>
      </c>
      <c r="AE79" s="17"/>
      <c r="AF79" s="28"/>
    </row>
    <row r="80" spans="3:32" x14ac:dyDescent="0.55000000000000004">
      <c r="C80" s="27"/>
      <c r="D80" s="5" t="str">
        <f t="shared" si="40"/>
        <v>Total costs of goods sold</v>
      </c>
      <c r="E80" s="67">
        <f>+SUM(E73:E79)</f>
        <v>0</v>
      </c>
      <c r="F80" s="68">
        <f>+SUM(F73:F79)</f>
        <v>-5900</v>
      </c>
      <c r="G80" s="68">
        <f t="shared" ref="G80:AE80" si="44">+SUM(G73:G79)</f>
        <v>-7400</v>
      </c>
      <c r="H80" s="68">
        <f t="shared" si="44"/>
        <v>-7400</v>
      </c>
      <c r="I80" s="68">
        <f t="shared" si="44"/>
        <v>-7400</v>
      </c>
      <c r="J80" s="68">
        <f t="shared" si="44"/>
        <v>-7400</v>
      </c>
      <c r="K80" s="68">
        <f t="shared" si="44"/>
        <v>-7650</v>
      </c>
      <c r="L80" s="68">
        <f t="shared" si="44"/>
        <v>-7400</v>
      </c>
      <c r="M80" s="68">
        <f t="shared" si="44"/>
        <v>-7400</v>
      </c>
      <c r="N80" s="68">
        <f t="shared" si="44"/>
        <v>-7400</v>
      </c>
      <c r="O80" s="68">
        <f t="shared" si="44"/>
        <v>-7400</v>
      </c>
      <c r="P80" s="68">
        <f t="shared" si="44"/>
        <v>-7650</v>
      </c>
      <c r="Q80" s="68">
        <f t="shared" si="44"/>
        <v>-7400</v>
      </c>
      <c r="R80" s="68">
        <f t="shared" si="44"/>
        <v>-7400</v>
      </c>
      <c r="S80" s="68">
        <f t="shared" si="44"/>
        <v>-7400</v>
      </c>
      <c r="T80" s="68">
        <f t="shared" si="44"/>
        <v>-7400</v>
      </c>
      <c r="U80" s="68">
        <f t="shared" si="44"/>
        <v>-7650</v>
      </c>
      <c r="V80" s="68">
        <f t="shared" si="44"/>
        <v>-7400</v>
      </c>
      <c r="W80" s="68">
        <f t="shared" si="44"/>
        <v>-7400</v>
      </c>
      <c r="X80" s="68">
        <f t="shared" si="44"/>
        <v>-7400</v>
      </c>
      <c r="Y80" s="68">
        <f t="shared" si="44"/>
        <v>-7400</v>
      </c>
      <c r="Z80" s="68">
        <f t="shared" si="44"/>
        <v>-7650</v>
      </c>
      <c r="AA80" s="68">
        <f t="shared" si="44"/>
        <v>-7400</v>
      </c>
      <c r="AB80" s="68">
        <f t="shared" si="44"/>
        <v>-7400</v>
      </c>
      <c r="AC80" s="68">
        <f t="shared" si="44"/>
        <v>-7400</v>
      </c>
      <c r="AD80" s="68">
        <f t="shared" si="44"/>
        <v>-7400</v>
      </c>
      <c r="AE80" s="12">
        <f t="shared" si="44"/>
        <v>-1500</v>
      </c>
      <c r="AF80" s="28"/>
    </row>
    <row r="81" spans="3:32" x14ac:dyDescent="0.55000000000000004">
      <c r="C81" s="27"/>
      <c r="D81" s="6" t="str">
        <f t="shared" si="40"/>
        <v>Gross profit</v>
      </c>
      <c r="E81" s="7">
        <f>+E72+E80</f>
        <v>5236</v>
      </c>
      <c r="F81" s="7">
        <f>+F72+F80</f>
        <v>2936</v>
      </c>
      <c r="G81" s="7">
        <f t="shared" ref="G81:AE81" si="45">+G72+G80</f>
        <v>1436</v>
      </c>
      <c r="H81" s="7">
        <f t="shared" si="45"/>
        <v>1436</v>
      </c>
      <c r="I81" s="7">
        <f t="shared" si="45"/>
        <v>1436</v>
      </c>
      <c r="J81" s="7">
        <f t="shared" si="45"/>
        <v>1568</v>
      </c>
      <c r="K81" s="7">
        <f t="shared" si="45"/>
        <v>6318</v>
      </c>
      <c r="L81" s="7">
        <f t="shared" si="45"/>
        <v>1709.75</v>
      </c>
      <c r="M81" s="7">
        <f t="shared" si="45"/>
        <v>6709.75</v>
      </c>
      <c r="N81" s="7">
        <f t="shared" si="45"/>
        <v>1709.75</v>
      </c>
      <c r="O81" s="7">
        <f t="shared" si="45"/>
        <v>2281.75</v>
      </c>
      <c r="P81" s="7">
        <f t="shared" si="45"/>
        <v>7531.75</v>
      </c>
      <c r="Q81" s="7">
        <f t="shared" si="45"/>
        <v>2702.7999999999993</v>
      </c>
      <c r="R81" s="7">
        <f t="shared" si="45"/>
        <v>8202.7999999999993</v>
      </c>
      <c r="S81" s="7">
        <f t="shared" si="45"/>
        <v>2702.7999999999993</v>
      </c>
      <c r="T81" s="7">
        <f t="shared" si="45"/>
        <v>2856.8000000000011</v>
      </c>
      <c r="U81" s="7">
        <f t="shared" si="45"/>
        <v>8856.8000000000029</v>
      </c>
      <c r="V81" s="7">
        <f t="shared" si="45"/>
        <v>3511.3700000000026</v>
      </c>
      <c r="W81" s="7">
        <f t="shared" si="45"/>
        <v>9761.3700000000026</v>
      </c>
      <c r="X81" s="7">
        <f t="shared" si="45"/>
        <v>3511.3700000000026</v>
      </c>
      <c r="Y81" s="7">
        <f t="shared" si="45"/>
        <v>4149.3700000000026</v>
      </c>
      <c r="Z81" s="7">
        <f t="shared" si="45"/>
        <v>10899.370000000003</v>
      </c>
      <c r="AA81" s="7">
        <f t="shared" si="45"/>
        <v>4592.0500000000029</v>
      </c>
      <c r="AB81" s="7">
        <f t="shared" si="45"/>
        <v>11592.050000000003</v>
      </c>
      <c r="AC81" s="7">
        <f t="shared" si="45"/>
        <v>4592.0500000000029</v>
      </c>
      <c r="AD81" s="7">
        <f t="shared" si="45"/>
        <v>-2139.9500000000007</v>
      </c>
      <c r="AE81" s="7">
        <f t="shared" si="45"/>
        <v>160.04999999999973</v>
      </c>
      <c r="AF81" s="28"/>
    </row>
    <row r="82" spans="3:32" x14ac:dyDescent="0.55000000000000004">
      <c r="C82" s="27"/>
      <c r="D82" s="16" t="str">
        <f t="shared" si="40"/>
        <v>Gross margin</v>
      </c>
      <c r="AF82" s="28"/>
    </row>
    <row r="83" spans="3:32" x14ac:dyDescent="0.55000000000000004">
      <c r="C83" s="27"/>
      <c r="D83" t="str">
        <f t="shared" si="40"/>
        <v>Social media manager retainer</v>
      </c>
      <c r="E83" s="66" cm="1">
        <f t="array" ref="E83:AE83">+IFERROR(IF($E30="beg. / mid.",(($E$57:$AD$57="beg.")+($E$57:$AD$57="mid."))*$F30*SUMIFS($G30:$AE30,$G$6:$AE$6,$E$59:$AD$59),IF($E30="beg.",IF($E$57:$AD$57="beg.",$F30*SUMIFS($G30:$AE30,$G$6:$AE$6,$E$59:$AD$59),(1-$F30)*IF(OR($E30="beg.",$E30&lt;=-1),$G30:$AE30,_xlfn.HSTACK(_xlfn.SEQUENCE(1,1+ROUNDDOWN($E30,0),0,0),$G30:$AE30))),IF(OR($E30="beg.",$E30&lt;=-1),$G30:$AE30,_xlfn.HSTACK(_xlfn.SEQUENCE(1,1+ROUNDDOWN($E30,0),0,0),$G30:$AE30)))),0)</f>
        <v>0</v>
      </c>
      <c r="F83" s="17">
        <v>0</v>
      </c>
      <c r="G83" s="17">
        <v>-2100</v>
      </c>
      <c r="H83" s="17">
        <v>-2100</v>
      </c>
      <c r="I83" s="17">
        <v>-2100</v>
      </c>
      <c r="J83" s="17">
        <v>-2100</v>
      </c>
      <c r="K83" s="17">
        <v>-2100</v>
      </c>
      <c r="L83" s="17">
        <v>-2100</v>
      </c>
      <c r="M83" s="17">
        <v>-2100</v>
      </c>
      <c r="N83" s="17">
        <v>-2100</v>
      </c>
      <c r="O83" s="17">
        <v>-2100</v>
      </c>
      <c r="P83" s="17">
        <v>-2100</v>
      </c>
      <c r="Q83" s="17">
        <v>-2100</v>
      </c>
      <c r="R83" s="17">
        <v>-2100</v>
      </c>
      <c r="S83" s="17">
        <v>-2100</v>
      </c>
      <c r="T83" s="17">
        <v>-2100</v>
      </c>
      <c r="U83" s="17">
        <v>-2100</v>
      </c>
      <c r="V83" s="17">
        <v>-2100</v>
      </c>
      <c r="W83" s="17">
        <v>-2100</v>
      </c>
      <c r="X83" s="17">
        <v>-2100</v>
      </c>
      <c r="Y83" s="17">
        <v>-2100</v>
      </c>
      <c r="Z83" s="17">
        <v>-2100</v>
      </c>
      <c r="AA83" s="17">
        <v>-2100</v>
      </c>
      <c r="AB83" s="17">
        <v>-2100</v>
      </c>
      <c r="AC83" s="17">
        <v>-2100</v>
      </c>
      <c r="AD83" s="17">
        <v>-2100</v>
      </c>
      <c r="AE83" s="17">
        <v>-2100</v>
      </c>
      <c r="AF83" s="28"/>
    </row>
    <row r="84" spans="3:32" x14ac:dyDescent="0.55000000000000004">
      <c r="C84" s="27"/>
      <c r="D84" t="str">
        <f t="shared" si="40"/>
        <v>Software stack</v>
      </c>
      <c r="E84" s="66" cm="1">
        <f t="array" ref="E84:AC84">+IFERROR(IF($E31="beg. / mid.",(($E$57:$AD$57="beg.")+($E$57:$AD$57="mid."))*$F31*SUMIFS($G31:$AE31,$G$6:$AE$6,$E$59:$AD$59),IF($E31="beg.",IF($E$57:$AD$57="beg.",$F31*SUMIFS($G31:$AE31,$G$6:$AE$6,$E$59:$AD$59),(1-$F31)*IF(OR($E31="beg.",$E31&lt;=-1),$G31:$AE31,_xlfn.HSTACK(_xlfn.SEQUENCE(1,1+ROUNDDOWN($E31,0),0,0),$G31:$AE31))),IF(OR($E31="beg.",$E31&lt;=-1),$G31:$AE31,_xlfn.HSTACK(_xlfn.SEQUENCE(1,1+ROUNDDOWN($E31,0),0,0),$G31:$AE31)))),0)</f>
        <v>-300</v>
      </c>
      <c r="F84" s="17">
        <v>-300</v>
      </c>
      <c r="G84" s="17">
        <v>-300</v>
      </c>
      <c r="H84" s="17">
        <v>-300</v>
      </c>
      <c r="I84" s="17">
        <v>-300</v>
      </c>
      <c r="J84" s="17">
        <v>-300</v>
      </c>
      <c r="K84" s="17">
        <v>-300</v>
      </c>
      <c r="L84" s="17">
        <v>-300</v>
      </c>
      <c r="M84" s="17">
        <v>-300</v>
      </c>
      <c r="N84" s="17">
        <v>-300</v>
      </c>
      <c r="O84" s="17">
        <v>-300</v>
      </c>
      <c r="P84" s="17">
        <v>-300</v>
      </c>
      <c r="Q84" s="17">
        <v>-300</v>
      </c>
      <c r="R84" s="17">
        <v>-300</v>
      </c>
      <c r="S84" s="17">
        <v>-300</v>
      </c>
      <c r="T84" s="17">
        <v>-300</v>
      </c>
      <c r="U84" s="17">
        <v>-300</v>
      </c>
      <c r="V84" s="17">
        <v>-300</v>
      </c>
      <c r="W84" s="17">
        <v>-300</v>
      </c>
      <c r="X84" s="17">
        <v>-300</v>
      </c>
      <c r="Y84" s="17">
        <v>-300</v>
      </c>
      <c r="Z84" s="17">
        <v>-300</v>
      </c>
      <c r="AA84" s="17">
        <v>-300</v>
      </c>
      <c r="AB84" s="17">
        <v>-300</v>
      </c>
      <c r="AC84" s="17">
        <v>-300</v>
      </c>
      <c r="AD84" s="17"/>
      <c r="AE84" s="17"/>
      <c r="AF84" s="28"/>
    </row>
    <row r="85" spans="3:32" x14ac:dyDescent="0.55000000000000004">
      <c r="C85" s="27"/>
      <c r="D85" t="str">
        <f t="shared" si="40"/>
        <v>Annual insurance policy</v>
      </c>
      <c r="E85" s="66" cm="1">
        <f t="array" ref="E85:AD85">+IFERROR(IF($E32="beg. / mid.",(($E$57:$AD$57="beg.")+($E$57:$AD$57="mid."))*$F32*SUMIFS($G32:$AE32,$G$6:$AE$6,$E$59:$AD$59),IF($E32="beg.",IF($E$57:$AD$57="beg.",$F32*SUMIFS($G32:$AE32,$G$6:$AE$6,$E$59:$AD$59),(1-$F32)*IF(OR($E32="beg.",$E32&lt;=-1),$G32:$AE32,_xlfn.HSTACK(_xlfn.SEQUENCE(1,1+ROUNDDOWN($E32,0),0,0),$G32:$AE32))),IF(OR($E32="beg.",$E32&lt;=-1),$G32:$AE32,_xlfn.HSTACK(_xlfn.SEQUENCE(1,1+ROUNDDOWN($E32,0),0,0),$G32:$AE32)))),0)</f>
        <v>0</v>
      </c>
      <c r="F85" s="17">
        <v>-500</v>
      </c>
      <c r="G85" s="17">
        <v>0</v>
      </c>
      <c r="H85" s="17">
        <v>0</v>
      </c>
      <c r="I85" s="17">
        <v>0</v>
      </c>
      <c r="J85" s="17">
        <v>0</v>
      </c>
      <c r="K85" s="17">
        <v>-500</v>
      </c>
      <c r="L85" s="17">
        <v>0</v>
      </c>
      <c r="M85" s="17">
        <v>0</v>
      </c>
      <c r="N85" s="17">
        <v>0</v>
      </c>
      <c r="O85" s="17">
        <v>0</v>
      </c>
      <c r="P85" s="17">
        <v>-500</v>
      </c>
      <c r="Q85" s="17">
        <v>0</v>
      </c>
      <c r="R85" s="17">
        <v>0</v>
      </c>
      <c r="S85" s="17">
        <v>0</v>
      </c>
      <c r="T85" s="17">
        <v>0</v>
      </c>
      <c r="U85" s="17">
        <v>-500</v>
      </c>
      <c r="V85" s="17">
        <v>0</v>
      </c>
      <c r="W85" s="17">
        <v>0</v>
      </c>
      <c r="X85" s="17">
        <v>0</v>
      </c>
      <c r="Y85" s="17">
        <v>0</v>
      </c>
      <c r="Z85" s="17">
        <v>-500</v>
      </c>
      <c r="AA85" s="17">
        <v>0</v>
      </c>
      <c r="AB85" s="17">
        <v>0</v>
      </c>
      <c r="AC85" s="17">
        <v>0</v>
      </c>
      <c r="AD85" s="17">
        <v>0</v>
      </c>
      <c r="AE85" s="17"/>
      <c r="AF85" s="28"/>
    </row>
    <row r="86" spans="3:32" x14ac:dyDescent="0.55000000000000004">
      <c r="C86" s="27"/>
      <c r="D86" s="6" t="str">
        <f t="shared" si="40"/>
        <v>Net income</v>
      </c>
      <c r="E86" s="7">
        <f>+E81+SUM(E83:E85)</f>
        <v>4936</v>
      </c>
      <c r="F86" s="7">
        <f t="shared" ref="F86:AE86" si="46">+F81+SUM(F83:F85)</f>
        <v>2136</v>
      </c>
      <c r="G86" s="7">
        <f t="shared" si="46"/>
        <v>-964</v>
      </c>
      <c r="H86" s="7">
        <f t="shared" si="46"/>
        <v>-964</v>
      </c>
      <c r="I86" s="7">
        <f t="shared" si="46"/>
        <v>-964</v>
      </c>
      <c r="J86" s="7">
        <f t="shared" si="46"/>
        <v>-832</v>
      </c>
      <c r="K86" s="7">
        <f t="shared" si="46"/>
        <v>3418</v>
      </c>
      <c r="L86" s="7">
        <f t="shared" si="46"/>
        <v>-690.25</v>
      </c>
      <c r="M86" s="7">
        <f t="shared" si="46"/>
        <v>4309.75</v>
      </c>
      <c r="N86" s="7">
        <f t="shared" si="46"/>
        <v>-690.25</v>
      </c>
      <c r="O86" s="7">
        <f t="shared" si="46"/>
        <v>-118.25</v>
      </c>
      <c r="P86" s="7">
        <f t="shared" si="46"/>
        <v>4631.75</v>
      </c>
      <c r="Q86" s="7">
        <f t="shared" si="46"/>
        <v>302.79999999999927</v>
      </c>
      <c r="R86" s="7">
        <f t="shared" si="46"/>
        <v>5802.7999999999993</v>
      </c>
      <c r="S86" s="7">
        <f t="shared" si="46"/>
        <v>302.79999999999927</v>
      </c>
      <c r="T86" s="7">
        <f t="shared" si="46"/>
        <v>456.80000000000109</v>
      </c>
      <c r="U86" s="7">
        <f t="shared" si="46"/>
        <v>5956.8000000000029</v>
      </c>
      <c r="V86" s="7">
        <f t="shared" si="46"/>
        <v>1111.3700000000026</v>
      </c>
      <c r="W86" s="7">
        <f t="shared" si="46"/>
        <v>7361.3700000000026</v>
      </c>
      <c r="X86" s="7">
        <f t="shared" si="46"/>
        <v>1111.3700000000026</v>
      </c>
      <c r="Y86" s="7">
        <f t="shared" si="46"/>
        <v>1749.3700000000026</v>
      </c>
      <c r="Z86" s="7">
        <f t="shared" si="46"/>
        <v>7999.3700000000026</v>
      </c>
      <c r="AA86" s="7">
        <f t="shared" si="46"/>
        <v>2192.0500000000029</v>
      </c>
      <c r="AB86" s="7">
        <f t="shared" si="46"/>
        <v>9192.0500000000029</v>
      </c>
      <c r="AC86" s="7">
        <f t="shared" si="46"/>
        <v>2192.0500000000029</v>
      </c>
      <c r="AD86" s="7">
        <f t="shared" si="46"/>
        <v>-4239.9500000000007</v>
      </c>
      <c r="AE86" s="7">
        <f t="shared" si="46"/>
        <v>-1939.9500000000003</v>
      </c>
      <c r="AF86" s="28"/>
    </row>
    <row r="87" spans="3:32" x14ac:dyDescent="0.55000000000000004">
      <c r="C87" s="27"/>
      <c r="D87" s="16" t="str">
        <f t="shared" si="40"/>
        <v>Net margin</v>
      </c>
      <c r="AF87" s="28"/>
    </row>
    <row r="88" spans="3:32" x14ac:dyDescent="0.55000000000000004">
      <c r="C88" s="27"/>
      <c r="D88" t="str">
        <f t="shared" si="40"/>
        <v>(+) D&amp;A</v>
      </c>
      <c r="E88" s="66" cm="1">
        <f t="array" ref="E88:AD88">+IFERROR(IF($E35="beg. / mid.",(($E$57:$AD$57="beg.")+($E$57:$AD$57="mid."))*$F35*SUMIFS($G35:$AE35,$G$6:$AE$6,$E$59:$AD$59),IF($E35="beg.",IF($E$57:$AD$57="beg.",$F35*SUMIFS($G35:$AE35,$G$6:$AE$6,$E$59:$AD$59),(1-$F35)*IF(OR($E35="beg.",$E35&lt;=-1),$G35:$AE35,_xlfn.HSTACK(_xlfn.SEQUENCE(1,1+ROUNDDOWN($E35,0),0,0),$G35:$AE35))),IF(OR($E35="beg.",$E35&lt;=-1),$G35:$AE35,_xlfn.HSTACK(_xlfn.SEQUENCE(1,1+ROUNDDOWN($E35,0),0,0),$G35:$AE35)))),0)</f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/>
      <c r="AF88" s="28"/>
    </row>
    <row r="89" spans="3:32" x14ac:dyDescent="0.55000000000000004">
      <c r="C89" s="27"/>
      <c r="D89" t="str">
        <f t="shared" si="40"/>
        <v>(+) Interest income</v>
      </c>
      <c r="E89" s="66" cm="1">
        <f t="array" aca="1" ref="E89:AD89" ca="1">+IFERROR(IF($E36="beg. / mid.",(($E$57:$AD$57="beg.")+($E$57:$AD$57="mid."))*$F36*SUMIFS($G36:$AE36,$G$6:$AE$6,$E$59:$AD$59),IF($E36="beg.",IF($E$57:$AD$57="beg.",$F36*SUMIFS($G36:$AE36,$G$6:$AE$6,$E$59:$AD$59),(1-$F36)*IF(OR($E36="beg.",$E36&lt;=-1),$G36:$AE36,_xlfn.HSTACK(_xlfn.SEQUENCE(1,1+ROUNDDOWN($E36,0),0,0),$G36:$AE36))),IF(OR($E36="beg.",$E36&lt;=-1),$G36:$AE36,_xlfn.HSTACK(_xlfn.SEQUENCE(1,1+ROUNDDOWN($E36,0),0,0),$G36:$AE36)))),0)</f>
        <v>0</v>
      </c>
      <c r="F89" s="17">
        <f ca="1"/>
        <v>19.786666666666861</v>
      </c>
      <c r="G89" s="17">
        <f ca="1"/>
        <v>27.038577777778301</v>
      </c>
      <c r="H89" s="17">
        <f ca="1"/>
        <v>27.128706370371219</v>
      </c>
      <c r="I89" s="17">
        <f ca="1"/>
        <v>27.21913539160505</v>
      </c>
      <c r="J89" s="17">
        <f ca="1"/>
        <v>27.309865842911677</v>
      </c>
      <c r="K89" s="17">
        <f ca="1"/>
        <v>221.78172772436301</v>
      </c>
      <c r="L89" s="17">
        <f ca="1"/>
        <v>40.272776913883717</v>
      </c>
      <c r="M89" s="17">
        <f ca="1"/>
        <v>40.40701950359653</v>
      </c>
      <c r="N89" s="17">
        <f ca="1"/>
        <v>49.468023398347214</v>
      </c>
      <c r="O89" s="17">
        <f ca="1"/>
        <v>49.632916809674498</v>
      </c>
      <c r="P89" s="17">
        <f ca="1"/>
        <v>403.06584094430946</v>
      </c>
      <c r="Q89" s="17">
        <f ca="1"/>
        <v>51.141912668854275</v>
      </c>
      <c r="R89" s="17">
        <f ca="1"/>
        <v>51.312385711084062</v>
      </c>
      <c r="S89" s="17">
        <f ca="1"/>
        <v>51.483426996786875</v>
      </c>
      <c r="T89" s="17">
        <f ca="1"/>
        <v>51.655038420110941</v>
      </c>
      <c r="U89" s="17">
        <f ca="1"/>
        <v>419.48736520264356</v>
      </c>
      <c r="V89" s="17">
        <f ca="1"/>
        <v>53.225513098852389</v>
      </c>
      <c r="W89" s="17">
        <f ca="1"/>
        <v>53.402931475848163</v>
      </c>
      <c r="X89" s="17">
        <f ca="1"/>
        <v>53.580941247435476</v>
      </c>
      <c r="Y89" s="17">
        <f ca="1"/>
        <v>53.759544384925903</v>
      </c>
      <c r="Z89" s="17">
        <f ca="1"/>
        <v>436.57792769635853</v>
      </c>
      <c r="AA89" s="17">
        <f ca="1"/>
        <v>55.394002625198482</v>
      </c>
      <c r="AB89" s="17">
        <f ca="1"/>
        <v>55.578649300616235</v>
      </c>
      <c r="AC89" s="17">
        <f ca="1"/>
        <v>55.76391146495007</v>
      </c>
      <c r="AD89" s="17">
        <f ca="1"/>
        <v>55.949791169834498</v>
      </c>
      <c r="AE89" s="17"/>
      <c r="AF89" s="28"/>
    </row>
    <row r="90" spans="3:32" x14ac:dyDescent="0.55000000000000004">
      <c r="C90" s="27"/>
      <c r="D90" t="str">
        <f t="shared" si="40"/>
        <v>(-) Cash interest paid</v>
      </c>
      <c r="E90" s="66" cm="1">
        <f t="array" ref="E90:AD90">+IFERROR(IF($E37="beg. / mid.",(($E$57:$AD$57="beg.")+($E$57:$AD$57="mid."))*$F37*SUMIFS($G37:$AE37,$G$6:$AE$6,$E$59:$AD$59),IF($E37="beg.",IF($E$57:$AD$57="beg.",$F37*SUMIFS($G37:$AE37,$G$6:$AE$6,$E$59:$AD$59),(1-$F37)*IF(OR($E37="beg.",$E37&lt;=-1),$G37:$AE37,_xlfn.HSTACK(_xlfn.SEQUENCE(1,1+ROUNDDOWN($E37,0),0,0),$G37:$AE37))),IF(OR($E37="beg.",$E37&lt;=-1),$G37:$AE37,_xlfn.HSTACK(_xlfn.SEQUENCE(1,1+ROUNDDOWN($E37,0),0,0),$G37:$AE37)))),0)</f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/>
      <c r="AF90" s="28"/>
    </row>
    <row r="91" spans="3:32" x14ac:dyDescent="0.55000000000000004">
      <c r="C91" s="27"/>
      <c r="D91" t="str">
        <f t="shared" si="40"/>
        <v>(-) Capex</v>
      </c>
      <c r="E91" s="66" cm="1">
        <f t="array" ref="E91:AD91">+IFERROR(IF($E38="beg. / mid.",(($E$57:$AD$57="beg.")+($E$57:$AD$57="mid."))*$F38*SUMIFS($G38:$AE38,$G$6:$AE$6,$E$59:$AD$59),IF($E38="beg.",IF($E$57:$AD$57="beg.",$F38*SUMIFS($G38:$AE38,$G$6:$AE$6,$E$59:$AD$59),(1-$F38)*IF(OR($E38="beg.",$E38&lt;=-1),$G38:$AE38,_xlfn.HSTACK(_xlfn.SEQUENCE(1,1+ROUNDDOWN($E38,0),0,0),$G38:$AE38))),IF(OR($E38="beg.",$E38&lt;=-1),$G38:$AE38,_xlfn.HSTACK(_xlfn.SEQUENCE(1,1+ROUNDDOWN($E38,0),0,0),$G38:$AE38)))),0)</f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/>
      <c r="AF91" s="28"/>
    </row>
    <row r="92" spans="3:32" x14ac:dyDescent="0.55000000000000004">
      <c r="C92" s="27"/>
      <c r="D92" t="str">
        <f t="shared" si="40"/>
        <v>(-) Δ NWC</v>
      </c>
      <c r="E92" s="66" cm="1">
        <f t="array" ref="E92:AD92">+IFERROR(IF($E39="beg. / mid.",(($E$57:$AD$57="beg.")+($E$57:$AD$57="mid."))*$F39*SUMIFS($G39:$AE39,$G$6:$AE$6,$E$59:$AD$59),IF($E39="beg.",IF($E$57:$AD$57="beg.",$F39*SUMIFS($G39:$AE39,$G$6:$AE$6,$E$59:$AD$59),(1-$F39)*IF(OR($E39="beg.",$E39&lt;=-1),$G39:$AE39,_xlfn.HSTACK(_xlfn.SEQUENCE(1,1+ROUNDDOWN($E39,0),0,0),$G39:$AE39))),IF(OR($E39="beg.",$E39&lt;=-1),$G39:$AE39,_xlfn.HSTACK(_xlfn.SEQUENCE(1,1+ROUNDDOWN($E39,0),0,0),$G39:$AE39)))),0)</f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/>
      <c r="AF92" s="28"/>
    </row>
    <row r="93" spans="3:32" x14ac:dyDescent="0.55000000000000004">
      <c r="C93" s="27"/>
      <c r="D93" s="52" t="str">
        <f t="shared" si="40"/>
        <v>Free cash flow</v>
      </c>
      <c r="E93" s="53">
        <f t="shared" ref="E93:AD93" ca="1" si="47">+SUM(E86,E88:E92)</f>
        <v>4936</v>
      </c>
      <c r="F93" s="53">
        <f t="shared" ca="1" si="47"/>
        <v>2155.7866666666669</v>
      </c>
      <c r="G93" s="53">
        <f t="shared" ca="1" si="47"/>
        <v>-936.9614222222217</v>
      </c>
      <c r="H93" s="53">
        <f t="shared" ca="1" si="47"/>
        <v>-936.87129362962878</v>
      </c>
      <c r="I93" s="53">
        <f t="shared" ca="1" si="47"/>
        <v>-936.78086460839495</v>
      </c>
      <c r="J93" s="53">
        <f t="shared" ca="1" si="47"/>
        <v>-804.69013415708832</v>
      </c>
      <c r="K93" s="53">
        <f t="shared" ca="1" si="47"/>
        <v>3639.781727724363</v>
      </c>
      <c r="L93" s="53">
        <f t="shared" ca="1" si="47"/>
        <v>-649.97722308611628</v>
      </c>
      <c r="M93" s="53">
        <f t="shared" ca="1" si="47"/>
        <v>4350.1570195035965</v>
      </c>
      <c r="N93" s="53">
        <f t="shared" ca="1" si="47"/>
        <v>-640.78197660165279</v>
      </c>
      <c r="O93" s="53">
        <f t="shared" ca="1" si="47"/>
        <v>-68.617083190325502</v>
      </c>
      <c r="P93" s="53">
        <f t="shared" ca="1" si="47"/>
        <v>5034.8158409443095</v>
      </c>
      <c r="Q93" s="53">
        <f t="shared" ca="1" si="47"/>
        <v>353.94191266885355</v>
      </c>
      <c r="R93" s="53">
        <f t="shared" ca="1" si="47"/>
        <v>5854.1123857110833</v>
      </c>
      <c r="S93" s="53">
        <f t="shared" ca="1" si="47"/>
        <v>354.28342699678615</v>
      </c>
      <c r="T93" s="53">
        <f t="shared" ca="1" si="47"/>
        <v>508.45503842011203</v>
      </c>
      <c r="U93" s="53">
        <f t="shared" ca="1" si="47"/>
        <v>6376.2873652026465</v>
      </c>
      <c r="V93" s="53">
        <f t="shared" ca="1" si="47"/>
        <v>1164.595513098855</v>
      </c>
      <c r="W93" s="53">
        <f t="shared" ca="1" si="47"/>
        <v>7414.7729314758508</v>
      </c>
      <c r="X93" s="53">
        <f t="shared" ca="1" si="47"/>
        <v>1164.9509412474381</v>
      </c>
      <c r="Y93" s="53">
        <f t="shared" ca="1" si="47"/>
        <v>1803.1295443849285</v>
      </c>
      <c r="Z93" s="53">
        <f t="shared" ca="1" si="47"/>
        <v>8435.9479276963611</v>
      </c>
      <c r="AA93" s="53">
        <f t="shared" ca="1" si="47"/>
        <v>2247.4440026252014</v>
      </c>
      <c r="AB93" s="53">
        <f t="shared" ca="1" si="47"/>
        <v>9247.6286493006191</v>
      </c>
      <c r="AC93" s="53">
        <f t="shared" ca="1" si="47"/>
        <v>2247.813911464953</v>
      </c>
      <c r="AD93" s="53">
        <f t="shared" ca="1" si="47"/>
        <v>-4184.0002088301662</v>
      </c>
      <c r="AE93" s="53">
        <f t="shared" ref="AE93" si="48">+SUM(AE86,AE88:AE92)</f>
        <v>-1939.9500000000003</v>
      </c>
      <c r="AF93" s="28"/>
    </row>
    <row r="94" spans="3:32" x14ac:dyDescent="0.55000000000000004">
      <c r="C94" s="27"/>
      <c r="AF94" s="28"/>
    </row>
    <row r="95" spans="3:32" x14ac:dyDescent="0.55000000000000004">
      <c r="C95" s="27"/>
      <c r="D95" s="25" t="str">
        <f>+D42</f>
        <v>BOP cash balance</v>
      </c>
      <c r="E95" s="19">
        <f>+G42</f>
        <v>1000</v>
      </c>
      <c r="F95" s="13">
        <f t="shared" ref="F95:AE95" ca="1" si="49">+E99</f>
        <v>5936</v>
      </c>
      <c r="G95" s="13">
        <f t="shared" ca="1" si="49"/>
        <v>8091.7866666666669</v>
      </c>
      <c r="H95" s="13">
        <f t="shared" ca="1" si="49"/>
        <v>7154.8252444444452</v>
      </c>
      <c r="I95" s="13">
        <f t="shared" ca="1" si="49"/>
        <v>6217.9539508148164</v>
      </c>
      <c r="J95" s="13">
        <f t="shared" ca="1" si="49"/>
        <v>5281.1730862064214</v>
      </c>
      <c r="K95" s="13">
        <f t="shared" ca="1" si="49"/>
        <v>4476.4829520493331</v>
      </c>
      <c r="L95" s="13">
        <f t="shared" ca="1" si="49"/>
        <v>8116.2646797736961</v>
      </c>
      <c r="M95" s="13">
        <f t="shared" ca="1" si="49"/>
        <v>7466.2874566875798</v>
      </c>
      <c r="N95" s="13">
        <f t="shared" ca="1" si="49"/>
        <v>11816.444476191176</v>
      </c>
      <c r="O95" s="13">
        <f t="shared" ca="1" si="49"/>
        <v>11175.662499589524</v>
      </c>
      <c r="P95" s="13">
        <f t="shared" ca="1" si="49"/>
        <v>11107.045416399198</v>
      </c>
      <c r="Q95" s="13">
        <f t="shared" ca="1" si="49"/>
        <v>16141.861257343508</v>
      </c>
      <c r="R95" s="13">
        <f t="shared" ca="1" si="49"/>
        <v>16495.803170012361</v>
      </c>
      <c r="S95" s="13">
        <f t="shared" ca="1" si="49"/>
        <v>22349.915555723444</v>
      </c>
      <c r="T95" s="13">
        <f t="shared" ca="1" si="49"/>
        <v>22704.198982720231</v>
      </c>
      <c r="U95" s="13">
        <f t="shared" ca="1" si="49"/>
        <v>23212.654021140341</v>
      </c>
      <c r="V95" s="13">
        <f t="shared" ca="1" si="49"/>
        <v>29588.941386342987</v>
      </c>
      <c r="W95" s="13">
        <f t="shared" ca="1" si="49"/>
        <v>30753.536899441842</v>
      </c>
      <c r="X95" s="13">
        <f t="shared" ca="1" si="49"/>
        <v>38168.309830917693</v>
      </c>
      <c r="Y95" s="13">
        <f t="shared" ca="1" si="49"/>
        <v>39333.260772165129</v>
      </c>
      <c r="Z95" s="13">
        <f t="shared" ca="1" si="49"/>
        <v>41136.39031655006</v>
      </c>
      <c r="AA95" s="13">
        <f t="shared" ca="1" si="49"/>
        <v>49572.338244246421</v>
      </c>
      <c r="AB95" s="13">
        <f t="shared" ca="1" si="49"/>
        <v>51819.782246871619</v>
      </c>
      <c r="AC95" s="13">
        <f t="shared" ca="1" si="49"/>
        <v>61067.410896172238</v>
      </c>
      <c r="AD95" s="13">
        <f t="shared" ca="1" si="49"/>
        <v>63315.224807637191</v>
      </c>
      <c r="AE95" s="45">
        <f t="shared" ca="1" si="49"/>
        <v>59131.224598807021</v>
      </c>
      <c r="AF95" s="28"/>
    </row>
    <row r="96" spans="3:32" x14ac:dyDescent="0.55000000000000004">
      <c r="C96" s="27"/>
      <c r="D96" s="27" t="str">
        <f>+D43</f>
        <v>(+) Free cash flow</v>
      </c>
      <c r="E96" s="8">
        <f t="shared" ref="E96:AD96" ca="1" si="50">+E93</f>
        <v>4936</v>
      </c>
      <c r="F96" s="8">
        <f t="shared" ca="1" si="50"/>
        <v>2155.7866666666669</v>
      </c>
      <c r="G96" s="8">
        <f t="shared" ca="1" si="50"/>
        <v>-936.9614222222217</v>
      </c>
      <c r="H96" s="8">
        <f t="shared" ca="1" si="50"/>
        <v>-936.87129362962878</v>
      </c>
      <c r="I96" s="8">
        <f t="shared" ca="1" si="50"/>
        <v>-936.78086460839495</v>
      </c>
      <c r="J96" s="8">
        <f t="shared" ca="1" si="50"/>
        <v>-804.69013415708832</v>
      </c>
      <c r="K96" s="8">
        <f t="shared" ca="1" si="50"/>
        <v>3639.781727724363</v>
      </c>
      <c r="L96" s="8">
        <f t="shared" ca="1" si="50"/>
        <v>-649.97722308611628</v>
      </c>
      <c r="M96" s="8">
        <f t="shared" ca="1" si="50"/>
        <v>4350.1570195035965</v>
      </c>
      <c r="N96" s="8">
        <f t="shared" ca="1" si="50"/>
        <v>-640.78197660165279</v>
      </c>
      <c r="O96" s="8">
        <f t="shared" ca="1" si="50"/>
        <v>-68.617083190325502</v>
      </c>
      <c r="P96" s="8">
        <f t="shared" ca="1" si="50"/>
        <v>5034.8158409443095</v>
      </c>
      <c r="Q96" s="8">
        <f t="shared" ca="1" si="50"/>
        <v>353.94191266885355</v>
      </c>
      <c r="R96" s="8">
        <f t="shared" ca="1" si="50"/>
        <v>5854.1123857110833</v>
      </c>
      <c r="S96" s="8">
        <f t="shared" ca="1" si="50"/>
        <v>354.28342699678615</v>
      </c>
      <c r="T96" s="8">
        <f t="shared" ca="1" si="50"/>
        <v>508.45503842011203</v>
      </c>
      <c r="U96" s="8">
        <f t="shared" ca="1" si="50"/>
        <v>6376.2873652026465</v>
      </c>
      <c r="V96" s="8">
        <f t="shared" ca="1" si="50"/>
        <v>1164.595513098855</v>
      </c>
      <c r="W96" s="8">
        <f t="shared" ca="1" si="50"/>
        <v>7414.7729314758508</v>
      </c>
      <c r="X96" s="8">
        <f t="shared" ca="1" si="50"/>
        <v>1164.9509412474381</v>
      </c>
      <c r="Y96" s="8">
        <f t="shared" ca="1" si="50"/>
        <v>1803.1295443849285</v>
      </c>
      <c r="Z96" s="8">
        <f t="shared" ca="1" si="50"/>
        <v>8435.9479276963611</v>
      </c>
      <c r="AA96" s="8">
        <f t="shared" ca="1" si="50"/>
        <v>2247.4440026252014</v>
      </c>
      <c r="AB96" s="8">
        <f t="shared" ca="1" si="50"/>
        <v>9247.6286493006191</v>
      </c>
      <c r="AC96" s="8">
        <f t="shared" ca="1" si="50"/>
        <v>2247.813911464953</v>
      </c>
      <c r="AD96" s="8">
        <f t="shared" ca="1" si="50"/>
        <v>-4184.0002088301662</v>
      </c>
      <c r="AE96" s="46">
        <f t="shared" ref="AE96" si="51">+AE93</f>
        <v>-1939.9500000000003</v>
      </c>
      <c r="AF96" s="28"/>
    </row>
    <row r="97" spans="3:33" x14ac:dyDescent="0.55000000000000004">
      <c r="C97" s="27"/>
      <c r="D97" s="27" t="str">
        <f>+D44</f>
        <v>(-) Equity distributions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48">
        <v>0</v>
      </c>
      <c r="AF97" s="28"/>
    </row>
    <row r="98" spans="3:33" x14ac:dyDescent="0.55000000000000004">
      <c r="C98" s="27"/>
      <c r="D98" s="27" t="str">
        <f>+D45</f>
        <v>(+) Equity contributions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48">
        <v>0</v>
      </c>
      <c r="AF98" s="28"/>
    </row>
    <row r="99" spans="3:33" x14ac:dyDescent="0.55000000000000004">
      <c r="C99" s="27"/>
      <c r="D99" s="49" t="str">
        <f>+D46</f>
        <v>EOP cash balance</v>
      </c>
      <c r="E99" s="50">
        <f t="shared" ref="E99:AE99" ca="1" si="52">+E95+E96+E97+E98</f>
        <v>5936</v>
      </c>
      <c r="F99" s="50">
        <f t="shared" ca="1" si="52"/>
        <v>8091.7866666666669</v>
      </c>
      <c r="G99" s="50">
        <f t="shared" ca="1" si="52"/>
        <v>7154.8252444444452</v>
      </c>
      <c r="H99" s="50">
        <f t="shared" ca="1" si="52"/>
        <v>6217.9539508148164</v>
      </c>
      <c r="I99" s="50">
        <f t="shared" ca="1" si="52"/>
        <v>5281.1730862064214</v>
      </c>
      <c r="J99" s="50">
        <f t="shared" ca="1" si="52"/>
        <v>4476.4829520493331</v>
      </c>
      <c r="K99" s="50">
        <f t="shared" ca="1" si="52"/>
        <v>8116.2646797736961</v>
      </c>
      <c r="L99" s="50">
        <f t="shared" ca="1" si="52"/>
        <v>7466.2874566875798</v>
      </c>
      <c r="M99" s="50">
        <f t="shared" ca="1" si="52"/>
        <v>11816.444476191176</v>
      </c>
      <c r="N99" s="50">
        <f t="shared" ca="1" si="52"/>
        <v>11175.662499589524</v>
      </c>
      <c r="O99" s="50">
        <f t="shared" ca="1" si="52"/>
        <v>11107.045416399198</v>
      </c>
      <c r="P99" s="50">
        <f t="shared" ca="1" si="52"/>
        <v>16141.861257343508</v>
      </c>
      <c r="Q99" s="50">
        <f t="shared" ca="1" si="52"/>
        <v>16495.803170012361</v>
      </c>
      <c r="R99" s="50">
        <f t="shared" ca="1" si="52"/>
        <v>22349.915555723444</v>
      </c>
      <c r="S99" s="50">
        <f t="shared" ca="1" si="52"/>
        <v>22704.198982720231</v>
      </c>
      <c r="T99" s="50">
        <f t="shared" ca="1" si="52"/>
        <v>23212.654021140341</v>
      </c>
      <c r="U99" s="50">
        <f t="shared" ca="1" si="52"/>
        <v>29588.941386342987</v>
      </c>
      <c r="V99" s="50">
        <f t="shared" ca="1" si="52"/>
        <v>30753.536899441842</v>
      </c>
      <c r="W99" s="50">
        <f t="shared" ca="1" si="52"/>
        <v>38168.309830917693</v>
      </c>
      <c r="X99" s="50">
        <f t="shared" ca="1" si="52"/>
        <v>39333.260772165129</v>
      </c>
      <c r="Y99" s="50">
        <f t="shared" ca="1" si="52"/>
        <v>41136.39031655006</v>
      </c>
      <c r="Z99" s="50">
        <f t="shared" ca="1" si="52"/>
        <v>49572.338244246421</v>
      </c>
      <c r="AA99" s="50">
        <f t="shared" ca="1" si="52"/>
        <v>51819.782246871619</v>
      </c>
      <c r="AB99" s="50">
        <f t="shared" ca="1" si="52"/>
        <v>61067.410896172238</v>
      </c>
      <c r="AC99" s="50">
        <f t="shared" ca="1" si="52"/>
        <v>63315.224807637191</v>
      </c>
      <c r="AD99" s="50">
        <f t="shared" ca="1" si="52"/>
        <v>59131.224598807021</v>
      </c>
      <c r="AE99" s="51">
        <f t="shared" ca="1" si="52"/>
        <v>57191.274598807024</v>
      </c>
      <c r="AF99" s="28"/>
    </row>
    <row r="100" spans="3:33" x14ac:dyDescent="0.55000000000000004">
      <c r="C100" s="27"/>
      <c r="D100" s="5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28"/>
    </row>
    <row r="101" spans="3:33" x14ac:dyDescent="0.55000000000000004">
      <c r="C101" s="27"/>
      <c r="D101" s="25" t="s">
        <v>78</v>
      </c>
      <c r="E101" s="93">
        <f>+E95</f>
        <v>1000</v>
      </c>
      <c r="F101" s="13">
        <f t="shared" ref="F101:AE101" ca="1" si="53">+E104</f>
        <v>5936</v>
      </c>
      <c r="G101" s="13">
        <f t="shared" ca="1" si="53"/>
        <v>8111.5733333333337</v>
      </c>
      <c r="H101" s="13">
        <f t="shared" ca="1" si="53"/>
        <v>8138.611911111112</v>
      </c>
      <c r="I101" s="13">
        <f t="shared" ca="1" si="53"/>
        <v>8165.7406174814832</v>
      </c>
      <c r="J101" s="13">
        <f t="shared" ca="1" si="53"/>
        <v>8192.9597528730883</v>
      </c>
      <c r="K101" s="13">
        <f t="shared" ca="1" si="53"/>
        <v>8220.269618716</v>
      </c>
      <c r="L101" s="13">
        <f t="shared" ca="1" si="53"/>
        <v>12081.833074164726</v>
      </c>
      <c r="M101" s="13">
        <f t="shared" ca="1" si="53"/>
        <v>12122.10585107861</v>
      </c>
      <c r="N101" s="13">
        <f t="shared" ca="1" si="53"/>
        <v>14840.407019503597</v>
      </c>
      <c r="O101" s="13">
        <f t="shared" ca="1" si="53"/>
        <v>14889.875042901944</v>
      </c>
      <c r="P101" s="13">
        <f t="shared" ca="1" si="53"/>
        <v>14939.507959711618</v>
      </c>
      <c r="Q101" s="13">
        <f t="shared" ca="1" si="53"/>
        <v>15342.573800655928</v>
      </c>
      <c r="R101" s="13">
        <f t="shared" ca="1" si="53"/>
        <v>15393.715713324782</v>
      </c>
      <c r="S101" s="13">
        <f t="shared" ca="1" si="53"/>
        <v>15445.028099035866</v>
      </c>
      <c r="T101" s="13">
        <f t="shared" ca="1" si="53"/>
        <v>15496.511526032653</v>
      </c>
      <c r="U101" s="13">
        <f t="shared" ca="1" si="53"/>
        <v>15548.166564452764</v>
      </c>
      <c r="V101" s="13">
        <f t="shared" ca="1" si="53"/>
        <v>15967.653929655407</v>
      </c>
      <c r="W101" s="13">
        <f t="shared" ca="1" si="53"/>
        <v>16020.87944275426</v>
      </c>
      <c r="X101" s="13">
        <f t="shared" ca="1" si="53"/>
        <v>16074.282374230108</v>
      </c>
      <c r="Y101" s="13">
        <f t="shared" ca="1" si="53"/>
        <v>16127.863315477543</v>
      </c>
      <c r="Z101" s="13">
        <f t="shared" ca="1" si="53"/>
        <v>16181.622859862469</v>
      </c>
      <c r="AA101" s="13">
        <f t="shared" ca="1" si="53"/>
        <v>16618.200787558828</v>
      </c>
      <c r="AB101" s="13">
        <f t="shared" ca="1" si="53"/>
        <v>16673.594790184026</v>
      </c>
      <c r="AC101" s="13">
        <f t="shared" ca="1" si="53"/>
        <v>16729.173439484643</v>
      </c>
      <c r="AD101" s="13">
        <f t="shared" ca="1" si="53"/>
        <v>16784.937350949593</v>
      </c>
      <c r="AE101" s="45">
        <f t="shared" ca="1" si="53"/>
        <v>16840.887142119427</v>
      </c>
      <c r="AF101" s="28"/>
      <c r="AG101"/>
    </row>
    <row r="102" spans="3:33" x14ac:dyDescent="0.55000000000000004">
      <c r="C102" s="27"/>
      <c r="D102" s="27" t="s">
        <v>80</v>
      </c>
      <c r="E102" s="8">
        <f t="shared" ref="E102:AE102" ca="1" si="54">MAX(0,MIN(E$96,-SUM(F$80:G$80)-E$101))</f>
        <v>4936</v>
      </c>
      <c r="F102" s="8">
        <f t="shared" ca="1" si="54"/>
        <v>2155.7866666666669</v>
      </c>
      <c r="G102" s="8">
        <f t="shared" ca="1" si="54"/>
        <v>0</v>
      </c>
      <c r="H102" s="8">
        <f t="shared" ca="1" si="54"/>
        <v>0</v>
      </c>
      <c r="I102" s="8">
        <f t="shared" ca="1" si="54"/>
        <v>0</v>
      </c>
      <c r="J102" s="8">
        <f t="shared" ca="1" si="54"/>
        <v>0</v>
      </c>
      <c r="K102" s="8">
        <f t="shared" ca="1" si="54"/>
        <v>3639.781727724363</v>
      </c>
      <c r="L102" s="8">
        <f t="shared" ca="1" si="54"/>
        <v>0</v>
      </c>
      <c r="M102" s="8">
        <f t="shared" ca="1" si="54"/>
        <v>2677.8941489213903</v>
      </c>
      <c r="N102" s="8">
        <f t="shared" ca="1" si="54"/>
        <v>0</v>
      </c>
      <c r="O102" s="8">
        <f t="shared" ca="1" si="54"/>
        <v>0</v>
      </c>
      <c r="P102" s="8">
        <f t="shared" ca="1" si="54"/>
        <v>0</v>
      </c>
      <c r="Q102" s="8">
        <f t="shared" ca="1" si="54"/>
        <v>0</v>
      </c>
      <c r="R102" s="8">
        <f t="shared" ca="1" si="54"/>
        <v>0</v>
      </c>
      <c r="S102" s="8">
        <f t="shared" ca="1" si="54"/>
        <v>0</v>
      </c>
      <c r="T102" s="8">
        <f t="shared" ca="1" si="54"/>
        <v>0</v>
      </c>
      <c r="U102" s="8">
        <f t="shared" ca="1" si="54"/>
        <v>0</v>
      </c>
      <c r="V102" s="8">
        <f t="shared" ca="1" si="54"/>
        <v>0</v>
      </c>
      <c r="W102" s="8">
        <f t="shared" ca="1" si="54"/>
        <v>0</v>
      </c>
      <c r="X102" s="8">
        <f t="shared" ca="1" si="54"/>
        <v>0</v>
      </c>
      <c r="Y102" s="8">
        <f t="shared" ca="1" si="54"/>
        <v>0</v>
      </c>
      <c r="Z102" s="8">
        <f t="shared" ca="1" si="54"/>
        <v>0</v>
      </c>
      <c r="AA102" s="8">
        <f t="shared" ca="1" si="54"/>
        <v>0</v>
      </c>
      <c r="AB102" s="8">
        <f t="shared" ca="1" si="54"/>
        <v>0</v>
      </c>
      <c r="AC102" s="8">
        <f t="shared" ca="1" si="54"/>
        <v>0</v>
      </c>
      <c r="AD102" s="8">
        <f t="shared" ca="1" si="54"/>
        <v>0</v>
      </c>
      <c r="AE102" s="46">
        <f t="shared" ca="1" si="54"/>
        <v>0</v>
      </c>
      <c r="AF102" s="28"/>
      <c r="AG102"/>
    </row>
    <row r="103" spans="3:33" x14ac:dyDescent="0.55000000000000004">
      <c r="C103" s="27"/>
      <c r="D103" s="90" t="s">
        <v>81</v>
      </c>
      <c r="E103" s="77">
        <f>+IFERROR(FV('Control Panel'!$E$10/12,YEARFRAC(D$60,E$60)*12,0,-E$101,0)-E$101,0)</f>
        <v>0</v>
      </c>
      <c r="F103" s="8">
        <f ca="1">+IFERROR(FV('Control Panel'!$E$10/12,YEARFRAC(E$60,F$60)*12,0,-F$101,0)-F$101,0)</f>
        <v>19.786666666666861</v>
      </c>
      <c r="G103" s="8">
        <f ca="1">+IFERROR(FV('Control Panel'!$E$10/12,YEARFRAC(F$60,G$60)*12,0,-G$101,0)-G$101,0)</f>
        <v>27.038577777778301</v>
      </c>
      <c r="H103" s="8">
        <f ca="1">+IFERROR(FV('Control Panel'!$E$10/12,YEARFRAC(G$60,H$60)*12,0,-H$101,0)-H$101,0)</f>
        <v>27.128706370371219</v>
      </c>
      <c r="I103" s="8">
        <f ca="1">+IFERROR(FV('Control Panel'!$E$10/12,YEARFRAC(H$60,I$60)*12,0,-I$101,0)-I$101,0)</f>
        <v>27.21913539160505</v>
      </c>
      <c r="J103" s="8">
        <f ca="1">+IFERROR(FV('Control Panel'!$E$10/12,YEARFRAC(I$60,J$60)*12,0,-J$101,0)-J$101,0)</f>
        <v>27.309865842911677</v>
      </c>
      <c r="K103" s="8">
        <f ca="1">+IFERROR(FV('Control Panel'!$E$10/12,YEARFRAC(J$60,K$60)*12,0,-K$101,0)-K$101,0)</f>
        <v>221.78172772436301</v>
      </c>
      <c r="L103" s="8">
        <f ca="1">+IFERROR(FV('Control Panel'!$E$10/12,YEARFRAC(K$60,L$60)*12,0,-L$101,0)-L$101,0)</f>
        <v>40.272776913883717</v>
      </c>
      <c r="M103" s="8">
        <f ca="1">+IFERROR(FV('Control Panel'!$E$10/12,YEARFRAC(L$60,M$60)*12,0,-M$101,0)-M$101,0)</f>
        <v>40.40701950359653</v>
      </c>
      <c r="N103" s="8">
        <f ca="1">+IFERROR(FV('Control Panel'!$E$10/12,YEARFRAC(M$60,N$60)*12,0,-N$101,0)-N$101,0)</f>
        <v>49.468023398347214</v>
      </c>
      <c r="O103" s="8">
        <f ca="1">+IFERROR(FV('Control Panel'!$E$10/12,YEARFRAC(N$60,O$60)*12,0,-O$101,0)-O$101,0)</f>
        <v>49.632916809674498</v>
      </c>
      <c r="P103" s="8">
        <f ca="1">+IFERROR(FV('Control Panel'!$E$10/12,YEARFRAC(O$60,P$60)*12,0,-P$101,0)-P$101,0)</f>
        <v>403.06584094430946</v>
      </c>
      <c r="Q103" s="8">
        <f ca="1">+IFERROR(FV('Control Panel'!$E$10/12,YEARFRAC(P$60,Q$60)*12,0,-Q$101,0)-Q$101,0)</f>
        <v>51.141912668854275</v>
      </c>
      <c r="R103" s="8">
        <f ca="1">+IFERROR(FV('Control Panel'!$E$10/12,YEARFRAC(Q$60,R$60)*12,0,-R$101,0)-R$101,0)</f>
        <v>51.312385711084062</v>
      </c>
      <c r="S103" s="8">
        <f ca="1">+IFERROR(FV('Control Panel'!$E$10/12,YEARFRAC(R$60,S$60)*12,0,-S$101,0)-S$101,0)</f>
        <v>51.483426996786875</v>
      </c>
      <c r="T103" s="8">
        <f ca="1">+IFERROR(FV('Control Panel'!$E$10/12,YEARFRAC(S$60,T$60)*12,0,-T$101,0)-T$101,0)</f>
        <v>51.655038420110941</v>
      </c>
      <c r="U103" s="8">
        <f ca="1">+IFERROR(FV('Control Panel'!$E$10/12,YEARFRAC(T$60,U$60)*12,0,-U$101,0)-U$101,0)</f>
        <v>419.48736520264356</v>
      </c>
      <c r="V103" s="8">
        <f ca="1">+IFERROR(FV('Control Panel'!$E$10/12,YEARFRAC(U$60,V$60)*12,0,-V$101,0)-V$101,0)</f>
        <v>53.225513098852389</v>
      </c>
      <c r="W103" s="8">
        <f ca="1">+IFERROR(FV('Control Panel'!$E$10/12,YEARFRAC(V$60,W$60)*12,0,-W$101,0)-W$101,0)</f>
        <v>53.402931475848163</v>
      </c>
      <c r="X103" s="8">
        <f ca="1">+IFERROR(FV('Control Panel'!$E$10/12,YEARFRAC(W$60,X$60)*12,0,-X$101,0)-X$101,0)</f>
        <v>53.580941247435476</v>
      </c>
      <c r="Y103" s="8">
        <f ca="1">+IFERROR(FV('Control Panel'!$E$10/12,YEARFRAC(X$60,Y$60)*12,0,-Y$101,0)-Y$101,0)</f>
        <v>53.759544384925903</v>
      </c>
      <c r="Z103" s="8">
        <f ca="1">+IFERROR(FV('Control Panel'!$E$10/12,YEARFRAC(Y$60,Z$60)*12,0,-Z$101,0)-Z$101,0)</f>
        <v>436.57792769635853</v>
      </c>
      <c r="AA103" s="8">
        <f ca="1">+IFERROR(FV('Control Panel'!$E$10/12,YEARFRAC(Z$60,AA$60)*12,0,-AA$101,0)-AA$101,0)</f>
        <v>55.394002625198482</v>
      </c>
      <c r="AB103" s="8">
        <f ca="1">+IFERROR(FV('Control Panel'!$E$10/12,YEARFRAC(AA$60,AB$60)*12,0,-AB$101,0)-AB$101,0)</f>
        <v>55.578649300616235</v>
      </c>
      <c r="AC103" s="8">
        <f ca="1">+IFERROR(FV('Control Panel'!$E$10/12,YEARFRAC(AB$60,AC$60)*12,0,-AC$101,0)-AC$101,0)</f>
        <v>55.76391146495007</v>
      </c>
      <c r="AD103" s="8">
        <f ca="1">+IFERROR(FV('Control Panel'!$E$10/12,YEARFRAC(AC$60,AD$60)*12,0,-AD$101,0)-AD$101,0)</f>
        <v>55.949791169834498</v>
      </c>
      <c r="AE103" s="46">
        <f ca="1">+IFERROR(FV('Control Panel'!$E$10/12,YEARFRAC(AD$60,AE$60)*12,0,-AE$101,0)-AE$101,0)</f>
        <v>56.136290473732515</v>
      </c>
      <c r="AF103" s="28"/>
      <c r="AG103"/>
    </row>
    <row r="104" spans="3:33" x14ac:dyDescent="0.55000000000000004">
      <c r="C104" s="27"/>
      <c r="D104" s="74" t="s">
        <v>79</v>
      </c>
      <c r="E104" s="75">
        <f ca="1">+E101+E102</f>
        <v>5936</v>
      </c>
      <c r="F104" s="75">
        <f t="shared" ref="F104:AE104" ca="1" si="55">+F101+F102+F103</f>
        <v>8111.5733333333337</v>
      </c>
      <c r="G104" s="75">
        <f t="shared" ca="1" si="55"/>
        <v>8138.611911111112</v>
      </c>
      <c r="H104" s="75">
        <f t="shared" ca="1" si="55"/>
        <v>8165.7406174814832</v>
      </c>
      <c r="I104" s="75">
        <f t="shared" ca="1" si="55"/>
        <v>8192.9597528730883</v>
      </c>
      <c r="J104" s="75">
        <f t="shared" ca="1" si="55"/>
        <v>8220.269618716</v>
      </c>
      <c r="K104" s="75">
        <f t="shared" ca="1" si="55"/>
        <v>12081.833074164726</v>
      </c>
      <c r="L104" s="75">
        <f t="shared" ca="1" si="55"/>
        <v>12122.10585107861</v>
      </c>
      <c r="M104" s="75">
        <f t="shared" ca="1" si="55"/>
        <v>14840.407019503597</v>
      </c>
      <c r="N104" s="75">
        <f t="shared" ca="1" si="55"/>
        <v>14889.875042901944</v>
      </c>
      <c r="O104" s="75">
        <f t="shared" ca="1" si="55"/>
        <v>14939.507959711618</v>
      </c>
      <c r="P104" s="75">
        <f t="shared" ca="1" si="55"/>
        <v>15342.573800655928</v>
      </c>
      <c r="Q104" s="75">
        <f t="shared" ca="1" si="55"/>
        <v>15393.715713324782</v>
      </c>
      <c r="R104" s="75">
        <f t="shared" ca="1" si="55"/>
        <v>15445.028099035866</v>
      </c>
      <c r="S104" s="75">
        <f t="shared" ca="1" si="55"/>
        <v>15496.511526032653</v>
      </c>
      <c r="T104" s="75">
        <f t="shared" ca="1" si="55"/>
        <v>15548.166564452764</v>
      </c>
      <c r="U104" s="75">
        <f t="shared" ca="1" si="55"/>
        <v>15967.653929655407</v>
      </c>
      <c r="V104" s="75">
        <f t="shared" ca="1" si="55"/>
        <v>16020.87944275426</v>
      </c>
      <c r="W104" s="75">
        <f t="shared" ca="1" si="55"/>
        <v>16074.282374230108</v>
      </c>
      <c r="X104" s="75">
        <f t="shared" ca="1" si="55"/>
        <v>16127.863315477543</v>
      </c>
      <c r="Y104" s="75">
        <f t="shared" ca="1" si="55"/>
        <v>16181.622859862469</v>
      </c>
      <c r="Z104" s="75">
        <f t="shared" ca="1" si="55"/>
        <v>16618.200787558828</v>
      </c>
      <c r="AA104" s="75">
        <f t="shared" ca="1" si="55"/>
        <v>16673.594790184026</v>
      </c>
      <c r="AB104" s="75">
        <f t="shared" ca="1" si="55"/>
        <v>16729.173439484643</v>
      </c>
      <c r="AC104" s="75">
        <f t="shared" ca="1" si="55"/>
        <v>16784.937350949593</v>
      </c>
      <c r="AD104" s="75">
        <f t="shared" ca="1" si="55"/>
        <v>16840.887142119427</v>
      </c>
      <c r="AE104" s="76">
        <f t="shared" ca="1" si="55"/>
        <v>16897.02343259316</v>
      </c>
      <c r="AF104" s="28"/>
    </row>
    <row r="105" spans="3:33" x14ac:dyDescent="0.55000000000000004">
      <c r="C105" s="38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1"/>
    </row>
  </sheetData>
  <conditionalFormatting sqref="E50:AE51">
    <cfRule type="cellIs" dxfId="0" priority="1" operator="greaterThan">
      <formula>0</formula>
    </cfRule>
  </conditionalFormatting>
  <pageMargins left="0.7" right="0.7" top="0.75" bottom="0.75" header="0.3" footer="0.3"/>
  <pageSetup scale="20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Control Panel</vt:lpstr>
      <vt:lpstr>Model</vt:lpstr>
      <vt:lpstr>Model!Print_Area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LinDon Harris</dc:creator>
  <cp:lastModifiedBy>LinDon Harris</cp:lastModifiedBy>
  <cp:lastPrinted>2025-05-06T00:55:40Z</cp:lastPrinted>
  <dcterms:created xsi:type="dcterms:W3CDTF">2025-05-05T16:39:07Z</dcterms:created>
  <dcterms:modified xsi:type="dcterms:W3CDTF">2025-05-09T16:53:33Z</dcterms:modified>
</cp:coreProperties>
</file>