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har\Dropbox\ProvenPath\Finance\"/>
    </mc:Choice>
  </mc:AlternateContent>
  <xr:revisionPtr revIDLastSave="0" documentId="8_{BF7A3773-F5F7-4CA4-A6B0-7C862B721988}" xr6:coauthVersionLast="47" xr6:coauthVersionMax="47" xr10:uidLastSave="{00000000-0000-0000-0000-000000000000}"/>
  <bookViews>
    <workbookView xWindow="1481" yWindow="1128" windowWidth="19562" windowHeight="10161" xr2:uid="{2CCAEAB5-7AA5-4E79-B24F-7A496FA1579C}"/>
  </bookViews>
  <sheets>
    <sheet name="Operating Model" sheetId="1" r:id="rId1"/>
    <sheet name="Sheet1" sheetId="2" r:id="rId2"/>
  </sheets>
  <definedNames>
    <definedName name="_xlnm._FilterDatabase" localSheetId="0" hidden="1">'Operating Model'!#REF!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6" i="1" l="1"/>
  <c r="V86" i="1"/>
  <c r="U86" i="1"/>
  <c r="T86" i="1"/>
  <c r="S86" i="1"/>
  <c r="R86" i="1"/>
  <c r="Q86" i="1"/>
  <c r="P86" i="1"/>
  <c r="O86" i="1"/>
  <c r="N86" i="1"/>
  <c r="M86" i="1"/>
  <c r="L86" i="1"/>
  <c r="K86" i="1"/>
  <c r="Q23" i="2"/>
  <c r="R21" i="2" s="1"/>
  <c r="T21" i="2" s="1"/>
  <c r="R22" i="2" l="1"/>
  <c r="T22" i="2" s="1"/>
  <c r="K28" i="2" l="1"/>
  <c r="L27" i="2"/>
  <c r="F4" i="2" l="1"/>
  <c r="K4" i="2" s="1"/>
  <c r="E6" i="2"/>
  <c r="F7" i="2"/>
  <c r="F8" i="2"/>
  <c r="K11" i="2" s="1"/>
  <c r="F9" i="2"/>
  <c r="K5" i="2" s="1"/>
  <c r="K9" i="2"/>
  <c r="K10" i="2"/>
  <c r="E11" i="2"/>
  <c r="F11" i="2"/>
  <c r="F12" i="2"/>
  <c r="K12" i="2"/>
  <c r="L92" i="1"/>
  <c r="L30" i="1" s="1"/>
  <c r="M92" i="1"/>
  <c r="M30" i="1" s="1"/>
  <c r="N92" i="1"/>
  <c r="O92" i="1"/>
  <c r="P92" i="1"/>
  <c r="Q92" i="1"/>
  <c r="R92" i="1"/>
  <c r="S92" i="1"/>
  <c r="T92" i="1"/>
  <c r="U92" i="1"/>
  <c r="V92" i="1"/>
  <c r="W92" i="1"/>
  <c r="K92" i="1"/>
  <c r="K108" i="1" s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J40" i="1"/>
  <c r="J30" i="1"/>
  <c r="J110" i="1"/>
  <c r="J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K111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K152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K147" i="1"/>
  <c r="C146" i="1"/>
  <c r="J142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K68" i="1"/>
  <c r="K69" i="1" s="1"/>
  <c r="L68" i="1"/>
  <c r="L69" i="1" s="1"/>
  <c r="M68" i="1"/>
  <c r="M69" i="1" s="1"/>
  <c r="N68" i="1"/>
  <c r="N71" i="1" s="1"/>
  <c r="O68" i="1"/>
  <c r="O71" i="1" s="1"/>
  <c r="P68" i="1"/>
  <c r="P71" i="1" s="1"/>
  <c r="Q68" i="1"/>
  <c r="Q69" i="1" s="1"/>
  <c r="R68" i="1"/>
  <c r="R71" i="1" s="1"/>
  <c r="S68" i="1"/>
  <c r="S69" i="1" s="1"/>
  <c r="T68" i="1"/>
  <c r="T69" i="1" s="1"/>
  <c r="U68" i="1"/>
  <c r="U69" i="1" s="1"/>
  <c r="V68" i="1"/>
  <c r="V71" i="1" s="1"/>
  <c r="W68" i="1"/>
  <c r="W71" i="1" s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0" i="1"/>
  <c r="C68" i="1"/>
  <c r="D22" i="1"/>
  <c r="D21" i="1"/>
  <c r="D13" i="1"/>
  <c r="D12" i="1"/>
  <c r="J12" i="1"/>
  <c r="J21" i="1"/>
  <c r="M14" i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J50" i="1"/>
  <c r="G63" i="1"/>
  <c r="F63" i="1"/>
  <c r="G58" i="1"/>
  <c r="F58" i="1"/>
  <c r="I57" i="1"/>
  <c r="I56" i="1"/>
  <c r="I55" i="1"/>
  <c r="I62" i="1"/>
  <c r="I61" i="1"/>
  <c r="I60" i="1"/>
  <c r="J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V35" i="1" s="1"/>
  <c r="V56" i="1" s="1"/>
  <c r="J44" i="1"/>
  <c r="J45" i="1" s="1"/>
  <c r="O23" i="1"/>
  <c r="P23" i="1" s="1"/>
  <c r="Q23" i="1" s="1"/>
  <c r="R23" i="1" s="1"/>
  <c r="S23" i="1" s="1"/>
  <c r="T23" i="1" s="1"/>
  <c r="U23" i="1" s="1"/>
  <c r="V23" i="1" s="1"/>
  <c r="W23" i="1" s="1"/>
  <c r="J6" i="1"/>
  <c r="J51" i="1" s="1"/>
  <c r="K5" i="1"/>
  <c r="L5" i="1" s="1"/>
  <c r="L50" i="1" s="1"/>
  <c r="K6" i="2" l="1"/>
  <c r="K30" i="1"/>
  <c r="L108" i="1"/>
  <c r="O30" i="1"/>
  <c r="O108" i="1"/>
  <c r="M108" i="1"/>
  <c r="J163" i="1"/>
  <c r="L142" i="1"/>
  <c r="J143" i="1"/>
  <c r="K142" i="1"/>
  <c r="U71" i="1"/>
  <c r="U72" i="1" s="1"/>
  <c r="T71" i="1"/>
  <c r="T72" i="1" s="1"/>
  <c r="S71" i="1"/>
  <c r="S72" i="1" s="1"/>
  <c r="M71" i="1"/>
  <c r="M72" i="1" s="1"/>
  <c r="L71" i="1"/>
  <c r="L72" i="1" s="1"/>
  <c r="K71" i="1"/>
  <c r="K72" i="1" s="1"/>
  <c r="R69" i="1"/>
  <c r="R72" i="1" s="1"/>
  <c r="P69" i="1"/>
  <c r="P72" i="1" s="1"/>
  <c r="W69" i="1"/>
  <c r="W72" i="1" s="1"/>
  <c r="O69" i="1"/>
  <c r="O72" i="1" s="1"/>
  <c r="Q71" i="1"/>
  <c r="Q72" i="1" s="1"/>
  <c r="V69" i="1"/>
  <c r="V72" i="1" s="1"/>
  <c r="N69" i="1"/>
  <c r="N72" i="1" s="1"/>
  <c r="J56" i="1"/>
  <c r="J57" i="1"/>
  <c r="J61" i="1"/>
  <c r="J62" i="1"/>
  <c r="V57" i="1"/>
  <c r="W34" i="1"/>
  <c r="W35" i="1" s="1"/>
  <c r="V55" i="1"/>
  <c r="J7" i="1"/>
  <c r="K50" i="1"/>
  <c r="L35" i="1"/>
  <c r="M35" i="1"/>
  <c r="N35" i="1"/>
  <c r="T35" i="1"/>
  <c r="U35" i="1"/>
  <c r="O35" i="1"/>
  <c r="P35" i="1"/>
  <c r="Q35" i="1"/>
  <c r="J35" i="1"/>
  <c r="R35" i="1"/>
  <c r="K35" i="1"/>
  <c r="S35" i="1"/>
  <c r="I58" i="1"/>
  <c r="J58" i="1" s="1"/>
  <c r="I63" i="1"/>
  <c r="J63" i="1" s="1"/>
  <c r="J13" i="1"/>
  <c r="J15" i="1" s="1"/>
  <c r="K44" i="1"/>
  <c r="K45" i="1" s="1"/>
  <c r="J22" i="1"/>
  <c r="J24" i="1" s="1"/>
  <c r="J46" i="1" s="1"/>
  <c r="L6" i="1"/>
  <c r="L143" i="1" s="1"/>
  <c r="M5" i="1"/>
  <c r="K6" i="1"/>
  <c r="K13" i="2" l="1"/>
  <c r="K14" i="2" s="1"/>
  <c r="K7" i="2"/>
  <c r="N30" i="1"/>
  <c r="N108" i="1"/>
  <c r="P108" i="1"/>
  <c r="P30" i="1"/>
  <c r="R108" i="1"/>
  <c r="R30" i="1"/>
  <c r="J42" i="1"/>
  <c r="J144" i="1"/>
  <c r="M50" i="1"/>
  <c r="M142" i="1"/>
  <c r="K51" i="1"/>
  <c r="K143" i="1"/>
  <c r="V58" i="1"/>
  <c r="W55" i="1"/>
  <c r="J36" i="1"/>
  <c r="W56" i="1"/>
  <c r="W57" i="1"/>
  <c r="K60" i="1"/>
  <c r="K61" i="1"/>
  <c r="K62" i="1"/>
  <c r="S55" i="1"/>
  <c r="S57" i="1"/>
  <c r="S56" i="1"/>
  <c r="T56" i="1"/>
  <c r="T57" i="1"/>
  <c r="T55" i="1"/>
  <c r="U56" i="1"/>
  <c r="U55" i="1"/>
  <c r="U57" i="1"/>
  <c r="K55" i="1"/>
  <c r="K57" i="1"/>
  <c r="K56" i="1"/>
  <c r="N56" i="1"/>
  <c r="N55" i="1"/>
  <c r="N57" i="1"/>
  <c r="R55" i="1"/>
  <c r="R57" i="1"/>
  <c r="R56" i="1"/>
  <c r="M56" i="1"/>
  <c r="M55" i="1"/>
  <c r="M57" i="1"/>
  <c r="L56" i="1"/>
  <c r="L57" i="1"/>
  <c r="L55" i="1"/>
  <c r="Q55" i="1"/>
  <c r="Q56" i="1"/>
  <c r="Q57" i="1"/>
  <c r="P57" i="1"/>
  <c r="P56" i="1"/>
  <c r="P55" i="1"/>
  <c r="O57" i="1"/>
  <c r="O56" i="1"/>
  <c r="O55" i="1"/>
  <c r="L7" i="1"/>
  <c r="L51" i="1"/>
  <c r="J32" i="1"/>
  <c r="J52" i="1"/>
  <c r="K7" i="1"/>
  <c r="K144" i="1" s="1"/>
  <c r="J16" i="1"/>
  <c r="L44" i="1"/>
  <c r="L45" i="1" s="1"/>
  <c r="J25" i="1"/>
  <c r="N5" i="1"/>
  <c r="M6" i="1"/>
  <c r="M143" i="1" s="1"/>
  <c r="Q108" i="1" l="1"/>
  <c r="Q30" i="1"/>
  <c r="U30" i="1"/>
  <c r="U108" i="1"/>
  <c r="S108" i="1"/>
  <c r="S30" i="1"/>
  <c r="L52" i="1"/>
  <c r="L144" i="1"/>
  <c r="N50" i="1"/>
  <c r="N142" i="1"/>
  <c r="W58" i="1"/>
  <c r="P58" i="1"/>
  <c r="O58" i="1"/>
  <c r="Q58" i="1"/>
  <c r="M58" i="1"/>
  <c r="K58" i="1"/>
  <c r="R58" i="1"/>
  <c r="U58" i="1"/>
  <c r="N58" i="1"/>
  <c r="T58" i="1"/>
  <c r="K63" i="1"/>
  <c r="L58" i="1"/>
  <c r="S58" i="1"/>
  <c r="J26" i="1"/>
  <c r="J27" i="1" s="1"/>
  <c r="V83" i="1"/>
  <c r="K52" i="1"/>
  <c r="K110" i="1" s="1"/>
  <c r="K21" i="1"/>
  <c r="L60" i="1"/>
  <c r="L62" i="1"/>
  <c r="L61" i="1"/>
  <c r="K12" i="1"/>
  <c r="L12" i="1" s="1"/>
  <c r="M7" i="1"/>
  <c r="M51" i="1"/>
  <c r="L42" i="1"/>
  <c r="L32" i="1"/>
  <c r="K42" i="1"/>
  <c r="K32" i="1"/>
  <c r="M44" i="1"/>
  <c r="M45" i="1" s="1"/>
  <c r="O5" i="1"/>
  <c r="N6" i="1"/>
  <c r="N143" i="1" s="1"/>
  <c r="T30" i="1" l="1"/>
  <c r="T108" i="1"/>
  <c r="V30" i="1"/>
  <c r="V108" i="1"/>
  <c r="K115" i="1"/>
  <c r="K129" i="1" s="1"/>
  <c r="L110" i="1"/>
  <c r="M52" i="1"/>
  <c r="M144" i="1"/>
  <c r="O50" i="1"/>
  <c r="O142" i="1"/>
  <c r="L63" i="1"/>
  <c r="L65" i="1" s="1"/>
  <c r="K65" i="1"/>
  <c r="K66" i="1" s="1"/>
  <c r="V17" i="1"/>
  <c r="K85" i="1"/>
  <c r="K26" i="1" s="1"/>
  <c r="U83" i="1"/>
  <c r="K83" i="1"/>
  <c r="T83" i="1"/>
  <c r="M83" i="1"/>
  <c r="W83" i="1"/>
  <c r="O83" i="1"/>
  <c r="N83" i="1"/>
  <c r="S83" i="1"/>
  <c r="R83" i="1"/>
  <c r="Q83" i="1"/>
  <c r="P83" i="1"/>
  <c r="L83" i="1"/>
  <c r="K13" i="1"/>
  <c r="K15" i="1" s="1"/>
  <c r="M60" i="1"/>
  <c r="M62" i="1"/>
  <c r="M61" i="1"/>
  <c r="M42" i="1"/>
  <c r="M32" i="1"/>
  <c r="N7" i="1"/>
  <c r="N51" i="1"/>
  <c r="L21" i="1"/>
  <c r="K22" i="1"/>
  <c r="K24" i="1" s="1"/>
  <c r="M12" i="1"/>
  <c r="L13" i="1"/>
  <c r="L15" i="1" s="1"/>
  <c r="L36" i="1" s="1"/>
  <c r="N44" i="1"/>
  <c r="N45" i="1" s="1"/>
  <c r="P5" i="1"/>
  <c r="O6" i="1"/>
  <c r="O143" i="1" s="1"/>
  <c r="W30" i="1" l="1"/>
  <c r="W108" i="1"/>
  <c r="L115" i="1"/>
  <c r="L129" i="1" s="1"/>
  <c r="M110" i="1"/>
  <c r="N52" i="1"/>
  <c r="N144" i="1"/>
  <c r="P50" i="1"/>
  <c r="P142" i="1"/>
  <c r="M63" i="1"/>
  <c r="M65" i="1" s="1"/>
  <c r="M66" i="1" s="1"/>
  <c r="L66" i="1"/>
  <c r="J17" i="1"/>
  <c r="J18" i="1" s="1"/>
  <c r="L17" i="1"/>
  <c r="M17" i="1"/>
  <c r="Q17" i="1"/>
  <c r="S17" i="1"/>
  <c r="U17" i="1"/>
  <c r="N17" i="1"/>
  <c r="P17" i="1"/>
  <c r="T17" i="1"/>
  <c r="R17" i="1"/>
  <c r="K17" i="1"/>
  <c r="O17" i="1"/>
  <c r="W17" i="1"/>
  <c r="L85" i="1"/>
  <c r="L26" i="1" s="1"/>
  <c r="K16" i="1"/>
  <c r="K81" i="1" s="1"/>
  <c r="K36" i="1"/>
  <c r="K25" i="1"/>
  <c r="K46" i="1"/>
  <c r="N61" i="1"/>
  <c r="N62" i="1"/>
  <c r="N60" i="1"/>
  <c r="O7" i="1"/>
  <c r="O51" i="1"/>
  <c r="N42" i="1"/>
  <c r="N32" i="1"/>
  <c r="L22" i="1"/>
  <c r="L24" i="1" s="1"/>
  <c r="M21" i="1"/>
  <c r="L16" i="1"/>
  <c r="N12" i="1"/>
  <c r="M13" i="1"/>
  <c r="M15" i="1" s="1"/>
  <c r="M36" i="1" s="1"/>
  <c r="O44" i="1"/>
  <c r="O45" i="1" s="1"/>
  <c r="Q5" i="1"/>
  <c r="P6" i="1"/>
  <c r="P143" i="1" s="1"/>
  <c r="M115" i="1" l="1"/>
  <c r="M129" i="1" s="1"/>
  <c r="N110" i="1"/>
  <c r="Q50" i="1"/>
  <c r="Q142" i="1"/>
  <c r="O52" i="1"/>
  <c r="O110" i="1" s="1"/>
  <c r="O144" i="1"/>
  <c r="L82" i="1"/>
  <c r="L81" i="1"/>
  <c r="N63" i="1"/>
  <c r="N65" i="1" s="1"/>
  <c r="N66" i="1" s="1"/>
  <c r="K27" i="1"/>
  <c r="K84" i="1"/>
  <c r="L18" i="1"/>
  <c r="K18" i="1"/>
  <c r="K82" i="1"/>
  <c r="M85" i="1"/>
  <c r="M26" i="1" s="1"/>
  <c r="L25" i="1"/>
  <c r="L46" i="1"/>
  <c r="O61" i="1"/>
  <c r="O60" i="1"/>
  <c r="O62" i="1"/>
  <c r="O42" i="1"/>
  <c r="O32" i="1"/>
  <c r="P7" i="1"/>
  <c r="P51" i="1"/>
  <c r="N21" i="1"/>
  <c r="M22" i="1"/>
  <c r="M24" i="1" s="1"/>
  <c r="K78" i="1"/>
  <c r="M16" i="1"/>
  <c r="O12" i="1"/>
  <c r="N13" i="1"/>
  <c r="N15" i="1" s="1"/>
  <c r="N36" i="1" s="1"/>
  <c r="P44" i="1"/>
  <c r="P45" i="1" s="1"/>
  <c r="R5" i="1"/>
  <c r="Q6" i="1"/>
  <c r="Q143" i="1" s="1"/>
  <c r="O115" i="1" l="1"/>
  <c r="O129" i="1" s="1"/>
  <c r="N115" i="1"/>
  <c r="N129" i="1" s="1"/>
  <c r="K154" i="1"/>
  <c r="K155" i="1"/>
  <c r="P52" i="1"/>
  <c r="P144" i="1"/>
  <c r="R50" i="1"/>
  <c r="R142" i="1"/>
  <c r="K79" i="1"/>
  <c r="M18" i="1"/>
  <c r="M81" i="1"/>
  <c r="O63" i="1"/>
  <c r="O65" i="1" s="1"/>
  <c r="O66" i="1" s="1"/>
  <c r="K88" i="1"/>
  <c r="K131" i="1" s="1"/>
  <c r="K136" i="1" s="1"/>
  <c r="M82" i="1"/>
  <c r="L27" i="1"/>
  <c r="L84" i="1"/>
  <c r="N85" i="1"/>
  <c r="N26" i="1" s="1"/>
  <c r="M25" i="1"/>
  <c r="M46" i="1"/>
  <c r="P42" i="1"/>
  <c r="P61" i="1"/>
  <c r="P60" i="1"/>
  <c r="P62" i="1"/>
  <c r="P32" i="1"/>
  <c r="Q7" i="1"/>
  <c r="Q51" i="1"/>
  <c r="N22" i="1"/>
  <c r="N24" i="1" s="1"/>
  <c r="O21" i="1"/>
  <c r="L78" i="1"/>
  <c r="N16" i="1"/>
  <c r="N81" i="1" s="1"/>
  <c r="O13" i="1"/>
  <c r="O15" i="1" s="1"/>
  <c r="O36" i="1" s="1"/>
  <c r="P12" i="1"/>
  <c r="Q44" i="1"/>
  <c r="Q45" i="1" s="1"/>
  <c r="S5" i="1"/>
  <c r="R6" i="1"/>
  <c r="R143" i="1" s="1"/>
  <c r="P110" i="1" l="1"/>
  <c r="L155" i="1"/>
  <c r="L154" i="1"/>
  <c r="K137" i="1"/>
  <c r="K153" i="1" s="1"/>
  <c r="K146" i="1"/>
  <c r="K149" i="1" s="1"/>
  <c r="Q52" i="1"/>
  <c r="Q144" i="1"/>
  <c r="S50" i="1"/>
  <c r="S142" i="1"/>
  <c r="K132" i="1"/>
  <c r="L79" i="1"/>
  <c r="K89" i="1"/>
  <c r="P63" i="1"/>
  <c r="P65" i="1" s="1"/>
  <c r="P66" i="1" s="1"/>
  <c r="L88" i="1"/>
  <c r="L131" i="1" s="1"/>
  <c r="L136" i="1" s="1"/>
  <c r="L137" i="1" s="1"/>
  <c r="M27" i="1"/>
  <c r="M84" i="1"/>
  <c r="N18" i="1"/>
  <c r="N82" i="1"/>
  <c r="O85" i="1"/>
  <c r="O26" i="1" s="1"/>
  <c r="N25" i="1"/>
  <c r="N46" i="1"/>
  <c r="Q62" i="1"/>
  <c r="Q61" i="1"/>
  <c r="Q60" i="1"/>
  <c r="Q42" i="1"/>
  <c r="R7" i="1"/>
  <c r="R51" i="1"/>
  <c r="Q32" i="1"/>
  <c r="P21" i="1"/>
  <c r="O22" i="1"/>
  <c r="O24" i="1" s="1"/>
  <c r="M78" i="1"/>
  <c r="P13" i="1"/>
  <c r="P15" i="1" s="1"/>
  <c r="P36" i="1" s="1"/>
  <c r="Q12" i="1"/>
  <c r="O16" i="1"/>
  <c r="O81" i="1" s="1"/>
  <c r="R44" i="1"/>
  <c r="R45" i="1" s="1"/>
  <c r="T5" i="1"/>
  <c r="S6" i="1"/>
  <c r="S143" i="1" s="1"/>
  <c r="P115" i="1" l="1"/>
  <c r="P129" i="1" s="1"/>
  <c r="Q110" i="1"/>
  <c r="K157" i="1"/>
  <c r="K158" i="1" s="1"/>
  <c r="M155" i="1"/>
  <c r="M154" i="1"/>
  <c r="K150" i="1"/>
  <c r="K139" i="1"/>
  <c r="L139" i="1"/>
  <c r="L153" i="1"/>
  <c r="L146" i="1"/>
  <c r="L149" i="1" s="1"/>
  <c r="T50" i="1"/>
  <c r="T142" i="1"/>
  <c r="R52" i="1"/>
  <c r="R144" i="1"/>
  <c r="L132" i="1"/>
  <c r="M79" i="1"/>
  <c r="L89" i="1"/>
  <c r="Q63" i="1"/>
  <c r="Q65" i="1" s="1"/>
  <c r="Q66" i="1" s="1"/>
  <c r="M88" i="1"/>
  <c r="M131" i="1" s="1"/>
  <c r="M136" i="1" s="1"/>
  <c r="N27" i="1"/>
  <c r="N84" i="1"/>
  <c r="O18" i="1"/>
  <c r="O82" i="1"/>
  <c r="P85" i="1"/>
  <c r="P26" i="1" s="1"/>
  <c r="O25" i="1"/>
  <c r="O46" i="1"/>
  <c r="R32" i="1"/>
  <c r="R62" i="1"/>
  <c r="R61" i="1"/>
  <c r="R60" i="1"/>
  <c r="R42" i="1"/>
  <c r="S7" i="1"/>
  <c r="S51" i="1"/>
  <c r="P22" i="1"/>
  <c r="P24" i="1" s="1"/>
  <c r="Q21" i="1"/>
  <c r="N78" i="1"/>
  <c r="Q13" i="1"/>
  <c r="Q15" i="1" s="1"/>
  <c r="Q36" i="1" s="1"/>
  <c r="R12" i="1"/>
  <c r="P16" i="1"/>
  <c r="P81" i="1" s="1"/>
  <c r="S44" i="1"/>
  <c r="S45" i="1" s="1"/>
  <c r="T6" i="1"/>
  <c r="T143" i="1" s="1"/>
  <c r="U5" i="1"/>
  <c r="Q115" i="1" l="1"/>
  <c r="Q129" i="1" s="1"/>
  <c r="R110" i="1"/>
  <c r="L157" i="1"/>
  <c r="L158" i="1" s="1"/>
  <c r="N154" i="1"/>
  <c r="N155" i="1"/>
  <c r="L150" i="1"/>
  <c r="M137" i="1"/>
  <c r="M153" i="1" s="1"/>
  <c r="M146" i="1"/>
  <c r="M149" i="1" s="1"/>
  <c r="U50" i="1"/>
  <c r="U142" i="1"/>
  <c r="S52" i="1"/>
  <c r="S110" i="1" s="1"/>
  <c r="S144" i="1"/>
  <c r="M132" i="1"/>
  <c r="N79" i="1"/>
  <c r="M89" i="1"/>
  <c r="R63" i="1"/>
  <c r="R65" i="1" s="1"/>
  <c r="R66" i="1" s="1"/>
  <c r="N88" i="1"/>
  <c r="N131" i="1" s="1"/>
  <c r="N136" i="1" s="1"/>
  <c r="N137" i="1" s="1"/>
  <c r="P18" i="1"/>
  <c r="P82" i="1"/>
  <c r="O27" i="1"/>
  <c r="O84" i="1"/>
  <c r="Q85" i="1"/>
  <c r="Q26" i="1" s="1"/>
  <c r="P25" i="1"/>
  <c r="P46" i="1"/>
  <c r="S60" i="1"/>
  <c r="S61" i="1"/>
  <c r="S62" i="1"/>
  <c r="S32" i="1"/>
  <c r="S42" i="1"/>
  <c r="T7" i="1"/>
  <c r="T51" i="1"/>
  <c r="R21" i="1"/>
  <c r="Q22" i="1"/>
  <c r="Q24" i="1" s="1"/>
  <c r="O78" i="1"/>
  <c r="S12" i="1"/>
  <c r="R13" i="1"/>
  <c r="R15" i="1" s="1"/>
  <c r="R36" i="1" s="1"/>
  <c r="Q16" i="1"/>
  <c r="Q81" i="1" s="1"/>
  <c r="T44" i="1"/>
  <c r="T45" i="1" s="1"/>
  <c r="V5" i="1"/>
  <c r="U6" i="1"/>
  <c r="U143" i="1" s="1"/>
  <c r="S115" i="1" l="1"/>
  <c r="S129" i="1" s="1"/>
  <c r="R115" i="1"/>
  <c r="R129" i="1" s="1"/>
  <c r="M139" i="1"/>
  <c r="M157" i="1"/>
  <c r="M158" i="1" s="1"/>
  <c r="O154" i="1"/>
  <c r="O155" i="1"/>
  <c r="M150" i="1"/>
  <c r="N139" i="1"/>
  <c r="N153" i="1"/>
  <c r="N146" i="1"/>
  <c r="N149" i="1" s="1"/>
  <c r="T52" i="1"/>
  <c r="T144" i="1"/>
  <c r="W5" i="1"/>
  <c r="W142" i="1" s="1"/>
  <c r="V142" i="1"/>
  <c r="N132" i="1"/>
  <c r="O79" i="1"/>
  <c r="N89" i="1"/>
  <c r="S63" i="1"/>
  <c r="S65" i="1" s="1"/>
  <c r="S66" i="1" s="1"/>
  <c r="O88" i="1"/>
  <c r="O131" i="1" s="1"/>
  <c r="O136" i="1" s="1"/>
  <c r="O137" i="1" s="1"/>
  <c r="P27" i="1"/>
  <c r="P84" i="1"/>
  <c r="Q18" i="1"/>
  <c r="Q82" i="1"/>
  <c r="R85" i="1"/>
  <c r="R26" i="1" s="1"/>
  <c r="Q25" i="1"/>
  <c r="Q46" i="1"/>
  <c r="T32" i="1"/>
  <c r="T42" i="1"/>
  <c r="T60" i="1"/>
  <c r="T62" i="1"/>
  <c r="T61" i="1"/>
  <c r="U7" i="1"/>
  <c r="U51" i="1"/>
  <c r="V6" i="1"/>
  <c r="V143" i="1" s="1"/>
  <c r="V50" i="1"/>
  <c r="S21" i="1"/>
  <c r="R22" i="1"/>
  <c r="R24" i="1" s="1"/>
  <c r="P78" i="1"/>
  <c r="R16" i="1"/>
  <c r="R81" i="1" s="1"/>
  <c r="T12" i="1"/>
  <c r="S13" i="1"/>
  <c r="S15" i="1" s="1"/>
  <c r="S36" i="1" s="1"/>
  <c r="U44" i="1"/>
  <c r="U45" i="1" s="1"/>
  <c r="T110" i="1" l="1"/>
  <c r="N157" i="1"/>
  <c r="N158" i="1" s="1"/>
  <c r="P154" i="1"/>
  <c r="P155" i="1"/>
  <c r="N150" i="1"/>
  <c r="O139" i="1"/>
  <c r="O153" i="1"/>
  <c r="O146" i="1"/>
  <c r="O149" i="1" s="1"/>
  <c r="W6" i="1"/>
  <c r="W143" i="1" s="1"/>
  <c r="U52" i="1"/>
  <c r="U144" i="1"/>
  <c r="W50" i="1"/>
  <c r="O132" i="1"/>
  <c r="P79" i="1"/>
  <c r="O89" i="1"/>
  <c r="T63" i="1"/>
  <c r="T65" i="1" s="1"/>
  <c r="T66" i="1" s="1"/>
  <c r="P88" i="1"/>
  <c r="P131" i="1" s="1"/>
  <c r="P136" i="1" s="1"/>
  <c r="P137" i="1" s="1"/>
  <c r="Q27" i="1"/>
  <c r="Q84" i="1"/>
  <c r="R18" i="1"/>
  <c r="R82" i="1"/>
  <c r="S85" i="1"/>
  <c r="S26" i="1" s="1"/>
  <c r="R25" i="1"/>
  <c r="R46" i="1"/>
  <c r="U42" i="1"/>
  <c r="U60" i="1"/>
  <c r="U62" i="1"/>
  <c r="U61" i="1"/>
  <c r="U32" i="1"/>
  <c r="V7" i="1"/>
  <c r="V144" i="1" s="1"/>
  <c r="V51" i="1"/>
  <c r="T21" i="1"/>
  <c r="S22" i="1"/>
  <c r="S24" i="1" s="1"/>
  <c r="Q78" i="1"/>
  <c r="S16" i="1"/>
  <c r="S81" i="1" s="1"/>
  <c r="T13" i="1"/>
  <c r="T15" i="1" s="1"/>
  <c r="T36" i="1" s="1"/>
  <c r="U12" i="1"/>
  <c r="V44" i="1"/>
  <c r="T115" i="1" l="1"/>
  <c r="T129" i="1" s="1"/>
  <c r="U110" i="1"/>
  <c r="O157" i="1"/>
  <c r="O158" i="1" s="1"/>
  <c r="Q154" i="1"/>
  <c r="Q155" i="1"/>
  <c r="O150" i="1"/>
  <c r="W51" i="1"/>
  <c r="P139" i="1"/>
  <c r="P153" i="1"/>
  <c r="W7" i="1"/>
  <c r="W144" i="1" s="1"/>
  <c r="P146" i="1"/>
  <c r="P149" i="1" s="1"/>
  <c r="P132" i="1"/>
  <c r="Q79" i="1"/>
  <c r="P89" i="1"/>
  <c r="U63" i="1"/>
  <c r="U65" i="1" s="1"/>
  <c r="U66" i="1" s="1"/>
  <c r="Q88" i="1"/>
  <c r="Q131" i="1" s="1"/>
  <c r="Q136" i="1" s="1"/>
  <c r="Q137" i="1" s="1"/>
  <c r="S18" i="1"/>
  <c r="S82" i="1"/>
  <c r="R27" i="1"/>
  <c r="R84" i="1"/>
  <c r="T85" i="1"/>
  <c r="T26" i="1" s="1"/>
  <c r="S25" i="1"/>
  <c r="S46" i="1"/>
  <c r="V45" i="1"/>
  <c r="W44" i="1"/>
  <c r="W45" i="1" s="1"/>
  <c r="V52" i="1"/>
  <c r="V110" i="1" s="1"/>
  <c r="V32" i="1"/>
  <c r="V42" i="1"/>
  <c r="U21" i="1"/>
  <c r="T22" i="1"/>
  <c r="T24" i="1" s="1"/>
  <c r="R78" i="1"/>
  <c r="T16" i="1"/>
  <c r="T81" i="1" s="1"/>
  <c r="V12" i="1"/>
  <c r="U13" i="1"/>
  <c r="U15" i="1" s="1"/>
  <c r="U36" i="1" s="1"/>
  <c r="V115" i="1" l="1"/>
  <c r="V129" i="1" s="1"/>
  <c r="U115" i="1"/>
  <c r="U129" i="1" s="1"/>
  <c r="R155" i="1"/>
  <c r="R154" i="1"/>
  <c r="P157" i="1"/>
  <c r="P158" i="1" s="1"/>
  <c r="P150" i="1"/>
  <c r="W42" i="1"/>
  <c r="W52" i="1"/>
  <c r="W110" i="1" s="1"/>
  <c r="W32" i="1"/>
  <c r="Q139" i="1"/>
  <c r="Q153" i="1"/>
  <c r="Q146" i="1"/>
  <c r="Q149" i="1" s="1"/>
  <c r="Q132" i="1"/>
  <c r="R79" i="1"/>
  <c r="Q89" i="1"/>
  <c r="R88" i="1"/>
  <c r="R131" i="1" s="1"/>
  <c r="R136" i="1" s="1"/>
  <c r="T18" i="1"/>
  <c r="T82" i="1"/>
  <c r="S27" i="1"/>
  <c r="S84" i="1"/>
  <c r="U85" i="1"/>
  <c r="U26" i="1" s="1"/>
  <c r="T25" i="1"/>
  <c r="T46" i="1"/>
  <c r="V13" i="1"/>
  <c r="V15" i="1" s="1"/>
  <c r="W12" i="1"/>
  <c r="W13" i="1" s="1"/>
  <c r="W15" i="1" s="1"/>
  <c r="W36" i="1" s="1"/>
  <c r="W61" i="1"/>
  <c r="W60" i="1"/>
  <c r="W62" i="1"/>
  <c r="V61" i="1"/>
  <c r="V62" i="1"/>
  <c r="V60" i="1"/>
  <c r="V21" i="1"/>
  <c r="U22" i="1"/>
  <c r="U24" i="1" s="1"/>
  <c r="S78" i="1"/>
  <c r="U16" i="1"/>
  <c r="U81" i="1" s="1"/>
  <c r="W115" i="1" l="1"/>
  <c r="W129" i="1" s="1"/>
  <c r="Q157" i="1"/>
  <c r="Q158" i="1" s="1"/>
  <c r="S155" i="1"/>
  <c r="S154" i="1"/>
  <c r="Q150" i="1"/>
  <c r="R137" i="1"/>
  <c r="R153" i="1" s="1"/>
  <c r="R146" i="1"/>
  <c r="R149" i="1" s="1"/>
  <c r="R132" i="1"/>
  <c r="S79" i="1"/>
  <c r="R89" i="1"/>
  <c r="W63" i="1"/>
  <c r="W65" i="1" s="1"/>
  <c r="V63" i="1"/>
  <c r="V65" i="1" s="1"/>
  <c r="V66" i="1" s="1"/>
  <c r="S88" i="1"/>
  <c r="S131" i="1" s="1"/>
  <c r="S136" i="1" s="1"/>
  <c r="S137" i="1" s="1"/>
  <c r="U18" i="1"/>
  <c r="U82" i="1"/>
  <c r="T27" i="1"/>
  <c r="T84" i="1"/>
  <c r="U25" i="1"/>
  <c r="U46" i="1"/>
  <c r="V16" i="1"/>
  <c r="V81" i="1" s="1"/>
  <c r="V36" i="1"/>
  <c r="V22" i="1"/>
  <c r="V24" i="1" s="1"/>
  <c r="W21" i="1"/>
  <c r="W22" i="1" s="1"/>
  <c r="W24" i="1" s="1"/>
  <c r="W46" i="1" s="1"/>
  <c r="W16" i="1"/>
  <c r="W81" i="1" s="1"/>
  <c r="T78" i="1"/>
  <c r="R157" i="1" l="1"/>
  <c r="R158" i="1" s="1"/>
  <c r="T155" i="1"/>
  <c r="T154" i="1"/>
  <c r="R150" i="1"/>
  <c r="S139" i="1"/>
  <c r="S153" i="1"/>
  <c r="R139" i="1"/>
  <c r="S146" i="1"/>
  <c r="S149" i="1" s="1"/>
  <c r="S132" i="1"/>
  <c r="T79" i="1"/>
  <c r="S89" i="1"/>
  <c r="W78" i="1"/>
  <c r="W66" i="1"/>
  <c r="T88" i="1"/>
  <c r="T131" i="1" s="1"/>
  <c r="T136" i="1" s="1"/>
  <c r="U27" i="1"/>
  <c r="U84" i="1"/>
  <c r="V18" i="1"/>
  <c r="V82" i="1"/>
  <c r="W18" i="1"/>
  <c r="W82" i="1"/>
  <c r="V85" i="1"/>
  <c r="V26" i="1" s="1"/>
  <c r="W85" i="1"/>
  <c r="W26" i="1" s="1"/>
  <c r="V25" i="1"/>
  <c r="V46" i="1"/>
  <c r="W25" i="1"/>
  <c r="V78" i="1"/>
  <c r="U78" i="1"/>
  <c r="V154" i="1" l="1"/>
  <c r="V155" i="1"/>
  <c r="U155" i="1"/>
  <c r="U154" i="1"/>
  <c r="W154" i="1"/>
  <c r="W155" i="1"/>
  <c r="S157" i="1"/>
  <c r="S158" i="1" s="1"/>
  <c r="S150" i="1"/>
  <c r="T137" i="1"/>
  <c r="T153" i="1" s="1"/>
  <c r="T146" i="1"/>
  <c r="T149" i="1" s="1"/>
  <c r="T132" i="1"/>
  <c r="U79" i="1"/>
  <c r="T89" i="1"/>
  <c r="W79" i="1"/>
  <c r="V79" i="1"/>
  <c r="U88" i="1"/>
  <c r="U131" i="1" s="1"/>
  <c r="U136" i="1" s="1"/>
  <c r="V27" i="1"/>
  <c r="V84" i="1"/>
  <c r="W27" i="1"/>
  <c r="W84" i="1"/>
  <c r="T157" i="1" l="1"/>
  <c r="T158" i="1" s="1"/>
  <c r="T150" i="1"/>
  <c r="T139" i="1"/>
  <c r="U137" i="1"/>
  <c r="U153" i="1" s="1"/>
  <c r="U146" i="1"/>
  <c r="U149" i="1" s="1"/>
  <c r="U132" i="1"/>
  <c r="U89" i="1"/>
  <c r="V88" i="1"/>
  <c r="V131" i="1" s="1"/>
  <c r="V136" i="1" s="1"/>
  <c r="V137" i="1" s="1"/>
  <c r="W88" i="1"/>
  <c r="W131" i="1" s="1"/>
  <c r="W136" i="1" s="1"/>
  <c r="U157" i="1" l="1"/>
  <c r="U158" i="1" s="1"/>
  <c r="U150" i="1"/>
  <c r="U139" i="1"/>
  <c r="W137" i="1"/>
  <c r="W153" i="1" s="1"/>
  <c r="V139" i="1"/>
  <c r="V153" i="1"/>
  <c r="W146" i="1"/>
  <c r="W149" i="1" s="1"/>
  <c r="V146" i="1"/>
  <c r="V149" i="1" s="1"/>
  <c r="W132" i="1"/>
  <c r="V132" i="1"/>
  <c r="W89" i="1"/>
  <c r="V89" i="1"/>
  <c r="W157" i="1" l="1"/>
  <c r="W158" i="1" s="1"/>
  <c r="V157" i="1"/>
  <c r="V158" i="1" s="1"/>
  <c r="V150" i="1"/>
  <c r="W150" i="1"/>
  <c r="W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tc={80405F16-27DD-4E9C-B1AC-31BE43A6BBB9}</author>
    <author>tc={4B16CE26-2766-41CE-A325-DBEBA2AFD5B8}</author>
    <author>tc={4479113B-1DF7-4422-9C2B-F1117EA14193}</author>
    <author>tc={26A3E31E-FBE5-4099-93AE-42FCBAF254F9}</author>
  </authors>
  <commentList>
    <comment ref="J12" authorId="0" shapeId="0" xr:uid="{80405F16-27DD-4E9C-B1AC-31BE43A6BBB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1000 students in a law school, considering only T14 schools</t>
      </text>
    </comment>
    <comment ref="J21" authorId="1" shapeId="0" xr:uid="{4B16CE26-2766-41CE-A325-DBEBA2AFD5B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https://www.usnews.com/best-colleges/rankings/national-universities
Reply:
    Including T25 schools</t>
      </text>
    </comment>
    <comment ref="F54" authorId="2" shapeId="0" xr:uid="{4479113B-1DF7-4422-9C2B-F1117EA141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tax on back end - make it feel like a deal</t>
      </text>
    </comment>
    <comment ref="J118" authorId="3" shapeId="0" xr:uid="{26A3E31E-FBE5-4099-93AE-42FCBAF254F9}">
      <text>
        <t>[Threaded comment]
Your version of Excel allows you to read this threaded comment; however, any edits to it will get removed if the file is opened in a newer version of Excel. Learn more: https://go.microsoft.com/fwlink/?linkid=870924
Comment:
    Articles of Organization</t>
      </text>
    </comment>
  </commentList>
</comments>
</file>

<file path=xl/sharedStrings.xml><?xml version="1.0" encoding="utf-8"?>
<sst xmlns="http://schemas.openxmlformats.org/spreadsheetml/2006/main" count="194" uniqueCount="164">
  <si>
    <t>ProvenPath Operating Model</t>
  </si>
  <si>
    <t>DATE</t>
  </si>
  <si>
    <t>PERIOD</t>
  </si>
  <si>
    <t>Question to answer: how can we cost-efficiently chart a path to profitability without raising capital?</t>
  </si>
  <si>
    <t>QUARTER</t>
  </si>
  <si>
    <t>Google Domains</t>
  </si>
  <si>
    <t>Google Workspace</t>
  </si>
  <si>
    <t>Merchandise</t>
  </si>
  <si>
    <t>Price</t>
  </si>
  <si>
    <t>Bundle</t>
  </si>
  <si>
    <t>% Users</t>
  </si>
  <si>
    <t>Bubble.io</t>
  </si>
  <si>
    <t>$ Per App</t>
  </si>
  <si>
    <t>% Savings</t>
  </si>
  <si>
    <t>Seasonal Demand Factor</t>
  </si>
  <si>
    <t>Total Applications Revenue</t>
  </si>
  <si>
    <t>Free Cash Flow</t>
  </si>
  <si>
    <t>Total Revenue</t>
  </si>
  <si>
    <t xml:space="preserve"> growth p.a.</t>
  </si>
  <si>
    <t xml:space="preserve"> demographic</t>
  </si>
  <si>
    <t xml:space="preserve"> conversion</t>
  </si>
  <si>
    <t xml:space="preserve"> cutoff year</t>
  </si>
  <si>
    <t xml:space="preserve"> rev share</t>
  </si>
  <si>
    <t>Growth Model ($ in 000s)</t>
  </si>
  <si>
    <t xml:space="preserve"> per new app</t>
  </si>
  <si>
    <t>Gross Profit</t>
  </si>
  <si>
    <t>Gross Profit Margin</t>
  </si>
  <si>
    <t>ProvenPath Market Share - LAW</t>
  </si>
  <si>
    <t>Cumulative Applications - LAW</t>
  </si>
  <si>
    <t>App Acquisitions - LAW</t>
  </si>
  <si>
    <t>Admit Revenue Share - LAW</t>
  </si>
  <si>
    <t>ProvenPath Market Share - COLLEGE</t>
  </si>
  <si>
    <t>Cumulative Applications - COLLEGE</t>
  </si>
  <si>
    <t>App Acquisitions - COLLEGE</t>
  </si>
  <si>
    <t>Admit Revenue Share - COLLEGE</t>
  </si>
  <si>
    <t>Marketing Spend - LAW</t>
  </si>
  <si>
    <t>Page Impressions - LAW</t>
  </si>
  <si>
    <t>Conversion Rate - LAW</t>
  </si>
  <si>
    <t>Application Purchases - LAW</t>
  </si>
  <si>
    <t>Supply Multiplier - LAW</t>
  </si>
  <si>
    <t>Marketing Spend - COLLEGE</t>
  </si>
  <si>
    <t>Page Impressions - COLLEGE</t>
  </si>
  <si>
    <t>Conversion Rate - COLLEGE</t>
  </si>
  <si>
    <t>Application Purchases - COLLEGE</t>
  </si>
  <si>
    <t>Supply Multiplier - COLLEGE</t>
  </si>
  <si>
    <t>SUPPLY - LAW</t>
  </si>
  <si>
    <t>SUPPLY - COLLEGE</t>
  </si>
  <si>
    <t>DEMAND - LAW</t>
  </si>
  <si>
    <t>DEMAND - COLLEGE</t>
  </si>
  <si>
    <t>Passive Income / App ($ in Ones) - LAW</t>
  </si>
  <si>
    <t>Passive Income / App ($ in Ones) - COLLEGE</t>
  </si>
  <si>
    <t>Revenue Growth</t>
  </si>
  <si>
    <t>Applications Revenue Growth</t>
  </si>
  <si>
    <t xml:space="preserve"> MAU trigger</t>
  </si>
  <si>
    <t>$ / MAU</t>
  </si>
  <si>
    <t>Partners</t>
  </si>
  <si>
    <t>Affiliate Marketing - COLLEGE</t>
  </si>
  <si>
    <t>Affiliate Marketing - LAW</t>
  </si>
  <si>
    <t>Newsletter / Blog Copywriting</t>
  </si>
  <si>
    <t>Public Relations Agency</t>
  </si>
  <si>
    <t>Email Marketing</t>
  </si>
  <si>
    <t>Marketing Analytics Software</t>
  </si>
  <si>
    <t>Sales Promotions - COLLEGE</t>
  </si>
  <si>
    <t>Affiliate Commissions - COLLEGE</t>
  </si>
  <si>
    <t>Sponsored Posts - COLLEGE</t>
  </si>
  <si>
    <t>Operating Expenses</t>
  </si>
  <si>
    <t>(-) Costs of Goods Sold</t>
  </si>
  <si>
    <t>Cost of Merchandise</t>
  </si>
  <si>
    <t>Admit Upfront Acquisition Fee - LAW</t>
  </si>
  <si>
    <t>Admit Upfront Acquisition Fee - COLLEGE</t>
  </si>
  <si>
    <t>Employee Salaries</t>
  </si>
  <si>
    <t>Contract Labor</t>
  </si>
  <si>
    <t>[Other Software Services / Licenses]</t>
  </si>
  <si>
    <t>(-) General &amp; Administrative</t>
  </si>
  <si>
    <t>(-) R&amp;D Expenses</t>
  </si>
  <si>
    <t>(-) Marketing Costs</t>
  </si>
  <si>
    <t>Legal Fees</t>
  </si>
  <si>
    <t>Accounting Fees</t>
  </si>
  <si>
    <t>(-) Sales &amp; Distribution Costs</t>
  </si>
  <si>
    <t>Travel &amp; Entertainment</t>
  </si>
  <si>
    <t>Customer Support Services</t>
  </si>
  <si>
    <t>Tier 1 Pricing - LAW</t>
  </si>
  <si>
    <t>Tier 2 Pricing - LAW</t>
  </si>
  <si>
    <t>Tier 3 Pricing - LAW</t>
  </si>
  <si>
    <t>Tier 1 Pricing - COLLEGE</t>
  </si>
  <si>
    <t>Tier 2 Pricing - COLLEGE</t>
  </si>
  <si>
    <t>Tier 3 Pricing - COLLEGE</t>
  </si>
  <si>
    <t>(+) Affiliate Marketing Income</t>
  </si>
  <si>
    <t>(+) Merchandise Sales</t>
  </si>
  <si>
    <t>(+) Data Licensing</t>
  </si>
  <si>
    <t>(+) Corporate Recruitment</t>
  </si>
  <si>
    <t>(+) Apps Revenue - COLLEGE</t>
  </si>
  <si>
    <t>MAU - LAW</t>
  </si>
  <si>
    <t>MAU - COLLEGE</t>
  </si>
  <si>
    <t>Operating Profit (EBIT)</t>
  </si>
  <si>
    <t>Operating Profit (EBIT) Margin</t>
  </si>
  <si>
    <t>Net Income</t>
  </si>
  <si>
    <t>(-) Asset / Hardware Depreciation</t>
  </si>
  <si>
    <t>Operating Model ($ in 000s)</t>
  </si>
  <si>
    <t>Cash Flow Build ($ in 000s)</t>
  </si>
  <si>
    <t>(+) Depreciation &amp; Amortization</t>
  </si>
  <si>
    <t>EBITDA</t>
  </si>
  <si>
    <t>EBITDA Margin</t>
  </si>
  <si>
    <t>(-) Cash Taxes</t>
  </si>
  <si>
    <t>(-) Change in Net Working Capital</t>
  </si>
  <si>
    <t xml:space="preserve"> % rev assumption</t>
  </si>
  <si>
    <t xml:space="preserve"> tax rate</t>
  </si>
  <si>
    <t>EBT</t>
  </si>
  <si>
    <t>FCF Conversion</t>
  </si>
  <si>
    <t>(-) Capital Expenditures</t>
  </si>
  <si>
    <t>(-) Cash Interest Expense</t>
  </si>
  <si>
    <t>(-) Interest Expense</t>
  </si>
  <si>
    <t>(-) Taxes</t>
  </si>
  <si>
    <t>Startup Capital</t>
  </si>
  <si>
    <t xml:space="preserve"> annually</t>
  </si>
  <si>
    <t xml:space="preserve"> monthly</t>
  </si>
  <si>
    <t>Other Events and Travel</t>
  </si>
  <si>
    <t>Strategic Partnerships - COLLEGE</t>
  </si>
  <si>
    <t xml:space="preserve"> quarterly</t>
  </si>
  <si>
    <t>Blended Demand Conversion Factor (DCF) - LAW</t>
  </si>
  <si>
    <t>Blended Demand Conversion Factor (DCF) - COLLEGE</t>
  </si>
  <si>
    <t>Demand Conversion Factor</t>
  </si>
  <si>
    <t>SEO - COLLEGE</t>
  </si>
  <si>
    <t>(+) Apps Revenue - LAW</t>
  </si>
  <si>
    <t>Referral Promotions - LAW</t>
  </si>
  <si>
    <t>Build For Free Strategy - LAW</t>
  </si>
  <si>
    <t xml:space="preserve"> per event</t>
  </si>
  <si>
    <t>Original Content Marketing - LAW</t>
  </si>
  <si>
    <t xml:space="preserve"> per post</t>
  </si>
  <si>
    <t>varies</t>
  </si>
  <si>
    <t>Est. Costs</t>
  </si>
  <si>
    <t xml:space="preserve"> time, etc.</t>
  </si>
  <si>
    <t xml:space="preserve"> out of rev</t>
  </si>
  <si>
    <t>Campus Partnerships - LAW</t>
  </si>
  <si>
    <t>Geurilla Marketing - LAW</t>
  </si>
  <si>
    <t>make a SCAC budget limit… rinse and repeat to $50</t>
  </si>
  <si>
    <t>eventually, we should standardize Supply CAC</t>
  </si>
  <si>
    <t>"earn up to $xyz/month"</t>
  </si>
  <si>
    <t>diminishing returns to supply</t>
  </si>
  <si>
    <t>Stripe Costs / Transaction</t>
  </si>
  <si>
    <t>Bubble Costs / Month</t>
  </si>
  <si>
    <t>Clicks / Month</t>
  </si>
  <si>
    <t>Operating Margin</t>
  </si>
  <si>
    <t>Months</t>
  </si>
  <si>
    <t>Operating Profit</t>
  </si>
  <si>
    <t>variable</t>
  </si>
  <si>
    <t>Demand CAC</t>
  </si>
  <si>
    <t>Sales</t>
  </si>
  <si>
    <t>Conversion</t>
  </si>
  <si>
    <t>fixed</t>
  </si>
  <si>
    <t>Supply CAC</t>
  </si>
  <si>
    <t>D CAC</t>
  </si>
  <si>
    <t>Clicks</t>
  </si>
  <si>
    <t>Bubble</t>
  </si>
  <si>
    <t>IG PPC</t>
  </si>
  <si>
    <t>Stripe</t>
  </si>
  <si>
    <t>Kickback</t>
  </si>
  <si>
    <t>Referral Promo</t>
  </si>
  <si>
    <t>Gross Margin</t>
  </si>
  <si>
    <t>Guerilla Marketing</t>
  </si>
  <si>
    <t>Price Per App</t>
  </si>
  <si>
    <t>Tier 2 Apps</t>
  </si>
  <si>
    <t>Revenue</t>
  </si>
  <si>
    <t>Tier 2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</si>
</sst>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_(* #,##0_);_(* \(#,##0\);_(* &quot;--&quot;_);_(@_)"/>
    <numFmt numFmtId="165" formatCode="_(&quot;$&quot;#,##0.0_);_(\(&quot;$&quot;#,##0.0\);_(* &quot;--&quot;_);_(@_)"/>
    <numFmt numFmtId="166" formatCode="_(&quot;$&quot;#,##0.00_);_(\(&quot;$&quot;#,##0.00\);_(* &quot;--&quot;_);_(@_)"/>
    <numFmt numFmtId="167" formatCode="_(* #,##0.00_);_(* \(#,##0.00\);_(* &quot;--&quot;_);_(@_)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164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0" fontId="5" fillId="3" borderId="0" xfId="0" applyFont="1" applyFill="1"/>
    <xf numFmtId="0" fontId="5" fillId="0" borderId="0" xfId="0" applyFont="1"/>
    <xf numFmtId="0" fontId="1" fillId="0" borderId="0" xfId="0" applyFont="1" applyAlignment="1">
      <alignment horizontal="left" indent="1"/>
    </xf>
    <xf numFmtId="164" fontId="7" fillId="0" borderId="3" xfId="0" applyNumberFormat="1" applyFont="1" applyBorder="1"/>
    <xf numFmtId="166" fontId="7" fillId="0" borderId="3" xfId="0" applyNumberFormat="1" applyFont="1" applyBorder="1"/>
    <xf numFmtId="164" fontId="4" fillId="0" borderId="0" xfId="0" applyNumberFormat="1" applyFont="1"/>
    <xf numFmtId="0" fontId="4" fillId="0" borderId="0" xfId="0" applyFont="1" applyAlignment="1">
      <alignment horizontal="right"/>
    </xf>
    <xf numFmtId="9" fontId="7" fillId="0" borderId="3" xfId="1" applyFont="1" applyBorder="1"/>
    <xf numFmtId="0" fontId="4" fillId="0" borderId="0" xfId="0" applyFont="1" applyAlignment="1">
      <alignment horizontal="left" indent="1"/>
    </xf>
    <xf numFmtId="164" fontId="6" fillId="0" borderId="0" xfId="0" applyNumberFormat="1" applyFont="1"/>
    <xf numFmtId="9" fontId="6" fillId="0" borderId="0" xfId="1" applyFont="1" applyBorder="1"/>
    <xf numFmtId="10" fontId="7" fillId="0" borderId="3" xfId="1" applyNumberFormat="1" applyFont="1" applyBorder="1"/>
    <xf numFmtId="10" fontId="7" fillId="0" borderId="0" xfId="1" applyNumberFormat="1" applyFont="1" applyBorder="1"/>
    <xf numFmtId="10" fontId="6" fillId="0" borderId="0" xfId="1" applyNumberFormat="1" applyFont="1" applyBorder="1"/>
    <xf numFmtId="166" fontId="6" fillId="0" borderId="3" xfId="0" applyNumberFormat="1" applyFont="1" applyBorder="1"/>
    <xf numFmtId="9" fontId="6" fillId="0" borderId="3" xfId="1" applyFont="1" applyBorder="1"/>
    <xf numFmtId="166" fontId="7" fillId="0" borderId="4" xfId="0" applyNumberFormat="1" applyFont="1" applyBorder="1"/>
    <xf numFmtId="166" fontId="6" fillId="0" borderId="0" xfId="0" applyNumberFormat="1" applyFont="1"/>
    <xf numFmtId="164" fontId="7" fillId="0" borderId="4" xfId="0" applyNumberFormat="1" applyFont="1" applyBorder="1"/>
    <xf numFmtId="164" fontId="7" fillId="0" borderId="0" xfId="0" applyNumberFormat="1" applyFont="1"/>
    <xf numFmtId="166" fontId="6" fillId="0" borderId="4" xfId="0" applyNumberFormat="1" applyFont="1" applyBorder="1"/>
    <xf numFmtId="2" fontId="1" fillId="0" borderId="0" xfId="0" applyNumberFormat="1" applyFont="1" applyAlignment="1">
      <alignment horizontal="left" indent="1"/>
    </xf>
    <xf numFmtId="167" fontId="1" fillId="0" borderId="0" xfId="0" applyNumberFormat="1" applyFont="1"/>
    <xf numFmtId="164" fontId="1" fillId="5" borderId="0" xfId="0" applyNumberFormat="1" applyFont="1" applyFill="1"/>
    <xf numFmtId="164" fontId="1" fillId="6" borderId="0" xfId="0" applyNumberFormat="1" applyFont="1" applyFill="1"/>
    <xf numFmtId="0" fontId="9" fillId="0" borderId="0" xfId="0" applyFont="1"/>
    <xf numFmtId="166" fontId="6" fillId="0" borderId="0" xfId="0" applyNumberFormat="1" applyFont="1" applyAlignment="1">
      <alignment horizontal="right"/>
    </xf>
    <xf numFmtId="9" fontId="7" fillId="0" borderId="4" xfId="1" applyFont="1" applyBorder="1"/>
    <xf numFmtId="9" fontId="6" fillId="0" borderId="4" xfId="1" applyFont="1" applyBorder="1"/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0" fontId="7" fillId="0" borderId="1" xfId="1" applyNumberFormat="1" applyFont="1" applyBorder="1"/>
    <xf numFmtId="0" fontId="4" fillId="0" borderId="1" xfId="0" applyFont="1" applyBorder="1"/>
    <xf numFmtId="0" fontId="4" fillId="0" borderId="0" xfId="0" applyFont="1" applyAlignment="1">
      <alignment horizontal="left"/>
    </xf>
    <xf numFmtId="9" fontId="11" fillId="0" borderId="0" xfId="1" applyFont="1" applyBorder="1" applyAlignment="1">
      <alignment horizontal="right"/>
    </xf>
    <xf numFmtId="10" fontId="12" fillId="0" borderId="0" xfId="1" applyNumberFormat="1" applyFont="1" applyBorder="1"/>
    <xf numFmtId="165" fontId="6" fillId="0" borderId="0" xfId="0" applyNumberFormat="1" applyFont="1"/>
    <xf numFmtId="165" fontId="6" fillId="0" borderId="1" xfId="0" applyNumberFormat="1" applyFont="1" applyBorder="1"/>
    <xf numFmtId="165" fontId="5" fillId="0" borderId="1" xfId="0" applyNumberFormat="1" applyFont="1" applyBorder="1"/>
    <xf numFmtId="165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1" xfId="0" applyNumberFormat="1" applyFont="1" applyBorder="1"/>
    <xf numFmtId="166" fontId="11" fillId="0" borderId="1" xfId="0" applyNumberFormat="1" applyFont="1" applyBorder="1"/>
    <xf numFmtId="164" fontId="11" fillId="0" borderId="1" xfId="0" applyNumberFormat="1" applyFont="1" applyBorder="1"/>
    <xf numFmtId="9" fontId="11" fillId="0" borderId="1" xfId="1" applyFont="1" applyFill="1" applyBorder="1"/>
    <xf numFmtId="9" fontId="11" fillId="0" borderId="0" xfId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10" fontId="13" fillId="0" borderId="1" xfId="1" applyNumberFormat="1" applyFont="1" applyBorder="1"/>
    <xf numFmtId="0" fontId="14" fillId="0" borderId="1" xfId="0" applyFont="1" applyBorder="1"/>
    <xf numFmtId="164" fontId="3" fillId="0" borderId="1" xfId="0" applyNumberFormat="1" applyFont="1" applyBorder="1"/>
    <xf numFmtId="165" fontId="7" fillId="0" borderId="0" xfId="0" applyNumberFormat="1" applyFont="1"/>
    <xf numFmtId="166" fontId="7" fillId="0" borderId="3" xfId="0" applyNumberFormat="1" applyFont="1" applyBorder="1" applyAlignment="1">
      <alignment horizontal="right"/>
    </xf>
    <xf numFmtId="0" fontId="10" fillId="4" borderId="0" xfId="0" applyFont="1" applyFill="1"/>
    <xf numFmtId="0" fontId="1" fillId="4" borderId="0" xfId="0" applyFont="1" applyFill="1"/>
    <xf numFmtId="0" fontId="3" fillId="4" borderId="0" xfId="0" applyFont="1" applyFill="1"/>
    <xf numFmtId="9" fontId="7" fillId="4" borderId="3" xfId="1" applyFont="1" applyFill="1" applyBorder="1"/>
    <xf numFmtId="0" fontId="4" fillId="4" borderId="0" xfId="0" applyFont="1" applyFill="1"/>
    <xf numFmtId="164" fontId="7" fillId="4" borderId="0" xfId="0" applyNumberFormat="1" applyFont="1" applyFill="1"/>
    <xf numFmtId="164" fontId="6" fillId="4" borderId="0" xfId="0" applyNumberFormat="1" applyFont="1" applyFill="1"/>
    <xf numFmtId="0" fontId="1" fillId="4" borderId="0" xfId="0" applyFont="1" applyFill="1" applyAlignment="1">
      <alignment horizontal="left" indent="1"/>
    </xf>
    <xf numFmtId="10" fontId="7" fillId="4" borderId="3" xfId="1" applyNumberFormat="1" applyFont="1" applyFill="1" applyBorder="1"/>
    <xf numFmtId="10" fontId="7" fillId="4" borderId="0" xfId="1" applyNumberFormat="1" applyFont="1" applyFill="1" applyBorder="1"/>
    <xf numFmtId="10" fontId="6" fillId="4" borderId="0" xfId="1" applyNumberFormat="1" applyFont="1" applyFill="1" applyBorder="1"/>
    <xf numFmtId="164" fontId="1" fillId="4" borderId="0" xfId="0" applyNumberFormat="1" applyFont="1" applyFill="1"/>
    <xf numFmtId="166" fontId="6" fillId="4" borderId="0" xfId="0" applyNumberFormat="1" applyFont="1" applyFill="1"/>
    <xf numFmtId="166" fontId="7" fillId="4" borderId="3" xfId="0" applyNumberFormat="1" applyFont="1" applyFill="1" applyBorder="1"/>
    <xf numFmtId="0" fontId="6" fillId="4" borderId="0" xfId="0" applyFont="1" applyFill="1" applyAlignment="1">
      <alignment horizontal="right"/>
    </xf>
    <xf numFmtId="166" fontId="6" fillId="4" borderId="0" xfId="0" applyNumberFormat="1" applyFont="1" applyFill="1" applyAlignment="1">
      <alignment horizontal="right"/>
    </xf>
    <xf numFmtId="167" fontId="1" fillId="4" borderId="0" xfId="0" applyNumberFormat="1" applyFont="1" applyFill="1"/>
    <xf numFmtId="2" fontId="6" fillId="4" borderId="0" xfId="0" applyNumberFormat="1" applyFont="1" applyFill="1" applyAlignment="1">
      <alignment horizontal="right"/>
    </xf>
    <xf numFmtId="164" fontId="7" fillId="4" borderId="3" xfId="0" applyNumberFormat="1" applyFont="1" applyFill="1" applyBorder="1"/>
    <xf numFmtId="166" fontId="6" fillId="4" borderId="3" xfId="0" applyNumberFormat="1" applyFont="1" applyFill="1" applyBorder="1"/>
    <xf numFmtId="0" fontId="4" fillId="4" borderId="0" xfId="0" applyFont="1" applyFill="1" applyAlignment="1">
      <alignment horizontal="right"/>
    </xf>
    <xf numFmtId="165" fontId="6" fillId="4" borderId="0" xfId="0" applyNumberFormat="1" applyFont="1" applyFill="1"/>
    <xf numFmtId="9" fontId="6" fillId="4" borderId="3" xfId="1" applyFont="1" applyFill="1" applyBorder="1"/>
    <xf numFmtId="166" fontId="7" fillId="4" borderId="4" xfId="0" applyNumberFormat="1" applyFont="1" applyFill="1" applyBorder="1"/>
    <xf numFmtId="164" fontId="7" fillId="4" borderId="4" xfId="0" applyNumberFormat="1" applyFont="1" applyFill="1" applyBorder="1"/>
    <xf numFmtId="9" fontId="7" fillId="4" borderId="4" xfId="1" applyFont="1" applyFill="1" applyBorder="1"/>
    <xf numFmtId="166" fontId="6" fillId="4" borderId="4" xfId="0" applyNumberFormat="1" applyFont="1" applyFill="1" applyBorder="1"/>
    <xf numFmtId="9" fontId="6" fillId="4" borderId="4" xfId="1" applyFont="1" applyFill="1" applyBorder="1"/>
    <xf numFmtId="0" fontId="1" fillId="4" borderId="0" xfId="0" applyFont="1" applyFill="1" applyAlignment="1">
      <alignment horizontal="left"/>
    </xf>
    <xf numFmtId="166" fontId="11" fillId="4" borderId="1" xfId="0" applyNumberFormat="1" applyFont="1" applyFill="1" applyBorder="1"/>
    <xf numFmtId="164" fontId="11" fillId="4" borderId="1" xfId="0" applyNumberFormat="1" applyFont="1" applyFill="1" applyBorder="1"/>
    <xf numFmtId="0" fontId="4" fillId="4" borderId="1" xfId="0" applyFont="1" applyFill="1" applyBorder="1"/>
    <xf numFmtId="9" fontId="11" fillId="4" borderId="1" xfId="1" applyFont="1" applyFill="1" applyBorder="1"/>
    <xf numFmtId="165" fontId="1" fillId="4" borderId="0" xfId="0" applyNumberFormat="1" applyFont="1" applyFill="1"/>
    <xf numFmtId="9" fontId="6" fillId="4" borderId="0" xfId="1" applyFont="1" applyFill="1" applyBorder="1"/>
    <xf numFmtId="10" fontId="12" fillId="4" borderId="0" xfId="1" applyNumberFormat="1" applyFont="1" applyFill="1" applyBorder="1"/>
    <xf numFmtId="9" fontId="6" fillId="4" borderId="0" xfId="1" applyFont="1" applyFill="1" applyBorder="1" applyAlignment="1">
      <alignment horizontal="right"/>
    </xf>
    <xf numFmtId="167" fontId="7" fillId="0" borderId="3" xfId="1" applyNumberFormat="1" applyFont="1" applyBorder="1"/>
    <xf numFmtId="167" fontId="4" fillId="0" borderId="0" xfId="1" applyNumberFormat="1" applyFont="1"/>
    <xf numFmtId="167" fontId="7" fillId="4" borderId="3" xfId="1" applyNumberFormat="1" applyFont="1" applyFill="1" applyBorder="1"/>
    <xf numFmtId="167" fontId="1" fillId="4" borderId="0" xfId="1" applyNumberFormat="1" applyFont="1" applyFill="1"/>
    <xf numFmtId="166" fontId="12" fillId="0" borderId="3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168" fontId="15" fillId="0" borderId="0" xfId="3" applyNumberFormat="1" applyFont="1" applyAlignment="1">
      <alignment horizontal="right"/>
    </xf>
    <xf numFmtId="7" fontId="15" fillId="0" borderId="0" xfId="0" applyNumberFormat="1" applyFont="1" applyAlignment="1">
      <alignment horizontal="right"/>
    </xf>
    <xf numFmtId="0" fontId="15" fillId="0" borderId="0" xfId="0" applyFont="1"/>
    <xf numFmtId="168" fontId="16" fillId="0" borderId="0" xfId="3" applyNumberFormat="1" applyFont="1"/>
    <xf numFmtId="0" fontId="16" fillId="0" borderId="0" xfId="0" applyFont="1" applyAlignment="1">
      <alignment horizontal="left" indent="1"/>
    </xf>
    <xf numFmtId="7" fontId="0" fillId="0" borderId="1" xfId="0" applyNumberFormat="1" applyBorder="1"/>
    <xf numFmtId="0" fontId="0" fillId="0" borderId="1" xfId="0" applyBorder="1"/>
    <xf numFmtId="0" fontId="16" fillId="0" borderId="0" xfId="0" applyFont="1"/>
    <xf numFmtId="7" fontId="0" fillId="0" borderId="0" xfId="0" applyNumberFormat="1"/>
    <xf numFmtId="0" fontId="15" fillId="0" borderId="0" xfId="0" applyFont="1" applyAlignment="1">
      <alignment horizontal="right"/>
    </xf>
    <xf numFmtId="0" fontId="17" fillId="0" borderId="0" xfId="0" applyFont="1"/>
    <xf numFmtId="7" fontId="0" fillId="0" borderId="0" xfId="0" applyNumberFormat="1" applyAlignment="1">
      <alignment horizontal="right"/>
    </xf>
    <xf numFmtId="43" fontId="0" fillId="0" borderId="0" xfId="2" applyFont="1"/>
  </cellXfs>
  <cellStyles count="4">
    <cellStyle name="Comma" xfId="2" builtinId="3"/>
    <cellStyle name="Normal" xfId="0" builtinId="0"/>
    <cellStyle name="Percent" xfId="1" builtinId="5"/>
    <cellStyle name="Percent 2" xfId="3" xr:uid="{A0F5797A-95F1-4D5D-8111-F20EC6333BA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nDon Harris" id="{97412F20-0C13-47BE-BEF3-291F686DB0F0}" userId="37ee146ee958e1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2" dT="2023-09-01T05:20:08.98" personId="{97412F20-0C13-47BE-BEF3-291F686DB0F0}" id="{80405F16-27DD-4E9C-B1AC-31BE43A6BBB9}">
    <text>Assuming 1000 students in a law school, considering only T14 schools</text>
  </threadedComment>
  <threadedComment ref="J21" dT="2023-08-30T19:02:48.16" personId="{97412F20-0C13-47BE-BEF3-291F686DB0F0}" id="{4B16CE26-2766-41CE-A325-DBEBA2AFD5B8}">
    <text>https://www.usnews.com/best-colleges/rankings/national-universities</text>
    <extLst>
      <x:ext xmlns:xltc2="http://schemas.microsoft.com/office/spreadsheetml/2020/threadedcomments2" uri="{F7C98A9C-CBB3-438F-8F68-D28B6AF4A901}">
        <xltc2:checksum>1198243510</xltc2:checksum>
        <xltc2:hyperlink startIndex="0" length="67" url="https://www.usnews.com/best-colleges/rankings/national-universities"/>
      </x:ext>
    </extLst>
  </threadedComment>
  <threadedComment ref="J21" dT="2023-09-01T05:21:06.44" personId="{97412F20-0C13-47BE-BEF3-291F686DB0F0}" id="{5BA8E05B-DA3C-493F-A595-0144BFA8B794}" parentId="{4B16CE26-2766-41CE-A325-DBEBA2AFD5B8}">
    <text>Including T25 schools</text>
  </threadedComment>
  <threadedComment ref="F54" dT="2023-09-01T03:59:01.81" personId="{97412F20-0C13-47BE-BEF3-291F686DB0F0}" id="{4479113B-1DF7-4422-9C2B-F1117EA14193}">
    <text>no tax on back end - make it feel like a deal</text>
  </threadedComment>
  <threadedComment ref="J118" dT="2023-09-01T22:29:54.75" personId="{97412F20-0C13-47BE-BEF3-291F686DB0F0}" id="{26A3E31E-FBE5-4099-93AE-42FCBAF254F9}">
    <text>Articles of Organization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20B8-66FD-4250-9C0E-FF89DF9ABDC4}">
  <dimension ref="C2:Z164"/>
  <sheetViews>
    <sheetView showGridLines="0" tabSelected="1" topLeftCell="A68" zoomScaleNormal="100" workbookViewId="0">
      <selection activeCell="F80" sqref="F80"/>
    </sheetView>
  </sheetViews>
  <sheetFormatPr defaultColWidth="9" defaultRowHeight="13.6" outlineLevelRow="1" x14ac:dyDescent="0.25"/>
  <cols>
    <col min="1" max="3" width="2.625" style="1" customWidth="1"/>
    <col min="4" max="5" width="12.625" style="1" customWidth="1"/>
    <col min="6" max="23" width="11.625" style="1" customWidth="1"/>
    <col min="24" max="25" width="2.625" style="1" customWidth="1"/>
    <col min="26" max="16384" width="9" style="1"/>
  </cols>
  <sheetData>
    <row r="2" spans="3:26" x14ac:dyDescent="0.25">
      <c r="C2" s="5" t="s">
        <v>3</v>
      </c>
    </row>
    <row r="4" spans="3:26" s="4" customFormat="1" x14ac:dyDescent="0.25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3:26" x14ac:dyDescent="0.25">
      <c r="C5" s="1" t="s">
        <v>1</v>
      </c>
      <c r="J5" s="6">
        <v>45199</v>
      </c>
      <c r="K5" s="6">
        <f>+EOMONTH(J5,3)</f>
        <v>45291</v>
      </c>
      <c r="L5" s="6">
        <f>+EOMONTH(K5,3)</f>
        <v>45382</v>
      </c>
      <c r="M5" s="6">
        <f>+EOMONTH(L5,3)</f>
        <v>45473</v>
      </c>
      <c r="N5" s="6">
        <f>+EOMONTH(M5,3)</f>
        <v>45565</v>
      </c>
      <c r="O5" s="6">
        <f t="shared" ref="O5:W5" si="0">+EOMONTH(N5,3)</f>
        <v>45657</v>
      </c>
      <c r="P5" s="6">
        <f t="shared" si="0"/>
        <v>45747</v>
      </c>
      <c r="Q5" s="6">
        <f t="shared" si="0"/>
        <v>45838</v>
      </c>
      <c r="R5" s="6">
        <f t="shared" si="0"/>
        <v>45930</v>
      </c>
      <c r="S5" s="6">
        <f t="shared" si="0"/>
        <v>46022</v>
      </c>
      <c r="T5" s="6">
        <f t="shared" si="0"/>
        <v>46112</v>
      </c>
      <c r="U5" s="6">
        <f t="shared" si="0"/>
        <v>46203</v>
      </c>
      <c r="V5" s="6">
        <f t="shared" si="0"/>
        <v>46295</v>
      </c>
      <c r="W5" s="6">
        <f t="shared" si="0"/>
        <v>46387</v>
      </c>
    </row>
    <row r="6" spans="3:26" x14ac:dyDescent="0.25">
      <c r="C6" s="1" t="s">
        <v>2</v>
      </c>
      <c r="J6" s="10">
        <f t="shared" ref="J6:V6" si="1">+YEARFRAC($J$5,J5)*4</f>
        <v>0</v>
      </c>
      <c r="K6" s="10">
        <f t="shared" si="1"/>
        <v>1</v>
      </c>
      <c r="L6" s="10">
        <f t="shared" si="1"/>
        <v>2</v>
      </c>
      <c r="M6" s="10">
        <f t="shared" si="1"/>
        <v>3</v>
      </c>
      <c r="N6" s="10">
        <f t="shared" si="1"/>
        <v>4</v>
      </c>
      <c r="O6" s="10">
        <f t="shared" si="1"/>
        <v>5</v>
      </c>
      <c r="P6" s="10">
        <f t="shared" si="1"/>
        <v>6</v>
      </c>
      <c r="Q6" s="10">
        <f t="shared" si="1"/>
        <v>7</v>
      </c>
      <c r="R6" s="10">
        <f t="shared" si="1"/>
        <v>8</v>
      </c>
      <c r="S6" s="10">
        <f t="shared" si="1"/>
        <v>9</v>
      </c>
      <c r="T6" s="10">
        <f t="shared" si="1"/>
        <v>10</v>
      </c>
      <c r="U6" s="10">
        <f t="shared" si="1"/>
        <v>11</v>
      </c>
      <c r="V6" s="10">
        <f t="shared" si="1"/>
        <v>12</v>
      </c>
      <c r="W6" s="10">
        <f>+YEARFRAC($J$5,W5)*4</f>
        <v>13</v>
      </c>
    </row>
    <row r="7" spans="3:26" x14ac:dyDescent="0.25">
      <c r="C7" s="11" t="s">
        <v>4</v>
      </c>
      <c r="D7" s="11"/>
      <c r="E7" s="11"/>
      <c r="F7" s="11"/>
      <c r="G7" s="11"/>
      <c r="H7" s="11"/>
      <c r="I7" s="11"/>
      <c r="J7" s="12">
        <f>+IF(MOD(J6+3,4)=0,4,MOD(J6+3,4))</f>
        <v>3</v>
      </c>
      <c r="K7" s="12">
        <f t="shared" ref="K7:W7" si="2">+IF(MOD(K6+3,4)=0,4,MOD(K6+3,4))</f>
        <v>4</v>
      </c>
      <c r="L7" s="12">
        <f t="shared" si="2"/>
        <v>1</v>
      </c>
      <c r="M7" s="12">
        <f t="shared" si="2"/>
        <v>2</v>
      </c>
      <c r="N7" s="12">
        <f t="shared" si="2"/>
        <v>3</v>
      </c>
      <c r="O7" s="12">
        <f t="shared" si="2"/>
        <v>4</v>
      </c>
      <c r="P7" s="12">
        <f t="shared" si="2"/>
        <v>1</v>
      </c>
      <c r="Q7" s="12">
        <f t="shared" si="2"/>
        <v>2</v>
      </c>
      <c r="R7" s="12">
        <f t="shared" si="2"/>
        <v>3</v>
      </c>
      <c r="S7" s="12">
        <f t="shared" si="2"/>
        <v>4</v>
      </c>
      <c r="T7" s="12">
        <f t="shared" si="2"/>
        <v>1</v>
      </c>
      <c r="U7" s="12">
        <f t="shared" si="2"/>
        <v>2</v>
      </c>
      <c r="V7" s="12">
        <f t="shared" si="2"/>
        <v>3</v>
      </c>
      <c r="W7" s="12">
        <f t="shared" si="2"/>
        <v>4</v>
      </c>
    </row>
    <row r="9" spans="3:26" s="14" customFormat="1" x14ac:dyDescent="0.25">
      <c r="C9" s="13" t="s">
        <v>23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3:26" x14ac:dyDescent="0.25">
      <c r="G10" s="19"/>
      <c r="H10" s="16">
        <v>5</v>
      </c>
      <c r="I10" s="5" t="s">
        <v>21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3:26" x14ac:dyDescent="0.25">
      <c r="C11" s="38" t="s">
        <v>45</v>
      </c>
    </row>
    <row r="12" spans="3:26" x14ac:dyDescent="0.25">
      <c r="C12" s="4"/>
      <c r="D12" s="1" t="str">
        <f ca="1">+"Admits post "&amp;YEAR(TODAY())-$H$10&amp;" - LAW"</f>
        <v>Admits post 2018 - LAW</v>
      </c>
      <c r="H12" s="20">
        <v>0.02</v>
      </c>
      <c r="I12" s="5" t="s">
        <v>18</v>
      </c>
      <c r="J12" s="32">
        <f>MROUND(14*1000*(1+2/3),1000)</f>
        <v>23000</v>
      </c>
      <c r="K12" s="22">
        <f t="shared" ref="K12:W12" si="3">+J12*IF(K$7=3,(1+$H$21),1)</f>
        <v>23000</v>
      </c>
      <c r="L12" s="22">
        <f t="shared" si="3"/>
        <v>23000</v>
      </c>
      <c r="M12" s="22">
        <f t="shared" si="3"/>
        <v>23000</v>
      </c>
      <c r="N12" s="22">
        <f t="shared" si="3"/>
        <v>23460</v>
      </c>
      <c r="O12" s="22">
        <f t="shared" si="3"/>
        <v>23460</v>
      </c>
      <c r="P12" s="22">
        <f t="shared" si="3"/>
        <v>23460</v>
      </c>
      <c r="Q12" s="22">
        <f t="shared" si="3"/>
        <v>23460</v>
      </c>
      <c r="R12" s="22">
        <f t="shared" si="3"/>
        <v>23929.200000000001</v>
      </c>
      <c r="S12" s="22">
        <f t="shared" si="3"/>
        <v>23929.200000000001</v>
      </c>
      <c r="T12" s="22">
        <f t="shared" si="3"/>
        <v>23929.200000000001</v>
      </c>
      <c r="U12" s="22">
        <f t="shared" si="3"/>
        <v>23929.200000000001</v>
      </c>
      <c r="V12" s="22">
        <f t="shared" si="3"/>
        <v>24407.784</v>
      </c>
      <c r="W12" s="22">
        <f t="shared" si="3"/>
        <v>24407.784</v>
      </c>
      <c r="Z12" s="15"/>
    </row>
    <row r="13" spans="3:26" x14ac:dyDescent="0.25">
      <c r="C13" s="4"/>
      <c r="D13" s="1" t="str">
        <f ca="1">+"Black &amp; Latinx Admits post "&amp;YEAR(TODAY())-$H$10&amp;" - LAW"</f>
        <v>Black &amp; Latinx Admits post 2018 - LAW</v>
      </c>
      <c r="H13" s="20">
        <v>0.1</v>
      </c>
      <c r="I13" s="5" t="s">
        <v>19</v>
      </c>
      <c r="J13" s="22">
        <f t="shared" ref="J13:W13" si="4">+$H$22*J12</f>
        <v>2300</v>
      </c>
      <c r="K13" s="22">
        <f t="shared" si="4"/>
        <v>2300</v>
      </c>
      <c r="L13" s="22">
        <f t="shared" si="4"/>
        <v>2300</v>
      </c>
      <c r="M13" s="22">
        <f t="shared" si="4"/>
        <v>2300</v>
      </c>
      <c r="N13" s="22">
        <f t="shared" si="4"/>
        <v>2346</v>
      </c>
      <c r="O13" s="22">
        <f t="shared" si="4"/>
        <v>2346</v>
      </c>
      <c r="P13" s="22">
        <f t="shared" si="4"/>
        <v>2346</v>
      </c>
      <c r="Q13" s="22">
        <f t="shared" si="4"/>
        <v>2346</v>
      </c>
      <c r="R13" s="22">
        <f t="shared" si="4"/>
        <v>2392.92</v>
      </c>
      <c r="S13" s="22">
        <f t="shared" si="4"/>
        <v>2392.92</v>
      </c>
      <c r="T13" s="22">
        <f t="shared" si="4"/>
        <v>2392.92</v>
      </c>
      <c r="U13" s="22">
        <f t="shared" si="4"/>
        <v>2392.92</v>
      </c>
      <c r="V13" s="22">
        <f t="shared" si="4"/>
        <v>2440.7784000000001</v>
      </c>
      <c r="W13" s="22">
        <f t="shared" si="4"/>
        <v>2440.7784000000001</v>
      </c>
      <c r="Z13" s="15"/>
    </row>
    <row r="14" spans="3:26" x14ac:dyDescent="0.25">
      <c r="C14" s="4"/>
      <c r="D14" s="1" t="s">
        <v>27</v>
      </c>
      <c r="H14" s="24">
        <v>2.5000000000000001E-2</v>
      </c>
      <c r="I14" s="5" t="s">
        <v>18</v>
      </c>
      <c r="J14" s="25">
        <v>0</v>
      </c>
      <c r="K14" s="25">
        <v>0</v>
      </c>
      <c r="L14" s="25">
        <v>0.02</v>
      </c>
      <c r="M14" s="26">
        <f t="shared" ref="M14:W14" si="5">+L14+$H$14/4</f>
        <v>2.6250000000000002E-2</v>
      </c>
      <c r="N14" s="26">
        <f t="shared" si="5"/>
        <v>3.2500000000000001E-2</v>
      </c>
      <c r="O14" s="26">
        <f t="shared" si="5"/>
        <v>3.875E-2</v>
      </c>
      <c r="P14" s="26">
        <f t="shared" si="5"/>
        <v>4.4999999999999998E-2</v>
      </c>
      <c r="Q14" s="26">
        <f t="shared" si="5"/>
        <v>5.1249999999999997E-2</v>
      </c>
      <c r="R14" s="26">
        <f t="shared" si="5"/>
        <v>5.7499999999999996E-2</v>
      </c>
      <c r="S14" s="26">
        <f t="shared" si="5"/>
        <v>6.3750000000000001E-2</v>
      </c>
      <c r="T14" s="26">
        <f t="shared" si="5"/>
        <v>7.0000000000000007E-2</v>
      </c>
      <c r="U14" s="26">
        <f t="shared" si="5"/>
        <v>7.6250000000000012E-2</v>
      </c>
      <c r="V14" s="26">
        <f t="shared" si="5"/>
        <v>8.2500000000000018E-2</v>
      </c>
      <c r="W14" s="26">
        <f t="shared" si="5"/>
        <v>8.8750000000000023E-2</v>
      </c>
    </row>
    <row r="15" spans="3:26" x14ac:dyDescent="0.25">
      <c r="C15" s="4"/>
      <c r="D15" s="1" t="s">
        <v>28</v>
      </c>
      <c r="J15" s="22">
        <f t="shared" ref="J15:W15" si="6">+J14*J13</f>
        <v>0</v>
      </c>
      <c r="K15" s="22">
        <f t="shared" si="6"/>
        <v>0</v>
      </c>
      <c r="L15" s="22">
        <f t="shared" si="6"/>
        <v>46</v>
      </c>
      <c r="M15" s="22">
        <f t="shared" si="6"/>
        <v>60.375000000000007</v>
      </c>
      <c r="N15" s="22">
        <f t="shared" si="6"/>
        <v>76.245000000000005</v>
      </c>
      <c r="O15" s="22">
        <f t="shared" si="6"/>
        <v>90.907499999999999</v>
      </c>
      <c r="P15" s="22">
        <f t="shared" si="6"/>
        <v>105.57</v>
      </c>
      <c r="Q15" s="22">
        <f t="shared" si="6"/>
        <v>120.23249999999999</v>
      </c>
      <c r="R15" s="22">
        <f t="shared" si="6"/>
        <v>137.59289999999999</v>
      </c>
      <c r="S15" s="22">
        <f t="shared" si="6"/>
        <v>152.54865000000001</v>
      </c>
      <c r="T15" s="22">
        <f t="shared" si="6"/>
        <v>167.50440000000003</v>
      </c>
      <c r="U15" s="22">
        <f t="shared" si="6"/>
        <v>182.46015000000003</v>
      </c>
      <c r="V15" s="22">
        <f t="shared" si="6"/>
        <v>201.36421800000005</v>
      </c>
      <c r="W15" s="22">
        <f t="shared" si="6"/>
        <v>216.61908300000007</v>
      </c>
    </row>
    <row r="16" spans="3:26" x14ac:dyDescent="0.25">
      <c r="C16" s="4"/>
      <c r="D16" s="1" t="s">
        <v>29</v>
      </c>
      <c r="J16" s="10">
        <f>+J15-H15</f>
        <v>0</v>
      </c>
      <c r="K16" s="10">
        <f t="shared" ref="K16:W16" si="7">+K15-J15</f>
        <v>0</v>
      </c>
      <c r="L16" s="10">
        <f t="shared" si="7"/>
        <v>46</v>
      </c>
      <c r="M16" s="10">
        <f t="shared" si="7"/>
        <v>14.375000000000007</v>
      </c>
      <c r="N16" s="10">
        <f t="shared" si="7"/>
        <v>15.869999999999997</v>
      </c>
      <c r="O16" s="10">
        <f t="shared" si="7"/>
        <v>14.662499999999994</v>
      </c>
      <c r="P16" s="10">
        <f t="shared" si="7"/>
        <v>14.662499999999994</v>
      </c>
      <c r="Q16" s="10">
        <f t="shared" si="7"/>
        <v>14.662499999999994</v>
      </c>
      <c r="R16" s="10">
        <f t="shared" si="7"/>
        <v>17.360399999999998</v>
      </c>
      <c r="S16" s="10">
        <f t="shared" si="7"/>
        <v>14.955750000000023</v>
      </c>
      <c r="T16" s="10">
        <f t="shared" si="7"/>
        <v>14.955750000000023</v>
      </c>
      <c r="U16" s="10">
        <f t="shared" si="7"/>
        <v>14.955749999999995</v>
      </c>
      <c r="V16" s="10">
        <f t="shared" si="7"/>
        <v>18.904068000000024</v>
      </c>
      <c r="W16" s="10">
        <f t="shared" si="7"/>
        <v>15.254865000000024</v>
      </c>
    </row>
    <row r="17" spans="3:26" x14ac:dyDescent="0.25">
      <c r="C17" s="4"/>
      <c r="D17" s="1" t="s">
        <v>30</v>
      </c>
      <c r="J17" s="30">
        <f t="shared" ref="J17:W17" si="8">-J$83</f>
        <v>0</v>
      </c>
      <c r="K17" s="30">
        <f t="shared" si="8"/>
        <v>0</v>
      </c>
      <c r="L17" s="30">
        <f t="shared" si="8"/>
        <v>0</v>
      </c>
      <c r="M17" s="30">
        <f t="shared" si="8"/>
        <v>0</v>
      </c>
      <c r="N17" s="30">
        <f t="shared" si="8"/>
        <v>0</v>
      </c>
      <c r="O17" s="30">
        <f t="shared" si="8"/>
        <v>0</v>
      </c>
      <c r="P17" s="30">
        <f t="shared" si="8"/>
        <v>0</v>
      </c>
      <c r="Q17" s="30">
        <f t="shared" si="8"/>
        <v>0</v>
      </c>
      <c r="R17" s="30">
        <f t="shared" si="8"/>
        <v>0</v>
      </c>
      <c r="S17" s="30">
        <f t="shared" si="8"/>
        <v>0</v>
      </c>
      <c r="T17" s="30">
        <f t="shared" si="8"/>
        <v>0</v>
      </c>
      <c r="U17" s="30">
        <f t="shared" si="8"/>
        <v>0</v>
      </c>
      <c r="V17" s="30">
        <f t="shared" si="8"/>
        <v>0</v>
      </c>
      <c r="W17" s="30">
        <f t="shared" si="8"/>
        <v>0</v>
      </c>
    </row>
    <row r="18" spans="3:26" x14ac:dyDescent="0.25">
      <c r="C18" s="4"/>
      <c r="D18" s="1" t="s">
        <v>49</v>
      </c>
      <c r="J18" s="43" t="str">
        <f>+IFERROR(J17/J16*1000,"na")</f>
        <v>na</v>
      </c>
      <c r="K18" s="39" t="str">
        <f t="shared" ref="K18:W18" si="9">+IFERROR(K17/K16*1000,"na")</f>
        <v>na</v>
      </c>
      <c r="L18" s="39">
        <f t="shared" si="9"/>
        <v>0</v>
      </c>
      <c r="M18" s="39">
        <f>+IFERROR(M17/M16*1000,"na")</f>
        <v>0</v>
      </c>
      <c r="N18" s="39">
        <f t="shared" si="9"/>
        <v>0</v>
      </c>
      <c r="O18" s="39">
        <f t="shared" si="9"/>
        <v>0</v>
      </c>
      <c r="P18" s="39">
        <f t="shared" si="9"/>
        <v>0</v>
      </c>
      <c r="Q18" s="39">
        <f t="shared" si="9"/>
        <v>0</v>
      </c>
      <c r="R18" s="39">
        <f t="shared" si="9"/>
        <v>0</v>
      </c>
      <c r="S18" s="39">
        <f t="shared" si="9"/>
        <v>0</v>
      </c>
      <c r="T18" s="39">
        <f t="shared" si="9"/>
        <v>0</v>
      </c>
      <c r="U18" s="39">
        <f t="shared" si="9"/>
        <v>0</v>
      </c>
      <c r="V18" s="39">
        <f t="shared" si="9"/>
        <v>0</v>
      </c>
      <c r="W18" s="39">
        <f t="shared" si="9"/>
        <v>0</v>
      </c>
    </row>
    <row r="19" spans="3:26" x14ac:dyDescent="0.25">
      <c r="C19" s="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3:26" s="66" customFormat="1" hidden="1" outlineLevel="1" x14ac:dyDescent="0.25">
      <c r="C20" s="65" t="s">
        <v>46</v>
      </c>
    </row>
    <row r="21" spans="3:26" s="66" customFormat="1" hidden="1" outlineLevel="1" x14ac:dyDescent="0.25">
      <c r="C21" s="67"/>
      <c r="D21" s="66" t="str">
        <f ca="1">+"Admits post "&amp;YEAR(TODAY())-$H$10&amp;" - COLLEGE"</f>
        <v>Admits post 2018 - COLLEGE</v>
      </c>
      <c r="H21" s="68">
        <v>0.02</v>
      </c>
      <c r="I21" s="69" t="s">
        <v>18</v>
      </c>
      <c r="J21" s="70">
        <f>MROUND((5321+4638+7152+7645+6536+7526+6132+9962+987+6883+8494+4556+7349+7111+4247+8034+15503+8148+8973+32143+32119+7365+7130+7598+28772+23282+20790+17299)*1.2,1000)</f>
        <v>374000</v>
      </c>
      <c r="K21" s="71">
        <f t="shared" ref="K21:W21" si="10">+J21*IF(K$7=3,(1+$H$21),1)</f>
        <v>374000</v>
      </c>
      <c r="L21" s="71">
        <f t="shared" si="10"/>
        <v>374000</v>
      </c>
      <c r="M21" s="71">
        <f t="shared" si="10"/>
        <v>374000</v>
      </c>
      <c r="N21" s="71">
        <f t="shared" si="10"/>
        <v>381480</v>
      </c>
      <c r="O21" s="71">
        <f t="shared" si="10"/>
        <v>381480</v>
      </c>
      <c r="P21" s="71">
        <f t="shared" si="10"/>
        <v>381480</v>
      </c>
      <c r="Q21" s="71">
        <f t="shared" si="10"/>
        <v>381480</v>
      </c>
      <c r="R21" s="71">
        <f t="shared" si="10"/>
        <v>389109.60000000003</v>
      </c>
      <c r="S21" s="71">
        <f t="shared" si="10"/>
        <v>389109.60000000003</v>
      </c>
      <c r="T21" s="71">
        <f t="shared" si="10"/>
        <v>389109.60000000003</v>
      </c>
      <c r="U21" s="71">
        <f t="shared" si="10"/>
        <v>389109.60000000003</v>
      </c>
      <c r="V21" s="71">
        <f t="shared" si="10"/>
        <v>396891.79200000002</v>
      </c>
      <c r="W21" s="71">
        <f t="shared" si="10"/>
        <v>396891.79200000002</v>
      </c>
      <c r="Z21" s="72"/>
    </row>
    <row r="22" spans="3:26" s="66" customFormat="1" hidden="1" outlineLevel="1" x14ac:dyDescent="0.25">
      <c r="C22" s="67"/>
      <c r="D22" s="66" t="str">
        <f ca="1">+"Black &amp; Latinx Admits post "&amp;YEAR(TODAY())-$H$10&amp;" - COLLEGE"</f>
        <v>Black &amp; Latinx Admits post 2018 - COLLEGE</v>
      </c>
      <c r="H22" s="68">
        <v>0.1</v>
      </c>
      <c r="I22" s="69" t="s">
        <v>19</v>
      </c>
      <c r="J22" s="71">
        <f t="shared" ref="J22:W22" si="11">+$H$22*J21</f>
        <v>37400</v>
      </c>
      <c r="K22" s="71">
        <f t="shared" si="11"/>
        <v>37400</v>
      </c>
      <c r="L22" s="71">
        <f t="shared" si="11"/>
        <v>37400</v>
      </c>
      <c r="M22" s="71">
        <f t="shared" si="11"/>
        <v>37400</v>
      </c>
      <c r="N22" s="71">
        <f t="shared" si="11"/>
        <v>38148</v>
      </c>
      <c r="O22" s="71">
        <f t="shared" si="11"/>
        <v>38148</v>
      </c>
      <c r="P22" s="71">
        <f t="shared" si="11"/>
        <v>38148</v>
      </c>
      <c r="Q22" s="71">
        <f t="shared" si="11"/>
        <v>38148</v>
      </c>
      <c r="R22" s="71">
        <f t="shared" si="11"/>
        <v>38910.960000000006</v>
      </c>
      <c r="S22" s="71">
        <f t="shared" si="11"/>
        <v>38910.960000000006</v>
      </c>
      <c r="T22" s="71">
        <f t="shared" si="11"/>
        <v>38910.960000000006</v>
      </c>
      <c r="U22" s="71">
        <f t="shared" si="11"/>
        <v>38910.960000000006</v>
      </c>
      <c r="V22" s="71">
        <f t="shared" si="11"/>
        <v>39689.179200000006</v>
      </c>
      <c r="W22" s="71">
        <f t="shared" si="11"/>
        <v>39689.179200000006</v>
      </c>
      <c r="Z22" s="72"/>
    </row>
    <row r="23" spans="3:26" s="66" customFormat="1" hidden="1" outlineLevel="1" x14ac:dyDescent="0.25">
      <c r="C23" s="67"/>
      <c r="D23" s="66" t="s">
        <v>31</v>
      </c>
      <c r="H23" s="73">
        <v>0.01</v>
      </c>
      <c r="I23" s="69" t="s">
        <v>18</v>
      </c>
      <c r="J23" s="74">
        <v>0</v>
      </c>
      <c r="K23" s="74">
        <v>0</v>
      </c>
      <c r="L23" s="74">
        <v>0</v>
      </c>
      <c r="M23" s="74">
        <v>0</v>
      </c>
      <c r="N23" s="74">
        <v>5.0000000000000001E-3</v>
      </c>
      <c r="O23" s="75">
        <f t="shared" ref="O23:W23" si="12">+N23+$H$23/4</f>
        <v>7.4999999999999997E-3</v>
      </c>
      <c r="P23" s="75">
        <f t="shared" si="12"/>
        <v>0.01</v>
      </c>
      <c r="Q23" s="75">
        <f t="shared" si="12"/>
        <v>1.2500000000000001E-2</v>
      </c>
      <c r="R23" s="75">
        <f t="shared" si="12"/>
        <v>1.5000000000000001E-2</v>
      </c>
      <c r="S23" s="75">
        <f t="shared" si="12"/>
        <v>1.7500000000000002E-2</v>
      </c>
      <c r="T23" s="75">
        <f t="shared" si="12"/>
        <v>0.02</v>
      </c>
      <c r="U23" s="75">
        <f t="shared" si="12"/>
        <v>2.2499999999999999E-2</v>
      </c>
      <c r="V23" s="75">
        <f t="shared" si="12"/>
        <v>2.4999999999999998E-2</v>
      </c>
      <c r="W23" s="75">
        <f t="shared" si="12"/>
        <v>2.7499999999999997E-2</v>
      </c>
    </row>
    <row r="24" spans="3:26" s="66" customFormat="1" hidden="1" outlineLevel="1" x14ac:dyDescent="0.25">
      <c r="C24" s="67"/>
      <c r="D24" s="66" t="s">
        <v>32</v>
      </c>
      <c r="J24" s="71">
        <f t="shared" ref="J24:W24" si="13">+J23*J22</f>
        <v>0</v>
      </c>
      <c r="K24" s="71">
        <f t="shared" si="13"/>
        <v>0</v>
      </c>
      <c r="L24" s="71">
        <f t="shared" si="13"/>
        <v>0</v>
      </c>
      <c r="M24" s="71">
        <f t="shared" si="13"/>
        <v>0</v>
      </c>
      <c r="N24" s="71">
        <f t="shared" si="13"/>
        <v>190.74</v>
      </c>
      <c r="O24" s="71">
        <f t="shared" si="13"/>
        <v>286.11</v>
      </c>
      <c r="P24" s="71">
        <f t="shared" si="13"/>
        <v>381.48</v>
      </c>
      <c r="Q24" s="71">
        <f t="shared" si="13"/>
        <v>476.85</v>
      </c>
      <c r="R24" s="71">
        <f t="shared" si="13"/>
        <v>583.66440000000011</v>
      </c>
      <c r="S24" s="71">
        <f t="shared" si="13"/>
        <v>680.94180000000017</v>
      </c>
      <c r="T24" s="71">
        <f t="shared" si="13"/>
        <v>778.21920000000011</v>
      </c>
      <c r="U24" s="71">
        <f t="shared" si="13"/>
        <v>875.49660000000006</v>
      </c>
      <c r="V24" s="71">
        <f t="shared" si="13"/>
        <v>992.22948000000008</v>
      </c>
      <c r="W24" s="71">
        <f t="shared" si="13"/>
        <v>1091.4524280000001</v>
      </c>
    </row>
    <row r="25" spans="3:26" s="66" customFormat="1" hidden="1" outlineLevel="1" x14ac:dyDescent="0.25">
      <c r="C25" s="67"/>
      <c r="D25" s="66" t="s">
        <v>33</v>
      </c>
      <c r="J25" s="76">
        <f>+J24-H24</f>
        <v>0</v>
      </c>
      <c r="K25" s="76">
        <f t="shared" ref="K25:W25" si="14">+K24-J24</f>
        <v>0</v>
      </c>
      <c r="L25" s="76">
        <f t="shared" si="14"/>
        <v>0</v>
      </c>
      <c r="M25" s="76">
        <f t="shared" si="14"/>
        <v>0</v>
      </c>
      <c r="N25" s="76">
        <f t="shared" si="14"/>
        <v>190.74</v>
      </c>
      <c r="O25" s="76">
        <f t="shared" si="14"/>
        <v>95.37</v>
      </c>
      <c r="P25" s="76">
        <f t="shared" si="14"/>
        <v>95.37</v>
      </c>
      <c r="Q25" s="76">
        <f t="shared" si="14"/>
        <v>95.37</v>
      </c>
      <c r="R25" s="76">
        <f t="shared" si="14"/>
        <v>106.81440000000009</v>
      </c>
      <c r="S25" s="76">
        <f t="shared" si="14"/>
        <v>97.277400000000057</v>
      </c>
      <c r="T25" s="76">
        <f t="shared" si="14"/>
        <v>97.277399999999943</v>
      </c>
      <c r="U25" s="76">
        <f t="shared" si="14"/>
        <v>97.277399999999943</v>
      </c>
      <c r="V25" s="76">
        <f t="shared" si="14"/>
        <v>116.73288000000002</v>
      </c>
      <c r="W25" s="76">
        <f t="shared" si="14"/>
        <v>99.222947999999974</v>
      </c>
    </row>
    <row r="26" spans="3:26" s="66" customFormat="1" hidden="1" outlineLevel="1" x14ac:dyDescent="0.25">
      <c r="C26" s="67"/>
      <c r="D26" s="66" t="s">
        <v>34</v>
      </c>
      <c r="J26" s="77">
        <f t="shared" ref="J26:W26" si="15">-J$85</f>
        <v>0</v>
      </c>
      <c r="K26" s="77">
        <f t="shared" si="15"/>
        <v>0</v>
      </c>
      <c r="L26" s="77">
        <f t="shared" si="15"/>
        <v>0</v>
      </c>
      <c r="M26" s="77">
        <f t="shared" si="15"/>
        <v>0</v>
      </c>
      <c r="N26" s="77">
        <f t="shared" si="15"/>
        <v>9.8679339000000006</v>
      </c>
      <c r="O26" s="77">
        <f t="shared" si="15"/>
        <v>2.4669834750000001</v>
      </c>
      <c r="P26" s="77">
        <f t="shared" si="15"/>
        <v>6.5786226000000001</v>
      </c>
      <c r="Q26" s="77">
        <f t="shared" si="15"/>
        <v>16.4465565</v>
      </c>
      <c r="R26" s="77">
        <f t="shared" si="15"/>
        <v>30.195877734000007</v>
      </c>
      <c r="S26" s="77">
        <f t="shared" si="15"/>
        <v>5.8714206705000018</v>
      </c>
      <c r="T26" s="77">
        <f t="shared" si="15"/>
        <v>13.420390104000001</v>
      </c>
      <c r="U26" s="77">
        <f t="shared" si="15"/>
        <v>30.195877734</v>
      </c>
      <c r="V26" s="77">
        <f t="shared" si="15"/>
        <v>51.332992147800013</v>
      </c>
      <c r="W26" s="77">
        <f t="shared" si="15"/>
        <v>51.332992147800013</v>
      </c>
    </row>
    <row r="27" spans="3:26" s="66" customFormat="1" hidden="1" outlineLevel="1" x14ac:dyDescent="0.25">
      <c r="C27" s="67"/>
      <c r="D27" s="66" t="s">
        <v>50</v>
      </c>
      <c r="H27" s="78">
        <v>75</v>
      </c>
      <c r="I27" s="69" t="s">
        <v>24</v>
      </c>
      <c r="J27" s="79" t="str">
        <f t="shared" ref="J27:W27" si="16">+IFERROR(J26/J25*1000,"na")</f>
        <v>na</v>
      </c>
      <c r="K27" s="80" t="str">
        <f t="shared" si="16"/>
        <v>na</v>
      </c>
      <c r="L27" s="80" t="str">
        <f t="shared" si="16"/>
        <v>na</v>
      </c>
      <c r="M27" s="80" t="str">
        <f t="shared" si="16"/>
        <v>na</v>
      </c>
      <c r="N27" s="80">
        <f t="shared" si="16"/>
        <v>51.735000000000007</v>
      </c>
      <c r="O27" s="80">
        <f t="shared" si="16"/>
        <v>25.867500000000003</v>
      </c>
      <c r="P27" s="80">
        <f t="shared" si="16"/>
        <v>68.98</v>
      </c>
      <c r="Q27" s="80">
        <f t="shared" si="16"/>
        <v>172.45</v>
      </c>
      <c r="R27" s="80">
        <f t="shared" si="16"/>
        <v>282.69482142857129</v>
      </c>
      <c r="S27" s="80">
        <f t="shared" si="16"/>
        <v>60.35749999999998</v>
      </c>
      <c r="T27" s="80">
        <f t="shared" si="16"/>
        <v>137.96000000000009</v>
      </c>
      <c r="U27" s="80">
        <f t="shared" si="16"/>
        <v>310.4100000000002</v>
      </c>
      <c r="V27" s="80">
        <f t="shared" si="16"/>
        <v>439.7475</v>
      </c>
      <c r="W27" s="80">
        <f t="shared" si="16"/>
        <v>517.35000000000036</v>
      </c>
    </row>
    <row r="28" spans="3:26" s="66" customFormat="1" hidden="1" outlineLevel="1" x14ac:dyDescent="0.25">
      <c r="C28" s="67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</row>
    <row r="29" spans="3:26" collapsed="1" x14ac:dyDescent="0.25">
      <c r="C29" s="38" t="s">
        <v>47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3:26" x14ac:dyDescent="0.25">
      <c r="C30" s="4"/>
      <c r="D30" s="1" t="s">
        <v>35</v>
      </c>
      <c r="J30" s="10">
        <f t="shared" ref="J30:W30" si="17">+SUM(J92:J93)</f>
        <v>0</v>
      </c>
      <c r="K30" s="10">
        <f t="shared" si="17"/>
        <v>1</v>
      </c>
      <c r="L30" s="10">
        <f t="shared" si="17"/>
        <v>1</v>
      </c>
      <c r="M30" s="10">
        <f t="shared" si="17"/>
        <v>1</v>
      </c>
      <c r="N30" s="10">
        <f t="shared" si="17"/>
        <v>1</v>
      </c>
      <c r="O30" s="10">
        <f t="shared" si="17"/>
        <v>1</v>
      </c>
      <c r="P30" s="10">
        <f t="shared" si="17"/>
        <v>1</v>
      </c>
      <c r="Q30" s="10">
        <f t="shared" si="17"/>
        <v>1</v>
      </c>
      <c r="R30" s="10">
        <f t="shared" si="17"/>
        <v>1</v>
      </c>
      <c r="S30" s="10">
        <f t="shared" si="17"/>
        <v>1</v>
      </c>
      <c r="T30" s="10">
        <f t="shared" si="17"/>
        <v>1</v>
      </c>
      <c r="U30" s="10">
        <f t="shared" si="17"/>
        <v>1</v>
      </c>
      <c r="V30" s="10">
        <f t="shared" si="17"/>
        <v>1</v>
      </c>
      <c r="W30" s="10">
        <f t="shared" si="17"/>
        <v>1</v>
      </c>
    </row>
    <row r="31" spans="3:26" x14ac:dyDescent="0.25">
      <c r="C31" s="4"/>
      <c r="D31" s="1" t="s">
        <v>119</v>
      </c>
      <c r="I31" s="5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3:26" x14ac:dyDescent="0.25">
      <c r="C32" s="4"/>
      <c r="D32" s="1" t="s">
        <v>14</v>
      </c>
      <c r="J32" s="35">
        <f t="shared" ref="J32:W32" si="18">+CHOOSE(J$7,$Z$33,$Z$34,$Z$35,$Z$36)</f>
        <v>0.75</v>
      </c>
      <c r="K32" s="35">
        <f t="shared" si="18"/>
        <v>1</v>
      </c>
      <c r="L32" s="35">
        <f t="shared" si="18"/>
        <v>0.25</v>
      </c>
      <c r="M32" s="35">
        <f t="shared" si="18"/>
        <v>0.5</v>
      </c>
      <c r="N32" s="35">
        <f t="shared" si="18"/>
        <v>0.75</v>
      </c>
      <c r="O32" s="35">
        <f t="shared" si="18"/>
        <v>1</v>
      </c>
      <c r="P32" s="35">
        <f t="shared" si="18"/>
        <v>0.25</v>
      </c>
      <c r="Q32" s="35">
        <f t="shared" si="18"/>
        <v>0.5</v>
      </c>
      <c r="R32" s="35">
        <f t="shared" si="18"/>
        <v>0.75</v>
      </c>
      <c r="S32" s="35">
        <f t="shared" si="18"/>
        <v>1</v>
      </c>
      <c r="T32" s="35">
        <f t="shared" si="18"/>
        <v>0.25</v>
      </c>
      <c r="U32" s="35">
        <f t="shared" si="18"/>
        <v>0.5</v>
      </c>
      <c r="V32" s="35">
        <f t="shared" si="18"/>
        <v>0.75</v>
      </c>
      <c r="W32" s="35">
        <f t="shared" si="18"/>
        <v>1</v>
      </c>
      <c r="Z32" s="1" t="s">
        <v>14</v>
      </c>
    </row>
    <row r="33" spans="3:26" x14ac:dyDescent="0.25">
      <c r="C33" s="4"/>
      <c r="D33" s="1" t="s">
        <v>36</v>
      </c>
      <c r="J33" s="36">
        <v>0</v>
      </c>
      <c r="K33" s="36">
        <v>0</v>
      </c>
      <c r="L33" s="36">
        <v>1533.3333333333335</v>
      </c>
      <c r="M33" s="36">
        <v>4025.0000000000005</v>
      </c>
      <c r="N33" s="36">
        <v>7624.5000000000009</v>
      </c>
      <c r="O33" s="36">
        <v>1515.125</v>
      </c>
      <c r="P33" s="36">
        <v>3519</v>
      </c>
      <c r="Q33" s="36">
        <v>8015.4999999999991</v>
      </c>
      <c r="R33" s="36">
        <v>13759.289999999999</v>
      </c>
      <c r="S33" s="36">
        <v>2542.4775000000004</v>
      </c>
      <c r="T33" s="36">
        <v>5583.4800000000014</v>
      </c>
      <c r="U33" s="36">
        <v>12164.010000000002</v>
      </c>
      <c r="V33" s="36">
        <v>20136.421800000007</v>
      </c>
      <c r="W33" s="36">
        <v>20136.421800000007</v>
      </c>
      <c r="Z33" s="34">
        <v>0.25</v>
      </c>
    </row>
    <row r="34" spans="3:26" x14ac:dyDescent="0.25">
      <c r="C34" s="4"/>
      <c r="D34" s="1" t="s">
        <v>37</v>
      </c>
      <c r="H34" s="24">
        <v>0.03</v>
      </c>
      <c r="I34" s="5" t="s">
        <v>20</v>
      </c>
      <c r="J34" s="26">
        <f>+H34</f>
        <v>0.03</v>
      </c>
      <c r="K34" s="26">
        <f t="shared" ref="K34:V34" si="19">+J34</f>
        <v>0.03</v>
      </c>
      <c r="L34" s="26">
        <f t="shared" si="19"/>
        <v>0.03</v>
      </c>
      <c r="M34" s="26">
        <f t="shared" si="19"/>
        <v>0.03</v>
      </c>
      <c r="N34" s="26">
        <f t="shared" si="19"/>
        <v>0.03</v>
      </c>
      <c r="O34" s="26">
        <f t="shared" si="19"/>
        <v>0.03</v>
      </c>
      <c r="P34" s="26">
        <f t="shared" si="19"/>
        <v>0.03</v>
      </c>
      <c r="Q34" s="26">
        <f t="shared" si="19"/>
        <v>0.03</v>
      </c>
      <c r="R34" s="26">
        <f t="shared" si="19"/>
        <v>0.03</v>
      </c>
      <c r="S34" s="26">
        <f t="shared" si="19"/>
        <v>0.03</v>
      </c>
      <c r="T34" s="26">
        <f t="shared" si="19"/>
        <v>0.03</v>
      </c>
      <c r="U34" s="26">
        <f t="shared" si="19"/>
        <v>0.03</v>
      </c>
      <c r="V34" s="26">
        <f t="shared" si="19"/>
        <v>0.03</v>
      </c>
      <c r="W34" s="26">
        <f>+V34</f>
        <v>0.03</v>
      </c>
      <c r="Z34" s="34">
        <v>0.5</v>
      </c>
    </row>
    <row r="35" spans="3:26" x14ac:dyDescent="0.25">
      <c r="C35" s="4"/>
      <c r="D35" s="1" t="s">
        <v>38</v>
      </c>
      <c r="J35" s="10">
        <f>+J33*J34</f>
        <v>0</v>
      </c>
      <c r="K35" s="10">
        <f t="shared" ref="K35:W35" si="20">+K33*K34</f>
        <v>0</v>
      </c>
      <c r="L35" s="10">
        <f t="shared" si="20"/>
        <v>46</v>
      </c>
      <c r="M35" s="10">
        <f t="shared" si="20"/>
        <v>120.75000000000001</v>
      </c>
      <c r="N35" s="10">
        <f t="shared" si="20"/>
        <v>228.73500000000001</v>
      </c>
      <c r="O35" s="10">
        <f t="shared" si="20"/>
        <v>45.453749999999999</v>
      </c>
      <c r="P35" s="10">
        <f t="shared" si="20"/>
        <v>105.57</v>
      </c>
      <c r="Q35" s="10">
        <f t="shared" si="20"/>
        <v>240.46499999999997</v>
      </c>
      <c r="R35" s="10">
        <f t="shared" si="20"/>
        <v>412.77869999999996</v>
      </c>
      <c r="S35" s="10">
        <f t="shared" si="20"/>
        <v>76.274325000000005</v>
      </c>
      <c r="T35" s="10">
        <f t="shared" si="20"/>
        <v>167.50440000000003</v>
      </c>
      <c r="U35" s="10">
        <f t="shared" si="20"/>
        <v>364.92030000000005</v>
      </c>
      <c r="V35" s="10">
        <f t="shared" si="20"/>
        <v>604.09265400000015</v>
      </c>
      <c r="W35" s="10">
        <f t="shared" si="20"/>
        <v>604.09265400000015</v>
      </c>
      <c r="Z35" s="34">
        <v>0.75</v>
      </c>
    </row>
    <row r="36" spans="3:26" x14ac:dyDescent="0.25">
      <c r="C36" s="4"/>
      <c r="D36" s="1" t="s">
        <v>39</v>
      </c>
      <c r="J36" s="42" t="str">
        <f>+IFERROR(J35/J15,"na")</f>
        <v>na</v>
      </c>
      <c r="K36" s="42" t="str">
        <f t="shared" ref="K36:W36" si="21">+IFERROR(K35/K15,"na")</f>
        <v>na</v>
      </c>
      <c r="L36" s="42">
        <f t="shared" si="21"/>
        <v>1</v>
      </c>
      <c r="M36" s="42">
        <f t="shared" si="21"/>
        <v>2</v>
      </c>
      <c r="N36" s="42">
        <f t="shared" si="21"/>
        <v>3</v>
      </c>
      <c r="O36" s="42">
        <f t="shared" si="21"/>
        <v>0.5</v>
      </c>
      <c r="P36" s="42">
        <f t="shared" si="21"/>
        <v>1</v>
      </c>
      <c r="Q36" s="42">
        <f t="shared" si="21"/>
        <v>2</v>
      </c>
      <c r="R36" s="42">
        <f t="shared" si="21"/>
        <v>3</v>
      </c>
      <c r="S36" s="42">
        <f t="shared" si="21"/>
        <v>0.5</v>
      </c>
      <c r="T36" s="42">
        <f t="shared" si="21"/>
        <v>1</v>
      </c>
      <c r="U36" s="42">
        <f t="shared" si="21"/>
        <v>2</v>
      </c>
      <c r="V36" s="42">
        <f t="shared" si="21"/>
        <v>3</v>
      </c>
      <c r="W36" s="42">
        <f t="shared" si="21"/>
        <v>2.788732394366197</v>
      </c>
      <c r="Z36" s="34">
        <v>1</v>
      </c>
    </row>
    <row r="37" spans="3:26" x14ac:dyDescent="0.25">
      <c r="C37" s="4"/>
      <c r="D37" s="1" t="s">
        <v>92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3:26" x14ac:dyDescent="0.25">
      <c r="C38" s="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Z38" s="15"/>
    </row>
    <row r="39" spans="3:26" s="66" customFormat="1" hidden="1" outlineLevel="1" x14ac:dyDescent="0.25">
      <c r="C39" s="65" t="s">
        <v>48</v>
      </c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</row>
    <row r="40" spans="3:26" s="66" customFormat="1" hidden="1" outlineLevel="1" x14ac:dyDescent="0.25">
      <c r="D40" s="66" t="s">
        <v>40</v>
      </c>
      <c r="J40" s="76">
        <f t="shared" ref="J40:W40" si="22">+SUM(J98:J101)</f>
        <v>0</v>
      </c>
      <c r="K40" s="76">
        <f t="shared" si="22"/>
        <v>0</v>
      </c>
      <c r="L40" s="76">
        <f t="shared" si="22"/>
        <v>0</v>
      </c>
      <c r="M40" s="76">
        <f t="shared" si="22"/>
        <v>0</v>
      </c>
      <c r="N40" s="76">
        <f t="shared" si="22"/>
        <v>0</v>
      </c>
      <c r="O40" s="76">
        <f t="shared" si="22"/>
        <v>0</v>
      </c>
      <c r="P40" s="76">
        <f t="shared" si="22"/>
        <v>0</v>
      </c>
      <c r="Q40" s="76">
        <f t="shared" si="22"/>
        <v>0</v>
      </c>
      <c r="R40" s="76">
        <f t="shared" si="22"/>
        <v>0</v>
      </c>
      <c r="S40" s="76">
        <f t="shared" si="22"/>
        <v>0</v>
      </c>
      <c r="T40" s="76">
        <f t="shared" si="22"/>
        <v>0</v>
      </c>
      <c r="U40" s="76">
        <f t="shared" si="22"/>
        <v>0</v>
      </c>
      <c r="V40" s="76">
        <f t="shared" si="22"/>
        <v>0</v>
      </c>
      <c r="W40" s="76">
        <f t="shared" si="22"/>
        <v>0</v>
      </c>
    </row>
    <row r="41" spans="3:26" s="66" customFormat="1" hidden="1" outlineLevel="1" x14ac:dyDescent="0.25">
      <c r="D41" s="66" t="s">
        <v>120</v>
      </c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</row>
    <row r="42" spans="3:26" s="66" customFormat="1" hidden="1" outlineLevel="1" x14ac:dyDescent="0.25">
      <c r="D42" s="66" t="s">
        <v>14</v>
      </c>
      <c r="J42" s="81">
        <f t="shared" ref="J42:W42" si="23">+CHOOSE(J$7,$Z$33,$Z$34,$Z$35,$Z$36)</f>
        <v>0.75</v>
      </c>
      <c r="K42" s="81">
        <f t="shared" si="23"/>
        <v>1</v>
      </c>
      <c r="L42" s="81">
        <f t="shared" si="23"/>
        <v>0.25</v>
      </c>
      <c r="M42" s="81">
        <f t="shared" si="23"/>
        <v>0.5</v>
      </c>
      <c r="N42" s="81">
        <f t="shared" si="23"/>
        <v>0.75</v>
      </c>
      <c r="O42" s="81">
        <f t="shared" si="23"/>
        <v>1</v>
      </c>
      <c r="P42" s="81">
        <f t="shared" si="23"/>
        <v>0.25</v>
      </c>
      <c r="Q42" s="81">
        <f t="shared" si="23"/>
        <v>0.5</v>
      </c>
      <c r="R42" s="81">
        <f t="shared" si="23"/>
        <v>0.75</v>
      </c>
      <c r="S42" s="81">
        <f t="shared" si="23"/>
        <v>1</v>
      </c>
      <c r="T42" s="81">
        <f t="shared" si="23"/>
        <v>0.25</v>
      </c>
      <c r="U42" s="81">
        <f t="shared" si="23"/>
        <v>0.5</v>
      </c>
      <c r="V42" s="81">
        <f t="shared" si="23"/>
        <v>0.75</v>
      </c>
      <c r="W42" s="81">
        <f t="shared" si="23"/>
        <v>1</v>
      </c>
    </row>
    <row r="43" spans="3:26" s="66" customFormat="1" hidden="1" outlineLevel="1" x14ac:dyDescent="0.25">
      <c r="D43" s="66" t="s">
        <v>41</v>
      </c>
      <c r="J43" s="76">
        <v>0</v>
      </c>
      <c r="K43" s="76">
        <v>0</v>
      </c>
      <c r="L43" s="76">
        <v>0</v>
      </c>
      <c r="M43" s="76">
        <v>0</v>
      </c>
      <c r="N43" s="76">
        <v>19074</v>
      </c>
      <c r="O43" s="76">
        <v>4768.5</v>
      </c>
      <c r="P43" s="76">
        <v>12716.000000000002</v>
      </c>
      <c r="Q43" s="76">
        <v>31790.000000000004</v>
      </c>
      <c r="R43" s="76">
        <v>58366.440000000017</v>
      </c>
      <c r="S43" s="76">
        <v>11349.030000000002</v>
      </c>
      <c r="T43" s="76">
        <v>25940.640000000003</v>
      </c>
      <c r="U43" s="76">
        <v>58366.44000000001</v>
      </c>
      <c r="V43" s="76">
        <v>99222.948000000019</v>
      </c>
      <c r="W43" s="76">
        <v>99222.948000000019</v>
      </c>
    </row>
    <row r="44" spans="3:26" s="66" customFormat="1" hidden="1" outlineLevel="1" x14ac:dyDescent="0.25">
      <c r="D44" s="66" t="s">
        <v>42</v>
      </c>
      <c r="H44" s="73">
        <v>0.03</v>
      </c>
      <c r="I44" s="69" t="s">
        <v>20</v>
      </c>
      <c r="J44" s="75">
        <f>+H44</f>
        <v>0.03</v>
      </c>
      <c r="K44" s="75">
        <f t="shared" ref="K44:V44" si="24">+J44</f>
        <v>0.03</v>
      </c>
      <c r="L44" s="75">
        <f t="shared" si="24"/>
        <v>0.03</v>
      </c>
      <c r="M44" s="75">
        <f t="shared" si="24"/>
        <v>0.03</v>
      </c>
      <c r="N44" s="75">
        <f t="shared" si="24"/>
        <v>0.03</v>
      </c>
      <c r="O44" s="75">
        <f t="shared" si="24"/>
        <v>0.03</v>
      </c>
      <c r="P44" s="75">
        <f t="shared" si="24"/>
        <v>0.03</v>
      </c>
      <c r="Q44" s="75">
        <f t="shared" si="24"/>
        <v>0.03</v>
      </c>
      <c r="R44" s="75">
        <f t="shared" si="24"/>
        <v>0.03</v>
      </c>
      <c r="S44" s="75">
        <f t="shared" si="24"/>
        <v>0.03</v>
      </c>
      <c r="T44" s="75">
        <f t="shared" si="24"/>
        <v>0.03</v>
      </c>
      <c r="U44" s="75">
        <f t="shared" si="24"/>
        <v>0.03</v>
      </c>
      <c r="V44" s="75">
        <f t="shared" si="24"/>
        <v>0.03</v>
      </c>
      <c r="W44" s="75">
        <f>+V44</f>
        <v>0.03</v>
      </c>
    </row>
    <row r="45" spans="3:26" s="66" customFormat="1" hidden="1" outlineLevel="1" x14ac:dyDescent="0.25">
      <c r="D45" s="66" t="s">
        <v>43</v>
      </c>
      <c r="J45" s="76">
        <f t="shared" ref="J45:W45" si="25">+J43*J44</f>
        <v>0</v>
      </c>
      <c r="K45" s="76">
        <f t="shared" si="25"/>
        <v>0</v>
      </c>
      <c r="L45" s="76">
        <f t="shared" si="25"/>
        <v>0</v>
      </c>
      <c r="M45" s="76">
        <f t="shared" si="25"/>
        <v>0</v>
      </c>
      <c r="N45" s="76">
        <f t="shared" si="25"/>
        <v>572.22</v>
      </c>
      <c r="O45" s="76">
        <f t="shared" si="25"/>
        <v>143.05500000000001</v>
      </c>
      <c r="P45" s="76">
        <f t="shared" si="25"/>
        <v>381.48</v>
      </c>
      <c r="Q45" s="76">
        <f t="shared" si="25"/>
        <v>953.7</v>
      </c>
      <c r="R45" s="76">
        <f t="shared" si="25"/>
        <v>1750.9932000000003</v>
      </c>
      <c r="S45" s="76">
        <f t="shared" si="25"/>
        <v>340.47090000000009</v>
      </c>
      <c r="T45" s="76">
        <f t="shared" si="25"/>
        <v>778.21920000000011</v>
      </c>
      <c r="U45" s="76">
        <f t="shared" si="25"/>
        <v>1750.9932000000001</v>
      </c>
      <c r="V45" s="76">
        <f t="shared" si="25"/>
        <v>2976.6884400000004</v>
      </c>
      <c r="W45" s="76">
        <f t="shared" si="25"/>
        <v>2976.6884400000004</v>
      </c>
    </row>
    <row r="46" spans="3:26" s="66" customFormat="1" hidden="1" outlineLevel="1" x14ac:dyDescent="0.25">
      <c r="D46" s="66" t="s">
        <v>44</v>
      </c>
      <c r="J46" s="82" t="str">
        <f>+IFERROR(J45/J24,"na")</f>
        <v>na</v>
      </c>
      <c r="K46" s="82" t="str">
        <f t="shared" ref="K46:W46" si="26">+IFERROR(K45/K24,"na")</f>
        <v>na</v>
      </c>
      <c r="L46" s="82" t="str">
        <f t="shared" si="26"/>
        <v>na</v>
      </c>
      <c r="M46" s="82" t="str">
        <f t="shared" si="26"/>
        <v>na</v>
      </c>
      <c r="N46" s="82">
        <f t="shared" si="26"/>
        <v>3</v>
      </c>
      <c r="O46" s="82">
        <f t="shared" si="26"/>
        <v>0.5</v>
      </c>
      <c r="P46" s="82">
        <f t="shared" si="26"/>
        <v>1</v>
      </c>
      <c r="Q46" s="82">
        <f t="shared" si="26"/>
        <v>2</v>
      </c>
      <c r="R46" s="82">
        <f t="shared" si="26"/>
        <v>3</v>
      </c>
      <c r="S46" s="82">
        <f t="shared" si="26"/>
        <v>0.5</v>
      </c>
      <c r="T46" s="82">
        <f t="shared" si="26"/>
        <v>1</v>
      </c>
      <c r="U46" s="82">
        <f t="shared" si="26"/>
        <v>2</v>
      </c>
      <c r="V46" s="82">
        <f t="shared" si="26"/>
        <v>3</v>
      </c>
      <c r="W46" s="82">
        <f t="shared" si="26"/>
        <v>2.7272727272727275</v>
      </c>
    </row>
    <row r="47" spans="3:26" s="66" customFormat="1" hidden="1" outlineLevel="1" x14ac:dyDescent="0.25">
      <c r="C47" s="67"/>
      <c r="D47" s="66" t="s">
        <v>93</v>
      </c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</row>
    <row r="48" spans="3:26" s="66" customFormat="1" hidden="1" outlineLevel="1" x14ac:dyDescent="0.25"/>
    <row r="49" spans="3:23" s="14" customFormat="1" collapsed="1" x14ac:dyDescent="0.25">
      <c r="C49" s="13" t="s">
        <v>98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3:23" x14ac:dyDescent="0.25">
      <c r="C50" s="1" t="s">
        <v>1</v>
      </c>
      <c r="J50" s="6">
        <f>+J$5</f>
        <v>45199</v>
      </c>
      <c r="K50" s="6">
        <f t="shared" ref="K50:W50" si="27">+K$5</f>
        <v>45291</v>
      </c>
      <c r="L50" s="6">
        <f t="shared" si="27"/>
        <v>45382</v>
      </c>
      <c r="M50" s="6">
        <f t="shared" si="27"/>
        <v>45473</v>
      </c>
      <c r="N50" s="6">
        <f t="shared" si="27"/>
        <v>45565</v>
      </c>
      <c r="O50" s="6">
        <f t="shared" si="27"/>
        <v>45657</v>
      </c>
      <c r="P50" s="6">
        <f t="shared" si="27"/>
        <v>45747</v>
      </c>
      <c r="Q50" s="6">
        <f t="shared" si="27"/>
        <v>45838</v>
      </c>
      <c r="R50" s="6">
        <f t="shared" si="27"/>
        <v>45930</v>
      </c>
      <c r="S50" s="6">
        <f t="shared" si="27"/>
        <v>46022</v>
      </c>
      <c r="T50" s="6">
        <f t="shared" si="27"/>
        <v>46112</v>
      </c>
      <c r="U50" s="6">
        <f t="shared" si="27"/>
        <v>46203</v>
      </c>
      <c r="V50" s="6">
        <f t="shared" si="27"/>
        <v>46295</v>
      </c>
      <c r="W50" s="6">
        <f t="shared" si="27"/>
        <v>46387</v>
      </c>
    </row>
    <row r="51" spans="3:23" x14ac:dyDescent="0.25">
      <c r="C51" s="1" t="s">
        <v>2</v>
      </c>
      <c r="J51" s="10">
        <f>+J$6</f>
        <v>0</v>
      </c>
      <c r="K51" s="10">
        <f t="shared" ref="K51:W51" si="28">+K$6</f>
        <v>1</v>
      </c>
      <c r="L51" s="10">
        <f t="shared" si="28"/>
        <v>2</v>
      </c>
      <c r="M51" s="10">
        <f t="shared" si="28"/>
        <v>3</v>
      </c>
      <c r="N51" s="10">
        <f t="shared" si="28"/>
        <v>4</v>
      </c>
      <c r="O51" s="10">
        <f t="shared" si="28"/>
        <v>5</v>
      </c>
      <c r="P51" s="10">
        <f t="shared" si="28"/>
        <v>6</v>
      </c>
      <c r="Q51" s="10">
        <f t="shared" si="28"/>
        <v>7</v>
      </c>
      <c r="R51" s="10">
        <f t="shared" si="28"/>
        <v>8</v>
      </c>
      <c r="S51" s="10">
        <f t="shared" si="28"/>
        <v>9</v>
      </c>
      <c r="T51" s="10">
        <f t="shared" si="28"/>
        <v>10</v>
      </c>
      <c r="U51" s="10">
        <f t="shared" si="28"/>
        <v>11</v>
      </c>
      <c r="V51" s="10">
        <f t="shared" si="28"/>
        <v>12</v>
      </c>
      <c r="W51" s="10">
        <f t="shared" si="28"/>
        <v>13</v>
      </c>
    </row>
    <row r="52" spans="3:23" x14ac:dyDescent="0.25">
      <c r="C52" s="11" t="s">
        <v>4</v>
      </c>
      <c r="D52" s="11"/>
      <c r="E52" s="11"/>
      <c r="F52" s="11"/>
      <c r="G52" s="11"/>
      <c r="H52" s="11"/>
      <c r="I52" s="11"/>
      <c r="J52" s="12">
        <f>+J$7</f>
        <v>3</v>
      </c>
      <c r="K52" s="12">
        <f t="shared" ref="K52:W52" si="29">+K$7</f>
        <v>4</v>
      </c>
      <c r="L52" s="12">
        <f t="shared" si="29"/>
        <v>1</v>
      </c>
      <c r="M52" s="12">
        <f t="shared" si="29"/>
        <v>2</v>
      </c>
      <c r="N52" s="12">
        <f t="shared" si="29"/>
        <v>3</v>
      </c>
      <c r="O52" s="12">
        <f t="shared" si="29"/>
        <v>4</v>
      </c>
      <c r="P52" s="12">
        <f t="shared" si="29"/>
        <v>1</v>
      </c>
      <c r="Q52" s="12">
        <f t="shared" si="29"/>
        <v>2</v>
      </c>
      <c r="R52" s="12">
        <f t="shared" si="29"/>
        <v>3</v>
      </c>
      <c r="S52" s="12">
        <f t="shared" si="29"/>
        <v>4</v>
      </c>
      <c r="T52" s="12">
        <f t="shared" si="29"/>
        <v>1</v>
      </c>
      <c r="U52" s="12">
        <f t="shared" si="29"/>
        <v>2</v>
      </c>
      <c r="V52" s="12">
        <f t="shared" si="29"/>
        <v>3</v>
      </c>
      <c r="W52" s="12">
        <f t="shared" si="29"/>
        <v>4</v>
      </c>
    </row>
    <row r="53" spans="3:23" ht="4.95" customHeight="1" x14ac:dyDescent="0.25">
      <c r="F53" s="7"/>
      <c r="G53" s="7"/>
      <c r="H53" s="7"/>
      <c r="I53" s="7"/>
    </row>
    <row r="54" spans="3:23" x14ac:dyDescent="0.25">
      <c r="C54" s="38"/>
      <c r="F54" s="19" t="s">
        <v>8</v>
      </c>
      <c r="G54" s="19" t="s">
        <v>9</v>
      </c>
      <c r="H54" s="19" t="s">
        <v>10</v>
      </c>
      <c r="I54" s="19" t="s">
        <v>12</v>
      </c>
      <c r="J54" s="7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3:23" x14ac:dyDescent="0.25">
      <c r="C55" s="15" t="s">
        <v>81</v>
      </c>
      <c r="F55" s="17">
        <v>225</v>
      </c>
      <c r="G55" s="16">
        <v>3</v>
      </c>
      <c r="H55" s="20">
        <v>0.57999999999999996</v>
      </c>
      <c r="I55" s="27">
        <f>+F55/G55</f>
        <v>75</v>
      </c>
      <c r="J55" s="19" t="s">
        <v>13</v>
      </c>
      <c r="K55" s="49">
        <f t="shared" ref="K55:W57" si="30">+$H55*$F55*K$35/1000</f>
        <v>0</v>
      </c>
      <c r="L55" s="49">
        <f t="shared" si="30"/>
        <v>6.0030000000000001</v>
      </c>
      <c r="M55" s="49">
        <f t="shared" si="30"/>
        <v>15.757875000000002</v>
      </c>
      <c r="N55" s="49">
        <f t="shared" si="30"/>
        <v>29.849917500000004</v>
      </c>
      <c r="O55" s="49">
        <f t="shared" si="30"/>
        <v>5.9317143749999994</v>
      </c>
      <c r="P55" s="49">
        <f t="shared" si="30"/>
        <v>13.776884999999998</v>
      </c>
      <c r="Q55" s="49">
        <f t="shared" si="30"/>
        <v>31.380682499999995</v>
      </c>
      <c r="R55" s="49">
        <f t="shared" si="30"/>
        <v>53.867620349999996</v>
      </c>
      <c r="S55" s="49">
        <f t="shared" si="30"/>
        <v>9.9537994125000004</v>
      </c>
      <c r="T55" s="49">
        <f t="shared" si="30"/>
        <v>21.859324200000003</v>
      </c>
      <c r="U55" s="49">
        <f t="shared" si="30"/>
        <v>47.622099150000011</v>
      </c>
      <c r="V55" s="49">
        <f t="shared" si="30"/>
        <v>78.834091347000026</v>
      </c>
      <c r="W55" s="49">
        <f t="shared" si="30"/>
        <v>78.834091347000026</v>
      </c>
    </row>
    <row r="56" spans="3:23" x14ac:dyDescent="0.25">
      <c r="C56" s="15" t="s">
        <v>82</v>
      </c>
      <c r="F56" s="17">
        <v>485</v>
      </c>
      <c r="G56" s="16">
        <v>10</v>
      </c>
      <c r="H56" s="20">
        <v>0.4</v>
      </c>
      <c r="I56" s="27">
        <f>+F56/G56</f>
        <v>48.5</v>
      </c>
      <c r="J56" s="28">
        <f>+(I$55-I56)/I$55</f>
        <v>0.35333333333333333</v>
      </c>
      <c r="K56" s="49">
        <f t="shared" si="30"/>
        <v>0</v>
      </c>
      <c r="L56" s="49">
        <f t="shared" si="30"/>
        <v>8.9239999999999995</v>
      </c>
      <c r="M56" s="49">
        <f t="shared" si="30"/>
        <v>23.425500000000003</v>
      </c>
      <c r="N56" s="49">
        <f t="shared" si="30"/>
        <v>44.374590000000005</v>
      </c>
      <c r="O56" s="49">
        <f t="shared" si="30"/>
        <v>8.8180274999999995</v>
      </c>
      <c r="P56" s="49">
        <f t="shared" si="30"/>
        <v>20.48058</v>
      </c>
      <c r="Q56" s="49">
        <f t="shared" si="30"/>
        <v>46.650209999999994</v>
      </c>
      <c r="R56" s="49">
        <f t="shared" si="30"/>
        <v>80.07906779999999</v>
      </c>
      <c r="S56" s="49">
        <f t="shared" si="30"/>
        <v>14.797219050000001</v>
      </c>
      <c r="T56" s="49">
        <f t="shared" si="30"/>
        <v>32.495853600000004</v>
      </c>
      <c r="U56" s="49">
        <f t="shared" si="30"/>
        <v>70.794538200000005</v>
      </c>
      <c r="V56" s="49">
        <f t="shared" si="30"/>
        <v>117.19397487600004</v>
      </c>
      <c r="W56" s="49">
        <f t="shared" si="30"/>
        <v>117.19397487600004</v>
      </c>
    </row>
    <row r="57" spans="3:23" x14ac:dyDescent="0.25">
      <c r="C57" s="15" t="s">
        <v>83</v>
      </c>
      <c r="F57" s="29">
        <v>750</v>
      </c>
      <c r="G57" s="31">
        <v>20</v>
      </c>
      <c r="H57" s="40">
        <v>0.02</v>
      </c>
      <c r="I57" s="33">
        <f>+F57/G57</f>
        <v>37.5</v>
      </c>
      <c r="J57" s="41">
        <f>+(I$55-I57)/I$55</f>
        <v>0.5</v>
      </c>
      <c r="K57" s="49">
        <f t="shared" si="30"/>
        <v>0</v>
      </c>
      <c r="L57" s="49">
        <f t="shared" si="30"/>
        <v>0.69</v>
      </c>
      <c r="M57" s="49">
        <f t="shared" si="30"/>
        <v>1.8112500000000002</v>
      </c>
      <c r="N57" s="49">
        <f t="shared" si="30"/>
        <v>3.431025</v>
      </c>
      <c r="O57" s="49">
        <f t="shared" si="30"/>
        <v>0.68180624999999995</v>
      </c>
      <c r="P57" s="49">
        <f t="shared" si="30"/>
        <v>1.58355</v>
      </c>
      <c r="Q57" s="49">
        <f t="shared" si="30"/>
        <v>3.6069749999999994</v>
      </c>
      <c r="R57" s="49">
        <f t="shared" si="30"/>
        <v>6.1916804999999995</v>
      </c>
      <c r="S57" s="49">
        <f t="shared" si="30"/>
        <v>1.1441148750000001</v>
      </c>
      <c r="T57" s="49">
        <f t="shared" si="30"/>
        <v>2.5125660000000005</v>
      </c>
      <c r="U57" s="49">
        <f t="shared" si="30"/>
        <v>5.4738045000000008</v>
      </c>
      <c r="V57" s="49">
        <f t="shared" si="30"/>
        <v>9.0613898100000032</v>
      </c>
      <c r="W57" s="49">
        <f t="shared" si="30"/>
        <v>9.0613898100000032</v>
      </c>
    </row>
    <row r="58" spans="3:23" x14ac:dyDescent="0.25">
      <c r="C58" s="53" t="s">
        <v>123</v>
      </c>
      <c r="E58" s="19"/>
      <c r="F58" s="55">
        <f>+SUMPRODUCT(F55:F57,$H55:$H57)/SUM($H55:$H57)</f>
        <v>339.5</v>
      </c>
      <c r="G58" s="56">
        <f>+SUMPRODUCT(G55:G57,$H55:$H57)/SUM($H55:$H57)</f>
        <v>6.1400000000000006</v>
      </c>
      <c r="H58" s="45"/>
      <c r="I58" s="55">
        <f>+F58/G58</f>
        <v>55.293159609120515</v>
      </c>
      <c r="J58" s="57">
        <f>+(I$55-I58)/I$55</f>
        <v>0.26275787187839311</v>
      </c>
      <c r="K58" s="52">
        <f t="shared" ref="K58:W58" si="31">+SUM(K55:K57)</f>
        <v>0</v>
      </c>
      <c r="L58" s="52">
        <f t="shared" si="31"/>
        <v>15.616999999999999</v>
      </c>
      <c r="M58" s="52">
        <f t="shared" si="31"/>
        <v>40.994625000000006</v>
      </c>
      <c r="N58" s="52">
        <f t="shared" si="31"/>
        <v>77.655532500000021</v>
      </c>
      <c r="O58" s="52">
        <f t="shared" si="31"/>
        <v>15.431548124999997</v>
      </c>
      <c r="P58" s="52">
        <f t="shared" si="31"/>
        <v>35.841014999999999</v>
      </c>
      <c r="Q58" s="52">
        <f t="shared" si="31"/>
        <v>81.637867499999999</v>
      </c>
      <c r="R58" s="52">
        <f t="shared" si="31"/>
        <v>140.13836864999999</v>
      </c>
      <c r="S58" s="52">
        <f t="shared" si="31"/>
        <v>25.895133337499999</v>
      </c>
      <c r="T58" s="52">
        <f t="shared" si="31"/>
        <v>56.867743800000007</v>
      </c>
      <c r="U58" s="52">
        <f t="shared" si="31"/>
        <v>123.89044185000002</v>
      </c>
      <c r="V58" s="52">
        <f t="shared" si="31"/>
        <v>205.08945603300006</v>
      </c>
      <c r="W58" s="52">
        <f t="shared" si="31"/>
        <v>205.08945603300006</v>
      </c>
    </row>
    <row r="59" spans="3:23" ht="4.95" customHeight="1" x14ac:dyDescent="0.25">
      <c r="C59" s="53"/>
      <c r="E59" s="19"/>
      <c r="F59" s="30"/>
      <c r="G59" s="22"/>
      <c r="I59" s="30"/>
      <c r="J59" s="23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  <row r="60" spans="3:23" s="66" customFormat="1" hidden="1" outlineLevel="1" x14ac:dyDescent="0.25">
      <c r="C60" s="72" t="s">
        <v>84</v>
      </c>
      <c r="F60" s="78">
        <v>85</v>
      </c>
      <c r="G60" s="83">
        <v>5</v>
      </c>
      <c r="H60" s="68">
        <v>0.4</v>
      </c>
      <c r="I60" s="84">
        <f>+F60/G60</f>
        <v>17</v>
      </c>
      <c r="J60" s="85" t="s">
        <v>13</v>
      </c>
      <c r="K60" s="86">
        <f t="shared" ref="K60:W62" si="32">+$H60*$F60*K$45/1000</f>
        <v>0</v>
      </c>
      <c r="L60" s="86">
        <f t="shared" si="32"/>
        <v>0</v>
      </c>
      <c r="M60" s="86">
        <f t="shared" si="32"/>
        <v>0</v>
      </c>
      <c r="N60" s="86">
        <f t="shared" si="32"/>
        <v>19.455479999999998</v>
      </c>
      <c r="O60" s="86">
        <f t="shared" si="32"/>
        <v>4.8638699999999995</v>
      </c>
      <c r="P60" s="86">
        <f t="shared" si="32"/>
        <v>12.970319999999999</v>
      </c>
      <c r="Q60" s="86">
        <f t="shared" si="32"/>
        <v>32.425800000000002</v>
      </c>
      <c r="R60" s="86">
        <f t="shared" si="32"/>
        <v>59.533768800000011</v>
      </c>
      <c r="S60" s="86">
        <f t="shared" si="32"/>
        <v>11.576010600000004</v>
      </c>
      <c r="T60" s="86">
        <f t="shared" si="32"/>
        <v>26.459452800000001</v>
      </c>
      <c r="U60" s="86">
        <f t="shared" si="32"/>
        <v>59.533768800000004</v>
      </c>
      <c r="V60" s="86">
        <f t="shared" si="32"/>
        <v>101.20740696000001</v>
      </c>
      <c r="W60" s="86">
        <f t="shared" si="32"/>
        <v>101.20740696000001</v>
      </c>
    </row>
    <row r="61" spans="3:23" s="66" customFormat="1" hidden="1" outlineLevel="1" x14ac:dyDescent="0.25">
      <c r="C61" s="72" t="s">
        <v>85</v>
      </c>
      <c r="F61" s="78">
        <v>175</v>
      </c>
      <c r="G61" s="83">
        <v>15</v>
      </c>
      <c r="H61" s="68">
        <v>0.45</v>
      </c>
      <c r="I61" s="84">
        <f>+F61/G61</f>
        <v>11.666666666666666</v>
      </c>
      <c r="J61" s="87">
        <f>+(I$60-I61)/I$60</f>
        <v>0.31372549019607848</v>
      </c>
      <c r="K61" s="86">
        <f t="shared" si="32"/>
        <v>0</v>
      </c>
      <c r="L61" s="86">
        <f t="shared" si="32"/>
        <v>0</v>
      </c>
      <c r="M61" s="86">
        <f t="shared" si="32"/>
        <v>0</v>
      </c>
      <c r="N61" s="86">
        <f t="shared" si="32"/>
        <v>45.062325000000001</v>
      </c>
      <c r="O61" s="86">
        <f t="shared" si="32"/>
        <v>11.26558125</v>
      </c>
      <c r="P61" s="86">
        <f t="shared" si="32"/>
        <v>30.041550000000004</v>
      </c>
      <c r="Q61" s="86">
        <f t="shared" si="32"/>
        <v>75.103875000000002</v>
      </c>
      <c r="R61" s="86">
        <f t="shared" si="32"/>
        <v>137.89071450000003</v>
      </c>
      <c r="S61" s="86">
        <f t="shared" si="32"/>
        <v>26.812083375000007</v>
      </c>
      <c r="T61" s="86">
        <f t="shared" si="32"/>
        <v>61.284762000000008</v>
      </c>
      <c r="U61" s="86">
        <f t="shared" si="32"/>
        <v>137.8907145</v>
      </c>
      <c r="V61" s="86">
        <f t="shared" si="32"/>
        <v>234.41421465000005</v>
      </c>
      <c r="W61" s="86">
        <f t="shared" si="32"/>
        <v>234.41421465000005</v>
      </c>
    </row>
    <row r="62" spans="3:23" s="66" customFormat="1" hidden="1" outlineLevel="1" x14ac:dyDescent="0.25">
      <c r="C62" s="72" t="s">
        <v>86</v>
      </c>
      <c r="F62" s="88">
        <v>398</v>
      </c>
      <c r="G62" s="89">
        <v>50</v>
      </c>
      <c r="H62" s="90">
        <v>0.15</v>
      </c>
      <c r="I62" s="91">
        <f>+F62/G62</f>
        <v>7.96</v>
      </c>
      <c r="J62" s="92">
        <f>+(I$60-I62)/I$60</f>
        <v>0.53176470588235292</v>
      </c>
      <c r="K62" s="86">
        <f t="shared" si="32"/>
        <v>0</v>
      </c>
      <c r="L62" s="86">
        <f t="shared" si="32"/>
        <v>0</v>
      </c>
      <c r="M62" s="86">
        <f t="shared" si="32"/>
        <v>0</v>
      </c>
      <c r="N62" s="86">
        <f t="shared" si="32"/>
        <v>34.161534000000003</v>
      </c>
      <c r="O62" s="86">
        <f t="shared" si="32"/>
        <v>8.5403835000000008</v>
      </c>
      <c r="P62" s="86">
        <f t="shared" si="32"/>
        <v>22.774356000000001</v>
      </c>
      <c r="Q62" s="86">
        <f t="shared" si="32"/>
        <v>56.935890000000001</v>
      </c>
      <c r="R62" s="86">
        <f t="shared" si="32"/>
        <v>104.53429404000001</v>
      </c>
      <c r="S62" s="86">
        <f t="shared" si="32"/>
        <v>20.326112730000006</v>
      </c>
      <c r="T62" s="86">
        <f t="shared" si="32"/>
        <v>46.459686240000003</v>
      </c>
      <c r="U62" s="86">
        <f t="shared" si="32"/>
        <v>104.53429403999999</v>
      </c>
      <c r="V62" s="86">
        <f t="shared" si="32"/>
        <v>177.70829986800001</v>
      </c>
      <c r="W62" s="86">
        <f t="shared" si="32"/>
        <v>177.70829986800001</v>
      </c>
    </row>
    <row r="63" spans="3:23" s="66" customFormat="1" hidden="1" outlineLevel="1" x14ac:dyDescent="0.25">
      <c r="C63" s="93" t="s">
        <v>91</v>
      </c>
      <c r="E63" s="85"/>
      <c r="F63" s="94">
        <f>+SUMPRODUCT(F60:F62,$H60:$H62)/SUM($H60:$H62)</f>
        <v>172.45</v>
      </c>
      <c r="G63" s="95">
        <f>+SUMPRODUCT(G60:G62,$H60:$H62)/SUM($H60:$H62)</f>
        <v>16.25</v>
      </c>
      <c r="H63" s="96"/>
      <c r="I63" s="94">
        <f>+F63/G63</f>
        <v>10.612307692307692</v>
      </c>
      <c r="J63" s="97">
        <f>+(I$60-I63)/I$60</f>
        <v>0.37574660633484169</v>
      </c>
      <c r="K63" s="98">
        <f t="shared" ref="K63:W63" si="33">+SUM(K60:K62)</f>
        <v>0</v>
      </c>
      <c r="L63" s="98">
        <f t="shared" si="33"/>
        <v>0</v>
      </c>
      <c r="M63" s="98">
        <f t="shared" si="33"/>
        <v>0</v>
      </c>
      <c r="N63" s="98">
        <f t="shared" si="33"/>
        <v>98.679338999999999</v>
      </c>
      <c r="O63" s="98">
        <f t="shared" si="33"/>
        <v>24.66983475</v>
      </c>
      <c r="P63" s="98">
        <f t="shared" si="33"/>
        <v>65.786225999999999</v>
      </c>
      <c r="Q63" s="98">
        <f t="shared" si="33"/>
        <v>164.465565</v>
      </c>
      <c r="R63" s="98">
        <f t="shared" si="33"/>
        <v>301.95877734000004</v>
      </c>
      <c r="S63" s="98">
        <f t="shared" si="33"/>
        <v>58.714206705000016</v>
      </c>
      <c r="T63" s="98">
        <f t="shared" si="33"/>
        <v>134.20390104000001</v>
      </c>
      <c r="U63" s="98">
        <f t="shared" si="33"/>
        <v>301.95877733999998</v>
      </c>
      <c r="V63" s="98">
        <f t="shared" si="33"/>
        <v>513.32992147800007</v>
      </c>
      <c r="W63" s="98">
        <f t="shared" si="33"/>
        <v>513.32992147800007</v>
      </c>
    </row>
    <row r="64" spans="3:23" s="66" customFormat="1" ht="4.95" hidden="1" customHeight="1" outlineLevel="1" x14ac:dyDescent="0.25">
      <c r="C64" s="93"/>
      <c r="E64" s="85"/>
      <c r="F64" s="71"/>
      <c r="H64" s="77"/>
      <c r="I64" s="99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</row>
    <row r="65" spans="3:23" collapsed="1" x14ac:dyDescent="0.25">
      <c r="C65" s="8" t="s">
        <v>15</v>
      </c>
      <c r="D65" s="8"/>
      <c r="E65" s="8"/>
      <c r="F65" s="8"/>
      <c r="G65" s="8"/>
      <c r="H65" s="8"/>
      <c r="I65" s="8"/>
      <c r="J65" s="50"/>
      <c r="K65" s="50">
        <f t="shared" ref="K65:W65" si="34">+K58+K63</f>
        <v>0</v>
      </c>
      <c r="L65" s="50">
        <f t="shared" si="34"/>
        <v>15.616999999999999</v>
      </c>
      <c r="M65" s="50">
        <f t="shared" si="34"/>
        <v>40.994625000000006</v>
      </c>
      <c r="N65" s="50">
        <f t="shared" si="34"/>
        <v>176.33487150000002</v>
      </c>
      <c r="O65" s="50">
        <f t="shared" si="34"/>
        <v>40.101382874999999</v>
      </c>
      <c r="P65" s="50">
        <f t="shared" si="34"/>
        <v>101.627241</v>
      </c>
      <c r="Q65" s="50">
        <f t="shared" si="34"/>
        <v>246.1034325</v>
      </c>
      <c r="R65" s="50">
        <f t="shared" si="34"/>
        <v>442.09714599000006</v>
      </c>
      <c r="S65" s="50">
        <f t="shared" si="34"/>
        <v>84.609340042500008</v>
      </c>
      <c r="T65" s="50">
        <f t="shared" si="34"/>
        <v>191.07164484</v>
      </c>
      <c r="U65" s="50">
        <f t="shared" si="34"/>
        <v>425.84921918999999</v>
      </c>
      <c r="V65" s="50">
        <f t="shared" si="34"/>
        <v>718.41937751100011</v>
      </c>
      <c r="W65" s="50">
        <f t="shared" si="34"/>
        <v>718.41937751100011</v>
      </c>
    </row>
    <row r="66" spans="3:23" s="5" customFormat="1" x14ac:dyDescent="0.25">
      <c r="C66" s="21" t="s">
        <v>52</v>
      </c>
      <c r="H66" s="48"/>
      <c r="J66" s="58"/>
      <c r="K66" s="47" t="str">
        <f t="shared" ref="K66:W66" si="35">+IFERROR(K65/J65-1,"na")</f>
        <v>na</v>
      </c>
      <c r="L66" s="47" t="str">
        <f t="shared" si="35"/>
        <v>na</v>
      </c>
      <c r="M66" s="47">
        <f t="shared" si="35"/>
        <v>1.6250000000000004</v>
      </c>
      <c r="N66" s="47">
        <f t="shared" si="35"/>
        <v>3.3014144293306744</v>
      </c>
      <c r="O66" s="47">
        <f t="shared" si="35"/>
        <v>-0.77258393343372245</v>
      </c>
      <c r="P66" s="47">
        <f t="shared" si="35"/>
        <v>1.5342577665409252</v>
      </c>
      <c r="Q66" s="47">
        <f t="shared" si="35"/>
        <v>1.4216285916883251</v>
      </c>
      <c r="R66" s="47">
        <f t="shared" si="35"/>
        <v>0.7963875655818009</v>
      </c>
      <c r="S66" s="47">
        <f t="shared" si="35"/>
        <v>-0.8086182170368188</v>
      </c>
      <c r="T66" s="47">
        <f t="shared" si="35"/>
        <v>1.2582807612495626</v>
      </c>
      <c r="U66" s="47">
        <f t="shared" si="35"/>
        <v>1.2287410544175645</v>
      </c>
      <c r="V66" s="47">
        <f t="shared" si="35"/>
        <v>0.6870275795679337</v>
      </c>
      <c r="W66" s="47">
        <f t="shared" si="35"/>
        <v>0</v>
      </c>
    </row>
    <row r="67" spans="3:23" ht="4.95" customHeight="1" x14ac:dyDescent="0.25"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</row>
    <row r="68" spans="3:23" ht="13.6" customHeight="1" x14ac:dyDescent="0.25">
      <c r="C68" s="15" t="str">
        <f>+D37</f>
        <v>MAU - LAW</v>
      </c>
      <c r="D68" s="15"/>
      <c r="G68" s="19" t="s">
        <v>55</v>
      </c>
      <c r="H68" s="19" t="s">
        <v>54</v>
      </c>
      <c r="I68" s="19" t="s">
        <v>53</v>
      </c>
      <c r="J68" s="10"/>
      <c r="K68" s="10">
        <f t="shared" ref="K68:W68" si="36">+K37</f>
        <v>0</v>
      </c>
      <c r="L68" s="10">
        <f t="shared" si="36"/>
        <v>0</v>
      </c>
      <c r="M68" s="10">
        <f t="shared" si="36"/>
        <v>0</v>
      </c>
      <c r="N68" s="10">
        <f t="shared" si="36"/>
        <v>0</v>
      </c>
      <c r="O68" s="10">
        <f t="shared" si="36"/>
        <v>0</v>
      </c>
      <c r="P68" s="10">
        <f t="shared" si="36"/>
        <v>0</v>
      </c>
      <c r="Q68" s="10">
        <f t="shared" si="36"/>
        <v>0</v>
      </c>
      <c r="R68" s="10">
        <f t="shared" si="36"/>
        <v>0</v>
      </c>
      <c r="S68" s="10">
        <f t="shared" si="36"/>
        <v>0</v>
      </c>
      <c r="T68" s="10">
        <f t="shared" si="36"/>
        <v>0</v>
      </c>
      <c r="U68" s="10">
        <f t="shared" si="36"/>
        <v>0</v>
      </c>
      <c r="V68" s="10">
        <f t="shared" si="36"/>
        <v>0</v>
      </c>
      <c r="W68" s="10">
        <f t="shared" si="36"/>
        <v>0</v>
      </c>
    </row>
    <row r="69" spans="3:23" x14ac:dyDescent="0.25">
      <c r="C69" s="15" t="s">
        <v>57</v>
      </c>
      <c r="D69" s="15"/>
      <c r="G69" s="16">
        <v>5</v>
      </c>
      <c r="H69" s="17">
        <v>1</v>
      </c>
      <c r="I69" s="16">
        <v>1000</v>
      </c>
      <c r="J69" s="10"/>
      <c r="K69" s="10">
        <f t="shared" ref="K69:W69" si="37">+($G69*$H69*K$68)*(K$68&gt;=$I69)</f>
        <v>0</v>
      </c>
      <c r="L69" s="10">
        <f t="shared" si="37"/>
        <v>0</v>
      </c>
      <c r="M69" s="10">
        <f t="shared" si="37"/>
        <v>0</v>
      </c>
      <c r="N69" s="10">
        <f t="shared" si="37"/>
        <v>0</v>
      </c>
      <c r="O69" s="10">
        <f t="shared" si="37"/>
        <v>0</v>
      </c>
      <c r="P69" s="10">
        <f t="shared" si="37"/>
        <v>0</v>
      </c>
      <c r="Q69" s="10">
        <f t="shared" si="37"/>
        <v>0</v>
      </c>
      <c r="R69" s="10">
        <f t="shared" si="37"/>
        <v>0</v>
      </c>
      <c r="S69" s="10">
        <f t="shared" si="37"/>
        <v>0</v>
      </c>
      <c r="T69" s="10">
        <f t="shared" si="37"/>
        <v>0</v>
      </c>
      <c r="U69" s="10">
        <f t="shared" si="37"/>
        <v>0</v>
      </c>
      <c r="V69" s="10">
        <f t="shared" si="37"/>
        <v>0</v>
      </c>
      <c r="W69" s="10">
        <f t="shared" si="37"/>
        <v>0</v>
      </c>
    </row>
    <row r="70" spans="3:23" s="66" customFormat="1" hidden="1" outlineLevel="1" x14ac:dyDescent="0.25">
      <c r="C70" s="72" t="str">
        <f>+D47</f>
        <v>MAU - COLLEGE</v>
      </c>
      <c r="D70" s="72"/>
      <c r="J70" s="76"/>
      <c r="K70" s="76">
        <f t="shared" ref="K70:W70" si="38">+K47</f>
        <v>0</v>
      </c>
      <c r="L70" s="76">
        <f t="shared" si="38"/>
        <v>0</v>
      </c>
      <c r="M70" s="76">
        <f t="shared" si="38"/>
        <v>0</v>
      </c>
      <c r="N70" s="76">
        <f t="shared" si="38"/>
        <v>0</v>
      </c>
      <c r="O70" s="76">
        <f t="shared" si="38"/>
        <v>0</v>
      </c>
      <c r="P70" s="76">
        <f t="shared" si="38"/>
        <v>0</v>
      </c>
      <c r="Q70" s="76">
        <f t="shared" si="38"/>
        <v>0</v>
      </c>
      <c r="R70" s="76">
        <f t="shared" si="38"/>
        <v>0</v>
      </c>
      <c r="S70" s="76">
        <f t="shared" si="38"/>
        <v>0</v>
      </c>
      <c r="T70" s="76">
        <f t="shared" si="38"/>
        <v>0</v>
      </c>
      <c r="U70" s="76">
        <f t="shared" si="38"/>
        <v>0</v>
      </c>
      <c r="V70" s="76">
        <f t="shared" si="38"/>
        <v>0</v>
      </c>
      <c r="W70" s="76">
        <f t="shared" si="38"/>
        <v>0</v>
      </c>
    </row>
    <row r="71" spans="3:23" s="66" customFormat="1" hidden="1" outlineLevel="1" x14ac:dyDescent="0.25">
      <c r="C71" s="72" t="s">
        <v>56</v>
      </c>
      <c r="D71" s="72"/>
      <c r="G71" s="83">
        <v>10</v>
      </c>
      <c r="H71" s="78">
        <v>0.5</v>
      </c>
      <c r="I71" s="83">
        <v>5000</v>
      </c>
      <c r="J71" s="76"/>
      <c r="K71" s="76">
        <f t="shared" ref="K71:W71" si="39">+($G71*$H71*K$68)*(K$68&gt;=$I71)</f>
        <v>0</v>
      </c>
      <c r="L71" s="76">
        <f t="shared" si="39"/>
        <v>0</v>
      </c>
      <c r="M71" s="76">
        <f t="shared" si="39"/>
        <v>0</v>
      </c>
      <c r="N71" s="76">
        <f t="shared" si="39"/>
        <v>0</v>
      </c>
      <c r="O71" s="76">
        <f t="shared" si="39"/>
        <v>0</v>
      </c>
      <c r="P71" s="76">
        <f t="shared" si="39"/>
        <v>0</v>
      </c>
      <c r="Q71" s="76">
        <f t="shared" si="39"/>
        <v>0</v>
      </c>
      <c r="R71" s="76">
        <f t="shared" si="39"/>
        <v>0</v>
      </c>
      <c r="S71" s="76">
        <f t="shared" si="39"/>
        <v>0</v>
      </c>
      <c r="T71" s="76">
        <f t="shared" si="39"/>
        <v>0</v>
      </c>
      <c r="U71" s="76">
        <f t="shared" si="39"/>
        <v>0</v>
      </c>
      <c r="V71" s="76">
        <f t="shared" si="39"/>
        <v>0</v>
      </c>
      <c r="W71" s="76">
        <f t="shared" si="39"/>
        <v>0</v>
      </c>
    </row>
    <row r="72" spans="3:23" collapsed="1" x14ac:dyDescent="0.25">
      <c r="C72" s="1" t="s">
        <v>87</v>
      </c>
      <c r="D72" s="15"/>
      <c r="J72" s="10"/>
      <c r="K72" s="10">
        <f t="shared" ref="K72:W72" si="40">+K69+K71</f>
        <v>0</v>
      </c>
      <c r="L72" s="10">
        <f t="shared" si="40"/>
        <v>0</v>
      </c>
      <c r="M72" s="10">
        <f t="shared" si="40"/>
        <v>0</v>
      </c>
      <c r="N72" s="10">
        <f t="shared" si="40"/>
        <v>0</v>
      </c>
      <c r="O72" s="10">
        <f t="shared" si="40"/>
        <v>0</v>
      </c>
      <c r="P72" s="10">
        <f t="shared" si="40"/>
        <v>0</v>
      </c>
      <c r="Q72" s="10">
        <f t="shared" si="40"/>
        <v>0</v>
      </c>
      <c r="R72" s="10">
        <f t="shared" si="40"/>
        <v>0</v>
      </c>
      <c r="S72" s="10">
        <f t="shared" si="40"/>
        <v>0</v>
      </c>
      <c r="T72" s="10">
        <f t="shared" si="40"/>
        <v>0</v>
      </c>
      <c r="U72" s="10">
        <f t="shared" si="40"/>
        <v>0</v>
      </c>
      <c r="V72" s="10">
        <f t="shared" si="40"/>
        <v>0</v>
      </c>
      <c r="W72" s="10">
        <f t="shared" si="40"/>
        <v>0</v>
      </c>
    </row>
    <row r="73" spans="3:23" ht="4.95" customHeight="1" x14ac:dyDescent="0.25">
      <c r="D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3:23" x14ac:dyDescent="0.25">
      <c r="C74" s="1" t="s">
        <v>88</v>
      </c>
      <c r="D74" s="15"/>
      <c r="J74" s="10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spans="3:23" x14ac:dyDescent="0.25">
      <c r="C75" s="1" t="s">
        <v>89</v>
      </c>
      <c r="D75" s="15"/>
      <c r="J75" s="10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spans="3:23" x14ac:dyDescent="0.25">
      <c r="C76" s="1" t="s">
        <v>90</v>
      </c>
      <c r="D76" s="15"/>
      <c r="J76" s="10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spans="3:23" ht="4.95" customHeight="1" x14ac:dyDescent="0.25">
      <c r="D77" s="15"/>
      <c r="J77" s="10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spans="3:23" s="4" customFormat="1" x14ac:dyDescent="0.25">
      <c r="C78" s="9" t="s">
        <v>17</v>
      </c>
      <c r="D78" s="9"/>
      <c r="E78" s="9"/>
      <c r="F78" s="9"/>
      <c r="G78" s="9"/>
      <c r="H78" s="9"/>
      <c r="I78" s="9"/>
      <c r="J78" s="51"/>
      <c r="K78" s="51">
        <f t="shared" ref="K78:W78" si="41">+K65+K74+K72+K75+K76</f>
        <v>0</v>
      </c>
      <c r="L78" s="51">
        <f t="shared" si="41"/>
        <v>15.616999999999999</v>
      </c>
      <c r="M78" s="51">
        <f t="shared" si="41"/>
        <v>40.994625000000006</v>
      </c>
      <c r="N78" s="51">
        <f t="shared" si="41"/>
        <v>176.33487150000002</v>
      </c>
      <c r="O78" s="51">
        <f t="shared" si="41"/>
        <v>40.101382874999999</v>
      </c>
      <c r="P78" s="51">
        <f t="shared" si="41"/>
        <v>101.627241</v>
      </c>
      <c r="Q78" s="51">
        <f t="shared" si="41"/>
        <v>246.1034325</v>
      </c>
      <c r="R78" s="51">
        <f t="shared" si="41"/>
        <v>442.09714599000006</v>
      </c>
      <c r="S78" s="51">
        <f t="shared" si="41"/>
        <v>84.609340042500008</v>
      </c>
      <c r="T78" s="51">
        <f t="shared" si="41"/>
        <v>191.07164484</v>
      </c>
      <c r="U78" s="51">
        <f t="shared" si="41"/>
        <v>425.84921918999999</v>
      </c>
      <c r="V78" s="51">
        <f t="shared" si="41"/>
        <v>718.41937751100011</v>
      </c>
      <c r="W78" s="51">
        <f t="shared" si="41"/>
        <v>718.41937751100011</v>
      </c>
    </row>
    <row r="79" spans="3:23" s="5" customFormat="1" x14ac:dyDescent="0.25">
      <c r="C79" s="21" t="s">
        <v>51</v>
      </c>
      <c r="H79" s="48"/>
      <c r="J79" s="58"/>
      <c r="K79" s="47" t="str">
        <f t="shared" ref="K79:W79" si="42">+IFERROR(K78/J78-1,"na")</f>
        <v>na</v>
      </c>
      <c r="L79" s="47" t="str">
        <f t="shared" si="42"/>
        <v>na</v>
      </c>
      <c r="M79" s="47">
        <f t="shared" si="42"/>
        <v>1.6250000000000004</v>
      </c>
      <c r="N79" s="47">
        <f t="shared" si="42"/>
        <v>3.3014144293306744</v>
      </c>
      <c r="O79" s="47">
        <f t="shared" si="42"/>
        <v>-0.77258393343372245</v>
      </c>
      <c r="P79" s="47">
        <f t="shared" si="42"/>
        <v>1.5342577665409252</v>
      </c>
      <c r="Q79" s="47">
        <f t="shared" si="42"/>
        <v>1.4216285916883251</v>
      </c>
      <c r="R79" s="47">
        <f t="shared" si="42"/>
        <v>0.7963875655818009</v>
      </c>
      <c r="S79" s="47">
        <f t="shared" si="42"/>
        <v>-0.8086182170368188</v>
      </c>
      <c r="T79" s="47">
        <f t="shared" si="42"/>
        <v>1.2582807612495626</v>
      </c>
      <c r="U79" s="47">
        <f t="shared" si="42"/>
        <v>1.2287410544175645</v>
      </c>
      <c r="V79" s="47">
        <f t="shared" si="42"/>
        <v>0.6870275795679337</v>
      </c>
      <c r="W79" s="47">
        <f t="shared" si="42"/>
        <v>0</v>
      </c>
    </row>
    <row r="80" spans="3:23" s="5" customFormat="1" ht="4.95" customHeight="1" x14ac:dyDescent="0.25">
      <c r="C80" s="21"/>
      <c r="D80" s="46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</row>
    <row r="81" spans="3:23" x14ac:dyDescent="0.25">
      <c r="C81" s="15" t="s">
        <v>67</v>
      </c>
      <c r="H81" s="5"/>
      <c r="I81" s="5"/>
      <c r="J81" s="49"/>
      <c r="K81" s="49">
        <f t="shared" ref="K81:W82" si="43">-$H81*K$16/1000</f>
        <v>0</v>
      </c>
      <c r="L81" s="49">
        <f>-$H81*L$16/1000</f>
        <v>0</v>
      </c>
      <c r="M81" s="49">
        <f t="shared" si="43"/>
        <v>0</v>
      </c>
      <c r="N81" s="49">
        <f t="shared" si="43"/>
        <v>0</v>
      </c>
      <c r="O81" s="49">
        <f t="shared" si="43"/>
        <v>0</v>
      </c>
      <c r="P81" s="49">
        <f t="shared" si="43"/>
        <v>0</v>
      </c>
      <c r="Q81" s="49">
        <f t="shared" si="43"/>
        <v>0</v>
      </c>
      <c r="R81" s="49">
        <f t="shared" si="43"/>
        <v>0</v>
      </c>
      <c r="S81" s="49">
        <f t="shared" si="43"/>
        <v>0</v>
      </c>
      <c r="T81" s="49">
        <f t="shared" si="43"/>
        <v>0</v>
      </c>
      <c r="U81" s="49">
        <f t="shared" si="43"/>
        <v>0</v>
      </c>
      <c r="V81" s="49">
        <f t="shared" si="43"/>
        <v>0</v>
      </c>
      <c r="W81" s="49">
        <f t="shared" si="43"/>
        <v>0</v>
      </c>
    </row>
    <row r="82" spans="3:23" x14ac:dyDescent="0.25">
      <c r="C82" s="15" t="s">
        <v>68</v>
      </c>
      <c r="H82" s="29">
        <v>75</v>
      </c>
      <c r="I82" s="5" t="s">
        <v>24</v>
      </c>
      <c r="J82" s="49"/>
      <c r="K82" s="49">
        <f t="shared" si="43"/>
        <v>0</v>
      </c>
      <c r="L82" s="49">
        <f>-$H82*L$16/1000</f>
        <v>-3.45</v>
      </c>
      <c r="M82" s="49">
        <f t="shared" si="43"/>
        <v>-1.0781250000000004</v>
      </c>
      <c r="N82" s="49">
        <f t="shared" si="43"/>
        <v>-1.1902499999999998</v>
      </c>
      <c r="O82" s="49">
        <f t="shared" si="43"/>
        <v>-1.0996874999999995</v>
      </c>
      <c r="P82" s="49">
        <f t="shared" si="43"/>
        <v>-1.0996874999999995</v>
      </c>
      <c r="Q82" s="49">
        <f t="shared" si="43"/>
        <v>-1.0996874999999995</v>
      </c>
      <c r="R82" s="49">
        <f t="shared" si="43"/>
        <v>-1.30203</v>
      </c>
      <c r="S82" s="49">
        <f t="shared" si="43"/>
        <v>-1.1216812500000017</v>
      </c>
      <c r="T82" s="49">
        <f t="shared" si="43"/>
        <v>-1.1216812500000017</v>
      </c>
      <c r="U82" s="49">
        <f t="shared" si="43"/>
        <v>-1.1216812499999997</v>
      </c>
      <c r="V82" s="49">
        <f t="shared" si="43"/>
        <v>-1.4178051000000018</v>
      </c>
      <c r="W82" s="49">
        <f t="shared" si="43"/>
        <v>-1.1441148750000019</v>
      </c>
    </row>
    <row r="83" spans="3:23" x14ac:dyDescent="0.25">
      <c r="C83" s="15" t="s">
        <v>30</v>
      </c>
      <c r="H83" s="24">
        <v>0</v>
      </c>
      <c r="I83" s="5" t="s">
        <v>22</v>
      </c>
      <c r="J83" s="49"/>
      <c r="K83" s="49">
        <f t="shared" ref="K83:W83" si="44">-$H83*K$58</f>
        <v>0</v>
      </c>
      <c r="L83" s="49">
        <f t="shared" si="44"/>
        <v>0</v>
      </c>
      <c r="M83" s="49">
        <f t="shared" si="44"/>
        <v>0</v>
      </c>
      <c r="N83" s="49">
        <f t="shared" si="44"/>
        <v>0</v>
      </c>
      <c r="O83" s="49">
        <f t="shared" si="44"/>
        <v>0</v>
      </c>
      <c r="P83" s="49">
        <f t="shared" si="44"/>
        <v>0</v>
      </c>
      <c r="Q83" s="49">
        <f t="shared" si="44"/>
        <v>0</v>
      </c>
      <c r="R83" s="49">
        <f t="shared" si="44"/>
        <v>0</v>
      </c>
      <c r="S83" s="49">
        <f t="shared" si="44"/>
        <v>0</v>
      </c>
      <c r="T83" s="49">
        <f t="shared" si="44"/>
        <v>0</v>
      </c>
      <c r="U83" s="49">
        <f t="shared" si="44"/>
        <v>0</v>
      </c>
      <c r="V83" s="49">
        <f t="shared" si="44"/>
        <v>0</v>
      </c>
      <c r="W83" s="49">
        <f t="shared" si="44"/>
        <v>0</v>
      </c>
    </row>
    <row r="84" spans="3:23" s="66" customFormat="1" hidden="1" outlineLevel="1" x14ac:dyDescent="0.25">
      <c r="C84" s="72" t="s">
        <v>69</v>
      </c>
      <c r="H84" s="88">
        <v>25</v>
      </c>
      <c r="I84" s="69" t="s">
        <v>24</v>
      </c>
      <c r="J84" s="86"/>
      <c r="K84" s="86">
        <f t="shared" ref="K84:W84" si="45">-$H84*K$25/1000</f>
        <v>0</v>
      </c>
      <c r="L84" s="86">
        <f t="shared" si="45"/>
        <v>0</v>
      </c>
      <c r="M84" s="86">
        <f t="shared" si="45"/>
        <v>0</v>
      </c>
      <c r="N84" s="86">
        <f t="shared" si="45"/>
        <v>-4.7685000000000004</v>
      </c>
      <c r="O84" s="86">
        <f t="shared" si="45"/>
        <v>-2.3842500000000002</v>
      </c>
      <c r="P84" s="86">
        <f t="shared" si="45"/>
        <v>-2.3842500000000002</v>
      </c>
      <c r="Q84" s="86">
        <f t="shared" si="45"/>
        <v>-2.3842500000000002</v>
      </c>
      <c r="R84" s="86">
        <f t="shared" si="45"/>
        <v>-2.6703600000000023</v>
      </c>
      <c r="S84" s="86">
        <f t="shared" si="45"/>
        <v>-2.4319350000000015</v>
      </c>
      <c r="T84" s="86">
        <f t="shared" si="45"/>
        <v>-2.4319349999999984</v>
      </c>
      <c r="U84" s="86">
        <f t="shared" si="45"/>
        <v>-2.4319349999999984</v>
      </c>
      <c r="V84" s="86">
        <f t="shared" si="45"/>
        <v>-2.9183220000000007</v>
      </c>
      <c r="W84" s="86">
        <f t="shared" si="45"/>
        <v>-2.4805736999999994</v>
      </c>
    </row>
    <row r="85" spans="3:23" s="66" customFormat="1" hidden="1" outlineLevel="1" x14ac:dyDescent="0.25">
      <c r="C85" s="72" t="s">
        <v>34</v>
      </c>
      <c r="H85" s="73">
        <v>0.1</v>
      </c>
      <c r="I85" s="69" t="s">
        <v>22</v>
      </c>
      <c r="J85" s="86"/>
      <c r="K85" s="86">
        <f t="shared" ref="K85:W85" si="46">-$H85*K$63</f>
        <v>0</v>
      </c>
      <c r="L85" s="86">
        <f t="shared" si="46"/>
        <v>0</v>
      </c>
      <c r="M85" s="86">
        <f t="shared" si="46"/>
        <v>0</v>
      </c>
      <c r="N85" s="86">
        <f t="shared" si="46"/>
        <v>-9.8679339000000006</v>
      </c>
      <c r="O85" s="86">
        <f t="shared" si="46"/>
        <v>-2.4669834750000001</v>
      </c>
      <c r="P85" s="86">
        <f t="shared" si="46"/>
        <v>-6.5786226000000001</v>
      </c>
      <c r="Q85" s="86">
        <f t="shared" si="46"/>
        <v>-16.4465565</v>
      </c>
      <c r="R85" s="86">
        <f t="shared" si="46"/>
        <v>-30.195877734000007</v>
      </c>
      <c r="S85" s="86">
        <f t="shared" si="46"/>
        <v>-5.8714206705000018</v>
      </c>
      <c r="T85" s="86">
        <f t="shared" si="46"/>
        <v>-13.420390104000001</v>
      </c>
      <c r="U85" s="86">
        <f t="shared" si="46"/>
        <v>-30.195877734</v>
      </c>
      <c r="V85" s="86">
        <f t="shared" si="46"/>
        <v>-51.332992147800013</v>
      </c>
      <c r="W85" s="86">
        <f t="shared" si="46"/>
        <v>-51.332992147800013</v>
      </c>
    </row>
    <row r="86" spans="3:23" collapsed="1" x14ac:dyDescent="0.25">
      <c r="C86" s="1" t="s">
        <v>66</v>
      </c>
      <c r="H86" s="25"/>
      <c r="I86" s="5"/>
      <c r="J86" s="49"/>
      <c r="K86" s="49">
        <f>+K82+K83</f>
        <v>0</v>
      </c>
      <c r="L86" s="49">
        <f t="shared" ref="L86:W86" si="47">+L82+L83</f>
        <v>-3.45</v>
      </c>
      <c r="M86" s="49">
        <f t="shared" si="47"/>
        <v>-1.0781250000000004</v>
      </c>
      <c r="N86" s="49">
        <f t="shared" si="47"/>
        <v>-1.1902499999999998</v>
      </c>
      <c r="O86" s="49">
        <f t="shared" si="47"/>
        <v>-1.0996874999999995</v>
      </c>
      <c r="P86" s="49">
        <f t="shared" si="47"/>
        <v>-1.0996874999999995</v>
      </c>
      <c r="Q86" s="49">
        <f t="shared" si="47"/>
        <v>-1.0996874999999995</v>
      </c>
      <c r="R86" s="49">
        <f t="shared" si="47"/>
        <v>-1.30203</v>
      </c>
      <c r="S86" s="49">
        <f t="shared" si="47"/>
        <v>-1.1216812500000017</v>
      </c>
      <c r="T86" s="49">
        <f t="shared" si="47"/>
        <v>-1.1216812500000017</v>
      </c>
      <c r="U86" s="49">
        <f t="shared" si="47"/>
        <v>-1.1216812499999997</v>
      </c>
      <c r="V86" s="49">
        <f t="shared" si="47"/>
        <v>-1.4178051000000018</v>
      </c>
      <c r="W86" s="49">
        <f t="shared" si="47"/>
        <v>-1.1441148750000019</v>
      </c>
    </row>
    <row r="87" spans="3:23" ht="4.95" customHeight="1" x14ac:dyDescent="0.25">
      <c r="H87" s="25"/>
      <c r="I87" s="5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</row>
    <row r="88" spans="3:23" s="4" customFormat="1" x14ac:dyDescent="0.25">
      <c r="C88" s="9" t="s">
        <v>25</v>
      </c>
      <c r="D88" s="9"/>
      <c r="E88" s="9"/>
      <c r="F88" s="9"/>
      <c r="G88" s="9"/>
      <c r="H88" s="60"/>
      <c r="I88" s="61"/>
      <c r="J88" s="51"/>
      <c r="K88" s="51">
        <f t="shared" ref="K88:W88" si="48">+K78+K86</f>
        <v>0</v>
      </c>
      <c r="L88" s="51">
        <f t="shared" si="48"/>
        <v>12.166999999999998</v>
      </c>
      <c r="M88" s="51">
        <f t="shared" si="48"/>
        <v>39.916500000000006</v>
      </c>
      <c r="N88" s="51">
        <f t="shared" si="48"/>
        <v>175.14462150000003</v>
      </c>
      <c r="O88" s="51">
        <f t="shared" si="48"/>
        <v>39.001695374999997</v>
      </c>
      <c r="P88" s="51">
        <f t="shared" si="48"/>
        <v>100.5275535</v>
      </c>
      <c r="Q88" s="51">
        <f t="shared" si="48"/>
        <v>245.00374500000001</v>
      </c>
      <c r="R88" s="51">
        <f t="shared" si="48"/>
        <v>440.79511599000006</v>
      </c>
      <c r="S88" s="51">
        <f t="shared" si="48"/>
        <v>83.487658792500014</v>
      </c>
      <c r="T88" s="51">
        <f t="shared" si="48"/>
        <v>189.94996359000001</v>
      </c>
      <c r="U88" s="51">
        <f t="shared" si="48"/>
        <v>424.72753793999999</v>
      </c>
      <c r="V88" s="51">
        <f t="shared" si="48"/>
        <v>717.0015724110001</v>
      </c>
      <c r="W88" s="51">
        <f t="shared" si="48"/>
        <v>717.27526263600009</v>
      </c>
    </row>
    <row r="89" spans="3:23" s="5" customFormat="1" x14ac:dyDescent="0.25">
      <c r="C89" s="21" t="s">
        <v>26</v>
      </c>
      <c r="G89" s="19" t="s">
        <v>121</v>
      </c>
      <c r="H89" s="19" t="s">
        <v>130</v>
      </c>
      <c r="J89" s="59"/>
      <c r="K89" s="47" t="str">
        <f>+IFERROR(K88/K$78,"na")</f>
        <v>na</v>
      </c>
      <c r="L89" s="47">
        <f t="shared" ref="L89:W89" si="49">+IFERROR(L88/L$78,"na")</f>
        <v>0.77908689248895424</v>
      </c>
      <c r="M89" s="47">
        <f t="shared" si="49"/>
        <v>0.97370082053439933</v>
      </c>
      <c r="N89" s="47">
        <f t="shared" si="49"/>
        <v>0.99325005888015749</v>
      </c>
      <c r="O89" s="47">
        <f t="shared" si="49"/>
        <v>0.97257731726040875</v>
      </c>
      <c r="P89" s="47">
        <f t="shared" si="49"/>
        <v>0.98917920540615678</v>
      </c>
      <c r="Q89" s="47">
        <f t="shared" si="49"/>
        <v>0.99553160437939037</v>
      </c>
      <c r="R89" s="47">
        <f t="shared" si="49"/>
        <v>0.99705487806965065</v>
      </c>
      <c r="S89" s="47">
        <f t="shared" si="49"/>
        <v>0.98674282000738256</v>
      </c>
      <c r="T89" s="47">
        <f t="shared" si="49"/>
        <v>0.99412952533622001</v>
      </c>
      <c r="U89" s="47">
        <f t="shared" si="49"/>
        <v>0.99736601313457018</v>
      </c>
      <c r="V89" s="47">
        <f t="shared" si="49"/>
        <v>0.99802649379403985</v>
      </c>
      <c r="W89" s="47">
        <f t="shared" si="49"/>
        <v>0.99840745543506382</v>
      </c>
    </row>
    <row r="90" spans="3:23" s="5" customFormat="1" ht="4.95" customHeight="1" x14ac:dyDescent="0.25">
      <c r="C90" s="21"/>
      <c r="G90" s="19"/>
      <c r="H90" s="19"/>
      <c r="J90" s="59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 spans="3:23" s="5" customFormat="1" x14ac:dyDescent="0.25">
      <c r="C91" s="15" t="s">
        <v>134</v>
      </c>
      <c r="F91" s="19"/>
      <c r="G91" s="102">
        <v>0.5</v>
      </c>
      <c r="H91" s="106" t="s">
        <v>129</v>
      </c>
      <c r="J91" s="10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spans="3:23" s="5" customFormat="1" x14ac:dyDescent="0.25">
      <c r="C92" s="15" t="s">
        <v>133</v>
      </c>
      <c r="F92" s="19"/>
      <c r="G92" s="102">
        <v>0.4</v>
      </c>
      <c r="H92" s="17">
        <v>1000</v>
      </c>
      <c r="I92" s="5" t="s">
        <v>126</v>
      </c>
      <c r="J92" s="10"/>
      <c r="K92" s="49">
        <f>+$H$92/1000</f>
        <v>1</v>
      </c>
      <c r="L92" s="49">
        <f t="shared" ref="L92:W92" si="50">+$H$92/1000</f>
        <v>1</v>
      </c>
      <c r="M92" s="49">
        <f t="shared" si="50"/>
        <v>1</v>
      </c>
      <c r="N92" s="49">
        <f t="shared" si="50"/>
        <v>1</v>
      </c>
      <c r="O92" s="49">
        <f t="shared" si="50"/>
        <v>1</v>
      </c>
      <c r="P92" s="49">
        <f t="shared" si="50"/>
        <v>1</v>
      </c>
      <c r="Q92" s="49">
        <f t="shared" si="50"/>
        <v>1</v>
      </c>
      <c r="R92" s="49">
        <f t="shared" si="50"/>
        <v>1</v>
      </c>
      <c r="S92" s="49">
        <f t="shared" si="50"/>
        <v>1</v>
      </c>
      <c r="T92" s="49">
        <f t="shared" si="50"/>
        <v>1</v>
      </c>
      <c r="U92" s="49">
        <f t="shared" si="50"/>
        <v>1</v>
      </c>
      <c r="V92" s="49">
        <f t="shared" si="50"/>
        <v>1</v>
      </c>
      <c r="W92" s="49">
        <f t="shared" si="50"/>
        <v>1</v>
      </c>
    </row>
    <row r="93" spans="3:23" s="5" customFormat="1" x14ac:dyDescent="0.25">
      <c r="C93" s="15" t="s">
        <v>124</v>
      </c>
      <c r="G93" s="102">
        <v>0.4</v>
      </c>
      <c r="H93" s="106" t="s">
        <v>129</v>
      </c>
      <c r="I93" s="5" t="s">
        <v>132</v>
      </c>
      <c r="J93" s="10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spans="3:23" s="5" customFormat="1" x14ac:dyDescent="0.25">
      <c r="C94" s="15" t="s">
        <v>125</v>
      </c>
      <c r="G94" s="102">
        <v>0.5</v>
      </c>
      <c r="H94" s="106" t="s">
        <v>129</v>
      </c>
      <c r="I94" s="5" t="s">
        <v>131</v>
      </c>
      <c r="J94" s="10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spans="3:23" s="5" customFormat="1" x14ac:dyDescent="0.25">
      <c r="C95" s="15" t="s">
        <v>127</v>
      </c>
      <c r="G95" s="102">
        <v>0.1</v>
      </c>
      <c r="H95" s="64">
        <v>500</v>
      </c>
      <c r="I95" s="5" t="s">
        <v>128</v>
      </c>
      <c r="J95" s="10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spans="3:23" s="5" customFormat="1" ht="4.95" customHeight="1" x14ac:dyDescent="0.25">
      <c r="C96" s="21"/>
      <c r="G96" s="103"/>
      <c r="H96" s="48"/>
      <c r="J96" s="59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 spans="3:23" s="69" customFormat="1" hidden="1" outlineLevel="1" x14ac:dyDescent="0.25">
      <c r="C97" s="72" t="s">
        <v>122</v>
      </c>
      <c r="F97" s="85"/>
      <c r="G97" s="104">
        <v>10</v>
      </c>
      <c r="H97" s="78">
        <v>2000</v>
      </c>
      <c r="I97" s="69" t="s">
        <v>115</v>
      </c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</row>
    <row r="98" spans="3:23" s="69" customFormat="1" hidden="1" outlineLevel="1" x14ac:dyDescent="0.25">
      <c r="C98" s="72" t="s">
        <v>64</v>
      </c>
      <c r="G98" s="104">
        <v>10</v>
      </c>
      <c r="H98" s="78">
        <v>2000</v>
      </c>
      <c r="I98" s="69" t="s">
        <v>115</v>
      </c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</row>
    <row r="99" spans="3:23" s="69" customFormat="1" hidden="1" outlineLevel="1" x14ac:dyDescent="0.25">
      <c r="C99" s="72" t="s">
        <v>117</v>
      </c>
      <c r="G99" s="104">
        <v>10</v>
      </c>
      <c r="H99" s="78">
        <v>1000</v>
      </c>
      <c r="I99" s="69" t="s">
        <v>118</v>
      </c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</row>
    <row r="100" spans="3:23" s="69" customFormat="1" hidden="1" outlineLevel="1" x14ac:dyDescent="0.25">
      <c r="C100" s="72" t="s">
        <v>63</v>
      </c>
      <c r="G100" s="104">
        <v>10</v>
      </c>
      <c r="H100" s="100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</row>
    <row r="101" spans="3:23" s="69" customFormat="1" hidden="1" outlineLevel="1" x14ac:dyDescent="0.25">
      <c r="C101" s="72" t="s">
        <v>62</v>
      </c>
      <c r="G101" s="104">
        <v>10</v>
      </c>
      <c r="H101" s="100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</row>
    <row r="102" spans="3:23" s="66" customFormat="1" ht="4.95" hidden="1" customHeight="1" outlineLevel="1" x14ac:dyDescent="0.25">
      <c r="C102" s="72"/>
      <c r="G102" s="105"/>
      <c r="H102" s="74"/>
      <c r="J102" s="79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</row>
    <row r="103" spans="3:23" ht="13.6" customHeight="1" collapsed="1" x14ac:dyDescent="0.25">
      <c r="C103" s="15" t="s">
        <v>58</v>
      </c>
      <c r="G103" s="102">
        <v>10</v>
      </c>
      <c r="J103" s="10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3:23" ht="13.6" customHeight="1" x14ac:dyDescent="0.25">
      <c r="C104" s="15" t="s">
        <v>61</v>
      </c>
      <c r="G104" s="102">
        <v>10</v>
      </c>
      <c r="H104" s="25"/>
      <c r="J104" s="10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3:23" x14ac:dyDescent="0.25">
      <c r="C105" s="15" t="s">
        <v>59</v>
      </c>
      <c r="G105" s="102">
        <v>10</v>
      </c>
      <c r="J105" s="10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3:23" x14ac:dyDescent="0.25">
      <c r="C106" s="15" t="s">
        <v>116</v>
      </c>
      <c r="G106" s="102">
        <v>10</v>
      </c>
      <c r="J106" s="10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3:23" x14ac:dyDescent="0.25">
      <c r="C107" s="15" t="s">
        <v>60</v>
      </c>
      <c r="G107" s="102">
        <v>10</v>
      </c>
      <c r="J107" s="10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3:23" x14ac:dyDescent="0.25">
      <c r="C108" s="1" t="s">
        <v>75</v>
      </c>
      <c r="J108" s="10"/>
      <c r="K108" s="49">
        <f t="shared" ref="K108:W108" si="51">-SUM(K92:K93,K98:K101,K103:K107)</f>
        <v>-1</v>
      </c>
      <c r="L108" s="49">
        <f t="shared" si="51"/>
        <v>-1</v>
      </c>
      <c r="M108" s="49">
        <f t="shared" si="51"/>
        <v>-1</v>
      </c>
      <c r="N108" s="49">
        <f t="shared" si="51"/>
        <v>-1</v>
      </c>
      <c r="O108" s="49">
        <f t="shared" si="51"/>
        <v>-1</v>
      </c>
      <c r="P108" s="49">
        <f t="shared" si="51"/>
        <v>-1</v>
      </c>
      <c r="Q108" s="49">
        <f t="shared" si="51"/>
        <v>-1</v>
      </c>
      <c r="R108" s="49">
        <f t="shared" si="51"/>
        <v>-1</v>
      </c>
      <c r="S108" s="49">
        <f t="shared" si="51"/>
        <v>-1</v>
      </c>
      <c r="T108" s="49">
        <f t="shared" si="51"/>
        <v>-1</v>
      </c>
      <c r="U108" s="49">
        <f t="shared" si="51"/>
        <v>-1</v>
      </c>
      <c r="V108" s="49">
        <f t="shared" si="51"/>
        <v>-1</v>
      </c>
      <c r="W108" s="49">
        <f t="shared" si="51"/>
        <v>-1</v>
      </c>
    </row>
    <row r="109" spans="3:23" ht="4.95" customHeight="1" x14ac:dyDescent="0.25"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3:23" x14ac:dyDescent="0.25">
      <c r="C110" s="15" t="s">
        <v>5</v>
      </c>
      <c r="H110" s="17">
        <v>30</v>
      </c>
      <c r="I110" s="5" t="s">
        <v>114</v>
      </c>
      <c r="J110" s="63">
        <f>+H110/1000</f>
        <v>0.03</v>
      </c>
      <c r="K110" s="49">
        <f t="shared" ref="K110:W110" si="52">+$H$111*3/1000*(K$52=3)</f>
        <v>0</v>
      </c>
      <c r="L110" s="49">
        <f t="shared" si="52"/>
        <v>0</v>
      </c>
      <c r="M110" s="49">
        <f t="shared" si="52"/>
        <v>0</v>
      </c>
      <c r="N110" s="49">
        <f t="shared" si="52"/>
        <v>4.3200000000000002E-2</v>
      </c>
      <c r="O110" s="49">
        <f t="shared" si="52"/>
        <v>0</v>
      </c>
      <c r="P110" s="49">
        <f t="shared" si="52"/>
        <v>0</v>
      </c>
      <c r="Q110" s="49">
        <f t="shared" si="52"/>
        <v>0</v>
      </c>
      <c r="R110" s="49">
        <f t="shared" si="52"/>
        <v>4.3200000000000002E-2</v>
      </c>
      <c r="S110" s="49">
        <f t="shared" si="52"/>
        <v>0</v>
      </c>
      <c r="T110" s="49">
        <f t="shared" si="52"/>
        <v>0</v>
      </c>
      <c r="U110" s="49">
        <f t="shared" si="52"/>
        <v>0</v>
      </c>
      <c r="V110" s="49">
        <f t="shared" si="52"/>
        <v>4.3200000000000002E-2</v>
      </c>
      <c r="W110" s="49">
        <f t="shared" si="52"/>
        <v>0</v>
      </c>
    </row>
    <row r="111" spans="3:23" x14ac:dyDescent="0.25">
      <c r="C111" s="15" t="s">
        <v>6</v>
      </c>
      <c r="H111" s="17">
        <v>14.4</v>
      </c>
      <c r="I111" s="5" t="s">
        <v>115</v>
      </c>
      <c r="J111" s="63">
        <f>+H111/1000</f>
        <v>1.44E-2</v>
      </c>
      <c r="K111" s="49">
        <f>+$H111*3/1000</f>
        <v>4.3200000000000002E-2</v>
      </c>
      <c r="L111" s="49">
        <f t="shared" ref="L111:W112" si="53">+$H111*3/1000</f>
        <v>4.3200000000000002E-2</v>
      </c>
      <c r="M111" s="49">
        <f t="shared" si="53"/>
        <v>4.3200000000000002E-2</v>
      </c>
      <c r="N111" s="49">
        <f t="shared" si="53"/>
        <v>4.3200000000000002E-2</v>
      </c>
      <c r="O111" s="49">
        <f t="shared" si="53"/>
        <v>4.3200000000000002E-2</v>
      </c>
      <c r="P111" s="49">
        <f t="shared" si="53"/>
        <v>4.3200000000000002E-2</v>
      </c>
      <c r="Q111" s="49">
        <f t="shared" si="53"/>
        <v>4.3200000000000002E-2</v>
      </c>
      <c r="R111" s="49">
        <f t="shared" si="53"/>
        <v>4.3200000000000002E-2</v>
      </c>
      <c r="S111" s="49">
        <f t="shared" si="53"/>
        <v>4.3200000000000002E-2</v>
      </c>
      <c r="T111" s="49">
        <f t="shared" si="53"/>
        <v>4.3200000000000002E-2</v>
      </c>
      <c r="U111" s="49">
        <f t="shared" si="53"/>
        <v>4.3200000000000002E-2</v>
      </c>
      <c r="V111" s="49">
        <f t="shared" si="53"/>
        <v>4.3200000000000002E-2</v>
      </c>
      <c r="W111" s="49">
        <f t="shared" si="53"/>
        <v>4.3200000000000002E-2</v>
      </c>
    </row>
    <row r="112" spans="3:23" x14ac:dyDescent="0.25">
      <c r="C112" s="15" t="s">
        <v>11</v>
      </c>
      <c r="H112" s="17">
        <v>50</v>
      </c>
      <c r="I112" s="5" t="s">
        <v>115</v>
      </c>
      <c r="J112" s="63">
        <f>+H112/1000</f>
        <v>0.05</v>
      </c>
      <c r="K112" s="49">
        <f>+$H112*3/1000</f>
        <v>0.15</v>
      </c>
      <c r="L112" s="49">
        <f t="shared" si="53"/>
        <v>0.15</v>
      </c>
      <c r="M112" s="49">
        <f t="shared" si="53"/>
        <v>0.15</v>
      </c>
      <c r="N112" s="49">
        <f t="shared" si="53"/>
        <v>0.15</v>
      </c>
      <c r="O112" s="49">
        <f t="shared" si="53"/>
        <v>0.15</v>
      </c>
      <c r="P112" s="49">
        <f t="shared" si="53"/>
        <v>0.15</v>
      </c>
      <c r="Q112" s="49">
        <f t="shared" si="53"/>
        <v>0.15</v>
      </c>
      <c r="R112" s="49">
        <f t="shared" si="53"/>
        <v>0.15</v>
      </c>
      <c r="S112" s="49">
        <f t="shared" si="53"/>
        <v>0.15</v>
      </c>
      <c r="T112" s="49">
        <f t="shared" si="53"/>
        <v>0.15</v>
      </c>
      <c r="U112" s="49">
        <f t="shared" si="53"/>
        <v>0.15</v>
      </c>
      <c r="V112" s="49">
        <f t="shared" si="53"/>
        <v>0.15</v>
      </c>
      <c r="W112" s="49">
        <f t="shared" si="53"/>
        <v>0.15</v>
      </c>
    </row>
    <row r="113" spans="3:23" x14ac:dyDescent="0.25">
      <c r="C113" s="15" t="s">
        <v>71</v>
      </c>
      <c r="J113" s="10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3:23" x14ac:dyDescent="0.25">
      <c r="C114" s="15" t="s">
        <v>72</v>
      </c>
      <c r="J114" s="10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3:23" x14ac:dyDescent="0.25">
      <c r="C115" s="1" t="s">
        <v>74</v>
      </c>
      <c r="J115" s="10"/>
      <c r="K115" s="49">
        <f>-SUM(K110:K114)</f>
        <v>-0.19319999999999998</v>
      </c>
      <c r="L115" s="49">
        <f t="shared" ref="L115:W115" si="54">-SUM(L110:L114)</f>
        <v>-0.19319999999999998</v>
      </c>
      <c r="M115" s="49">
        <f t="shared" si="54"/>
        <v>-0.19319999999999998</v>
      </c>
      <c r="N115" s="49">
        <f t="shared" si="54"/>
        <v>-0.2364</v>
      </c>
      <c r="O115" s="49">
        <f t="shared" si="54"/>
        <v>-0.19319999999999998</v>
      </c>
      <c r="P115" s="49">
        <f t="shared" si="54"/>
        <v>-0.19319999999999998</v>
      </c>
      <c r="Q115" s="49">
        <f t="shared" si="54"/>
        <v>-0.19319999999999998</v>
      </c>
      <c r="R115" s="49">
        <f t="shared" si="54"/>
        <v>-0.2364</v>
      </c>
      <c r="S115" s="49">
        <f t="shared" si="54"/>
        <v>-0.19319999999999998</v>
      </c>
      <c r="T115" s="49">
        <f t="shared" si="54"/>
        <v>-0.19319999999999998</v>
      </c>
      <c r="U115" s="49">
        <f t="shared" si="54"/>
        <v>-0.19319999999999998</v>
      </c>
      <c r="V115" s="49">
        <f t="shared" si="54"/>
        <v>-0.2364</v>
      </c>
      <c r="W115" s="49">
        <f t="shared" si="54"/>
        <v>-0.19319999999999998</v>
      </c>
    </row>
    <row r="116" spans="3:23" hidden="1" x14ac:dyDescent="0.25">
      <c r="D116" s="1" t="s">
        <v>7</v>
      </c>
      <c r="J116" s="10"/>
      <c r="K116" s="10">
        <v>1500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3:23" ht="4.95" customHeight="1" x14ac:dyDescent="0.25"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3:23" x14ac:dyDescent="0.25">
      <c r="C118" s="15" t="s">
        <v>76</v>
      </c>
      <c r="J118" s="63">
        <v>0.12463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3:23" x14ac:dyDescent="0.25">
      <c r="C119" s="15" t="s">
        <v>77</v>
      </c>
      <c r="J119" s="10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3:23" x14ac:dyDescent="0.25">
      <c r="C120" s="15" t="s">
        <v>70</v>
      </c>
      <c r="J120" s="10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3:23" x14ac:dyDescent="0.25">
      <c r="C121" s="1" t="s">
        <v>73</v>
      </c>
      <c r="J121" s="10"/>
      <c r="K121" s="10">
        <f t="shared" ref="K121:W121" si="55">+K118+K119+K120</f>
        <v>0</v>
      </c>
      <c r="L121" s="10">
        <f t="shared" si="55"/>
        <v>0</v>
      </c>
      <c r="M121" s="10">
        <f t="shared" si="55"/>
        <v>0</v>
      </c>
      <c r="N121" s="10">
        <f t="shared" si="55"/>
        <v>0</v>
      </c>
      <c r="O121" s="10">
        <f t="shared" si="55"/>
        <v>0</v>
      </c>
      <c r="P121" s="10">
        <f t="shared" si="55"/>
        <v>0</v>
      </c>
      <c r="Q121" s="10">
        <f t="shared" si="55"/>
        <v>0</v>
      </c>
      <c r="R121" s="10">
        <f t="shared" si="55"/>
        <v>0</v>
      </c>
      <c r="S121" s="10">
        <f t="shared" si="55"/>
        <v>0</v>
      </c>
      <c r="T121" s="10">
        <f t="shared" si="55"/>
        <v>0</v>
      </c>
      <c r="U121" s="10">
        <f t="shared" si="55"/>
        <v>0</v>
      </c>
      <c r="V121" s="10">
        <f t="shared" si="55"/>
        <v>0</v>
      </c>
      <c r="W121" s="10">
        <f t="shared" si="55"/>
        <v>0</v>
      </c>
    </row>
    <row r="122" spans="3:23" ht="4.95" customHeight="1" x14ac:dyDescent="0.25"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3:23" x14ac:dyDescent="0.25">
      <c r="C123" s="15" t="s">
        <v>79</v>
      </c>
      <c r="J123" s="10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3:23" x14ac:dyDescent="0.25">
      <c r="C124" s="15" t="s">
        <v>80</v>
      </c>
      <c r="J124" s="10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3:23" x14ac:dyDescent="0.25">
      <c r="C125" s="1" t="s">
        <v>78</v>
      </c>
      <c r="J125" s="10"/>
      <c r="K125" s="10">
        <f t="shared" ref="K125:W125" si="56">+K123+K124</f>
        <v>0</v>
      </c>
      <c r="L125" s="10">
        <f t="shared" si="56"/>
        <v>0</v>
      </c>
      <c r="M125" s="10">
        <f t="shared" si="56"/>
        <v>0</v>
      </c>
      <c r="N125" s="10">
        <f t="shared" si="56"/>
        <v>0</v>
      </c>
      <c r="O125" s="10">
        <f t="shared" si="56"/>
        <v>0</v>
      </c>
      <c r="P125" s="10">
        <f t="shared" si="56"/>
        <v>0</v>
      </c>
      <c r="Q125" s="10">
        <f t="shared" si="56"/>
        <v>0</v>
      </c>
      <c r="R125" s="10">
        <f t="shared" si="56"/>
        <v>0</v>
      </c>
      <c r="S125" s="10">
        <f t="shared" si="56"/>
        <v>0</v>
      </c>
      <c r="T125" s="10">
        <f t="shared" si="56"/>
        <v>0</v>
      </c>
      <c r="U125" s="10">
        <f t="shared" si="56"/>
        <v>0</v>
      </c>
      <c r="V125" s="10">
        <f t="shared" si="56"/>
        <v>0</v>
      </c>
      <c r="W125" s="10">
        <f t="shared" si="56"/>
        <v>0</v>
      </c>
    </row>
    <row r="126" spans="3:23" ht="4.95" customHeight="1" x14ac:dyDescent="0.25"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3:23" x14ac:dyDescent="0.25">
      <c r="C127" s="1" t="s">
        <v>97</v>
      </c>
      <c r="J127" s="10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3:23" ht="4.95" customHeight="1" x14ac:dyDescent="0.25"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3:23" x14ac:dyDescent="0.25">
      <c r="C129" s="8" t="s">
        <v>65</v>
      </c>
      <c r="D129" s="8"/>
      <c r="E129" s="8"/>
      <c r="F129" s="8"/>
      <c r="G129" s="8"/>
      <c r="H129" s="8"/>
      <c r="I129" s="8"/>
      <c r="J129" s="54"/>
      <c r="K129" s="50">
        <f>+K108+K115+K121+K125+K127</f>
        <v>-1.1932</v>
      </c>
      <c r="L129" s="50">
        <f t="shared" ref="L129:W129" si="57">+L108+L115+L121+L125+L127</f>
        <v>-1.1932</v>
      </c>
      <c r="M129" s="50">
        <f t="shared" si="57"/>
        <v>-1.1932</v>
      </c>
      <c r="N129" s="50">
        <f t="shared" si="57"/>
        <v>-1.2363999999999999</v>
      </c>
      <c r="O129" s="50">
        <f t="shared" si="57"/>
        <v>-1.1932</v>
      </c>
      <c r="P129" s="50">
        <f t="shared" si="57"/>
        <v>-1.1932</v>
      </c>
      <c r="Q129" s="50">
        <f t="shared" si="57"/>
        <v>-1.1932</v>
      </c>
      <c r="R129" s="50">
        <f t="shared" si="57"/>
        <v>-1.2363999999999999</v>
      </c>
      <c r="S129" s="50">
        <f t="shared" si="57"/>
        <v>-1.1932</v>
      </c>
      <c r="T129" s="50">
        <f t="shared" si="57"/>
        <v>-1.1932</v>
      </c>
      <c r="U129" s="50">
        <f t="shared" si="57"/>
        <v>-1.1932</v>
      </c>
      <c r="V129" s="50">
        <f t="shared" si="57"/>
        <v>-1.2363999999999999</v>
      </c>
      <c r="W129" s="50">
        <f t="shared" si="57"/>
        <v>-1.1932</v>
      </c>
    </row>
    <row r="130" spans="3:23" ht="4.95" customHeight="1" x14ac:dyDescent="0.25"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3:23" s="4" customFormat="1" x14ac:dyDescent="0.25">
      <c r="C131" s="9" t="s">
        <v>94</v>
      </c>
      <c r="D131" s="9"/>
      <c r="E131" s="9"/>
      <c r="F131" s="9"/>
      <c r="G131" s="9"/>
      <c r="H131" s="60"/>
      <c r="I131" s="61"/>
      <c r="J131" s="51"/>
      <c r="K131" s="51">
        <f t="shared" ref="K131:W131" si="58">+K88+K129</f>
        <v>-1.1932</v>
      </c>
      <c r="L131" s="51">
        <f t="shared" si="58"/>
        <v>10.973799999999997</v>
      </c>
      <c r="M131" s="51">
        <f t="shared" si="58"/>
        <v>38.723300000000009</v>
      </c>
      <c r="N131" s="51">
        <f t="shared" si="58"/>
        <v>173.90822150000002</v>
      </c>
      <c r="O131" s="51">
        <f t="shared" si="58"/>
        <v>37.808495375</v>
      </c>
      <c r="P131" s="51">
        <f t="shared" si="58"/>
        <v>99.334353499999992</v>
      </c>
      <c r="Q131" s="51">
        <f t="shared" si="58"/>
        <v>243.81054500000002</v>
      </c>
      <c r="R131" s="51">
        <f t="shared" si="58"/>
        <v>439.55871599000005</v>
      </c>
      <c r="S131" s="51">
        <f t="shared" si="58"/>
        <v>82.294458792500009</v>
      </c>
      <c r="T131" s="51">
        <f t="shared" si="58"/>
        <v>188.75676359000002</v>
      </c>
      <c r="U131" s="51">
        <f t="shared" si="58"/>
        <v>423.53433794</v>
      </c>
      <c r="V131" s="51">
        <f t="shared" si="58"/>
        <v>715.76517241100009</v>
      </c>
      <c r="W131" s="51">
        <f t="shared" si="58"/>
        <v>716.08206263600005</v>
      </c>
    </row>
    <row r="132" spans="3:23" s="5" customFormat="1" x14ac:dyDescent="0.25">
      <c r="C132" s="21" t="s">
        <v>95</v>
      </c>
      <c r="J132" s="18"/>
      <c r="K132" s="47" t="str">
        <f t="shared" ref="K132:W132" si="59">+IFERROR(K131/K$78,"na")</f>
        <v>na</v>
      </c>
      <c r="L132" s="47">
        <f t="shared" si="59"/>
        <v>0.7026829736825253</v>
      </c>
      <c r="M132" s="47">
        <f t="shared" si="59"/>
        <v>0.94459456575099787</v>
      </c>
      <c r="N132" s="47">
        <f t="shared" si="59"/>
        <v>0.98623839981645378</v>
      </c>
      <c r="O132" s="47">
        <f t="shared" si="59"/>
        <v>0.94282273239436265</v>
      </c>
      <c r="P132" s="47">
        <f t="shared" si="59"/>
        <v>0.97743825890146907</v>
      </c>
      <c r="Q132" s="47">
        <f t="shared" si="59"/>
        <v>0.9906832364071152</v>
      </c>
      <c r="R132" s="47">
        <f t="shared" si="59"/>
        <v>0.99425820767443407</v>
      </c>
      <c r="S132" s="47">
        <f t="shared" si="59"/>
        <v>0.97264035804041005</v>
      </c>
      <c r="T132" s="47">
        <f t="shared" si="59"/>
        <v>0.98788474735778598</v>
      </c>
      <c r="U132" s="47">
        <f t="shared" si="59"/>
        <v>0.99456408243649463</v>
      </c>
      <c r="V132" s="47">
        <f t="shared" si="59"/>
        <v>0.99630549344423913</v>
      </c>
      <c r="W132" s="47">
        <f t="shared" si="59"/>
        <v>0.99674658709360286</v>
      </c>
    </row>
    <row r="133" spans="3:23" ht="4.95" customHeight="1" x14ac:dyDescent="0.25"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3:23" x14ac:dyDescent="0.25">
      <c r="C134" s="1" t="s">
        <v>111</v>
      </c>
      <c r="J134" s="10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3:23" ht="4.95" customHeight="1" x14ac:dyDescent="0.25"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3:23" x14ac:dyDescent="0.25">
      <c r="C136" s="8" t="s">
        <v>107</v>
      </c>
      <c r="D136" s="8"/>
      <c r="E136" s="8"/>
      <c r="F136" s="8"/>
      <c r="G136" s="8"/>
      <c r="H136" s="44"/>
      <c r="I136" s="45"/>
      <c r="J136" s="50"/>
      <c r="K136" s="50">
        <f>+K131+K134</f>
        <v>-1.1932</v>
      </c>
      <c r="L136" s="50">
        <f t="shared" ref="L136:W136" si="60">+L131+L134</f>
        <v>10.973799999999997</v>
      </c>
      <c r="M136" s="50">
        <f t="shared" si="60"/>
        <v>38.723300000000009</v>
      </c>
      <c r="N136" s="50">
        <f t="shared" si="60"/>
        <v>173.90822150000002</v>
      </c>
      <c r="O136" s="50">
        <f t="shared" si="60"/>
        <v>37.808495375</v>
      </c>
      <c r="P136" s="50">
        <f t="shared" si="60"/>
        <v>99.334353499999992</v>
      </c>
      <c r="Q136" s="50">
        <f t="shared" si="60"/>
        <v>243.81054500000002</v>
      </c>
      <c r="R136" s="50">
        <f t="shared" si="60"/>
        <v>439.55871599000005</v>
      </c>
      <c r="S136" s="50">
        <f t="shared" si="60"/>
        <v>82.294458792500009</v>
      </c>
      <c r="T136" s="50">
        <f t="shared" si="60"/>
        <v>188.75676359000002</v>
      </c>
      <c r="U136" s="50">
        <f t="shared" si="60"/>
        <v>423.53433794</v>
      </c>
      <c r="V136" s="50">
        <f t="shared" si="60"/>
        <v>715.76517241100009</v>
      </c>
      <c r="W136" s="50">
        <f t="shared" si="60"/>
        <v>716.08206263600005</v>
      </c>
    </row>
    <row r="137" spans="3:23" x14ac:dyDescent="0.25">
      <c r="C137" s="1" t="s">
        <v>112</v>
      </c>
      <c r="H137" s="24">
        <v>0.3</v>
      </c>
      <c r="I137" s="5" t="s">
        <v>106</v>
      </c>
      <c r="J137" s="10"/>
      <c r="K137" s="49">
        <f>-$H$137*K136</f>
        <v>0.35796</v>
      </c>
      <c r="L137" s="49">
        <f>-$H$137*L136</f>
        <v>-3.292139999999999</v>
      </c>
      <c r="M137" s="49">
        <f t="shared" ref="M137:W137" si="61">-$H$137*M136</f>
        <v>-11.616990000000003</v>
      </c>
      <c r="N137" s="49">
        <f t="shared" si="61"/>
        <v>-52.172466450000009</v>
      </c>
      <c r="O137" s="49">
        <f t="shared" si="61"/>
        <v>-11.3425486125</v>
      </c>
      <c r="P137" s="49">
        <f t="shared" si="61"/>
        <v>-29.800306049999996</v>
      </c>
      <c r="Q137" s="49">
        <f t="shared" si="61"/>
        <v>-73.1431635</v>
      </c>
      <c r="R137" s="49">
        <f t="shared" si="61"/>
        <v>-131.86761479700002</v>
      </c>
      <c r="S137" s="49">
        <f t="shared" si="61"/>
        <v>-24.688337637750003</v>
      </c>
      <c r="T137" s="49">
        <f t="shared" si="61"/>
        <v>-56.627029077000003</v>
      </c>
      <c r="U137" s="49">
        <f t="shared" si="61"/>
        <v>-127.06030138199999</v>
      </c>
      <c r="V137" s="49">
        <f t="shared" si="61"/>
        <v>-214.72955172330003</v>
      </c>
      <c r="W137" s="49">
        <f t="shared" si="61"/>
        <v>-214.8246187908</v>
      </c>
    </row>
    <row r="138" spans="3:23" ht="4.95" customHeight="1" x14ac:dyDescent="0.25"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3:23" x14ac:dyDescent="0.25">
      <c r="C139" s="9" t="s">
        <v>96</v>
      </c>
      <c r="D139" s="9"/>
      <c r="E139" s="9"/>
      <c r="F139" s="9"/>
      <c r="G139" s="9"/>
      <c r="H139" s="60"/>
      <c r="I139" s="61"/>
      <c r="J139" s="51"/>
      <c r="K139" s="51">
        <f>+K136+K137</f>
        <v>-0.83523999999999998</v>
      </c>
      <c r="L139" s="51">
        <f t="shared" ref="L139:W139" si="62">+L136+L137</f>
        <v>7.6816599999999982</v>
      </c>
      <c r="M139" s="51">
        <f t="shared" si="62"/>
        <v>27.106310000000008</v>
      </c>
      <c r="N139" s="51">
        <f t="shared" si="62"/>
        <v>121.73575505000002</v>
      </c>
      <c r="O139" s="51">
        <f t="shared" si="62"/>
        <v>26.4659467625</v>
      </c>
      <c r="P139" s="51">
        <f t="shared" si="62"/>
        <v>69.534047450000003</v>
      </c>
      <c r="Q139" s="51">
        <f t="shared" si="62"/>
        <v>170.66738150000003</v>
      </c>
      <c r="R139" s="51">
        <f t="shared" si="62"/>
        <v>307.69110119300001</v>
      </c>
      <c r="S139" s="51">
        <f t="shared" si="62"/>
        <v>57.606121154750006</v>
      </c>
      <c r="T139" s="51">
        <f>+T136+T137</f>
        <v>132.12973451300002</v>
      </c>
      <c r="U139" s="51">
        <f t="shared" si="62"/>
        <v>296.47403655800002</v>
      </c>
      <c r="V139" s="51">
        <f t="shared" si="62"/>
        <v>501.03562068770009</v>
      </c>
      <c r="W139" s="51">
        <f t="shared" si="62"/>
        <v>501.25744384520004</v>
      </c>
    </row>
    <row r="140" spans="3:23" x14ac:dyDescent="0.25"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3:23" s="14" customFormat="1" x14ac:dyDescent="0.25">
      <c r="C141" s="13" t="s">
        <v>99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3:23" x14ac:dyDescent="0.25">
      <c r="C142" s="1" t="s">
        <v>1</v>
      </c>
      <c r="J142" s="6">
        <f>+J$5</f>
        <v>45199</v>
      </c>
      <c r="K142" s="6">
        <f t="shared" ref="K142:W142" si="63">+K$5</f>
        <v>45291</v>
      </c>
      <c r="L142" s="6">
        <f t="shared" si="63"/>
        <v>45382</v>
      </c>
      <c r="M142" s="6">
        <f t="shared" si="63"/>
        <v>45473</v>
      </c>
      <c r="N142" s="6">
        <f t="shared" si="63"/>
        <v>45565</v>
      </c>
      <c r="O142" s="6">
        <f t="shared" si="63"/>
        <v>45657</v>
      </c>
      <c r="P142" s="6">
        <f t="shared" si="63"/>
        <v>45747</v>
      </c>
      <c r="Q142" s="6">
        <f t="shared" si="63"/>
        <v>45838</v>
      </c>
      <c r="R142" s="6">
        <f t="shared" si="63"/>
        <v>45930</v>
      </c>
      <c r="S142" s="6">
        <f t="shared" si="63"/>
        <v>46022</v>
      </c>
      <c r="T142" s="6">
        <f t="shared" si="63"/>
        <v>46112</v>
      </c>
      <c r="U142" s="6">
        <f t="shared" si="63"/>
        <v>46203</v>
      </c>
      <c r="V142" s="6">
        <f t="shared" si="63"/>
        <v>46295</v>
      </c>
      <c r="W142" s="6">
        <f t="shared" si="63"/>
        <v>46387</v>
      </c>
    </row>
    <row r="143" spans="3:23" x14ac:dyDescent="0.25">
      <c r="C143" s="1" t="s">
        <v>2</v>
      </c>
      <c r="J143" s="10">
        <f>+J$6</f>
        <v>0</v>
      </c>
      <c r="K143" s="10">
        <f t="shared" ref="K143:W143" si="64">+K$6</f>
        <v>1</v>
      </c>
      <c r="L143" s="10">
        <f t="shared" si="64"/>
        <v>2</v>
      </c>
      <c r="M143" s="10">
        <f t="shared" si="64"/>
        <v>3</v>
      </c>
      <c r="N143" s="10">
        <f t="shared" si="64"/>
        <v>4</v>
      </c>
      <c r="O143" s="10">
        <f t="shared" si="64"/>
        <v>5</v>
      </c>
      <c r="P143" s="10">
        <f t="shared" si="64"/>
        <v>6</v>
      </c>
      <c r="Q143" s="10">
        <f t="shared" si="64"/>
        <v>7</v>
      </c>
      <c r="R143" s="10">
        <f t="shared" si="64"/>
        <v>8</v>
      </c>
      <c r="S143" s="10">
        <f t="shared" si="64"/>
        <v>9</v>
      </c>
      <c r="T143" s="10">
        <f t="shared" si="64"/>
        <v>10</v>
      </c>
      <c r="U143" s="10">
        <f t="shared" si="64"/>
        <v>11</v>
      </c>
      <c r="V143" s="10">
        <f t="shared" si="64"/>
        <v>12</v>
      </c>
      <c r="W143" s="10">
        <f t="shared" si="64"/>
        <v>13</v>
      </c>
    </row>
    <row r="144" spans="3:23" x14ac:dyDescent="0.25">
      <c r="C144" s="11" t="s">
        <v>4</v>
      </c>
      <c r="D144" s="11"/>
      <c r="E144" s="11"/>
      <c r="F144" s="11"/>
      <c r="G144" s="11"/>
      <c r="H144" s="11"/>
      <c r="I144" s="11"/>
      <c r="J144" s="12">
        <f>+J$7</f>
        <v>3</v>
      </c>
      <c r="K144" s="12">
        <f t="shared" ref="K144:W144" si="65">+K$7</f>
        <v>4</v>
      </c>
      <c r="L144" s="12">
        <f t="shared" si="65"/>
        <v>1</v>
      </c>
      <c r="M144" s="12">
        <f t="shared" si="65"/>
        <v>2</v>
      </c>
      <c r="N144" s="12">
        <f t="shared" si="65"/>
        <v>3</v>
      </c>
      <c r="O144" s="12">
        <f t="shared" si="65"/>
        <v>4</v>
      </c>
      <c r="P144" s="12">
        <f t="shared" si="65"/>
        <v>1</v>
      </c>
      <c r="Q144" s="12">
        <f t="shared" si="65"/>
        <v>2</v>
      </c>
      <c r="R144" s="12">
        <f t="shared" si="65"/>
        <v>3</v>
      </c>
      <c r="S144" s="12">
        <f t="shared" si="65"/>
        <v>4</v>
      </c>
      <c r="T144" s="12">
        <f t="shared" si="65"/>
        <v>1</v>
      </c>
      <c r="U144" s="12">
        <f t="shared" si="65"/>
        <v>2</v>
      </c>
      <c r="V144" s="12">
        <f t="shared" si="65"/>
        <v>3</v>
      </c>
      <c r="W144" s="12">
        <f t="shared" si="65"/>
        <v>4</v>
      </c>
    </row>
    <row r="145" spans="3:23" x14ac:dyDescent="0.25"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3:23" x14ac:dyDescent="0.25">
      <c r="C146" s="1" t="str">
        <f>+C131</f>
        <v>Operating Profit (EBIT)</v>
      </c>
      <c r="J146" s="49"/>
      <c r="K146" s="49">
        <f t="shared" ref="K146:W146" si="66">+K131</f>
        <v>-1.1932</v>
      </c>
      <c r="L146" s="49">
        <f t="shared" si="66"/>
        <v>10.973799999999997</v>
      </c>
      <c r="M146" s="49">
        <f t="shared" si="66"/>
        <v>38.723300000000009</v>
      </c>
      <c r="N146" s="49">
        <f t="shared" si="66"/>
        <v>173.90822150000002</v>
      </c>
      <c r="O146" s="49">
        <f t="shared" si="66"/>
        <v>37.808495375</v>
      </c>
      <c r="P146" s="49">
        <f t="shared" si="66"/>
        <v>99.334353499999992</v>
      </c>
      <c r="Q146" s="49">
        <f t="shared" si="66"/>
        <v>243.81054500000002</v>
      </c>
      <c r="R146" s="49">
        <f t="shared" si="66"/>
        <v>439.55871599000005</v>
      </c>
      <c r="S146" s="49">
        <f t="shared" si="66"/>
        <v>82.294458792500009</v>
      </c>
      <c r="T146" s="49">
        <f t="shared" si="66"/>
        <v>188.75676359000002</v>
      </c>
      <c r="U146" s="49">
        <f t="shared" si="66"/>
        <v>423.53433794</v>
      </c>
      <c r="V146" s="49">
        <f t="shared" si="66"/>
        <v>715.76517241100009</v>
      </c>
      <c r="W146" s="49">
        <f t="shared" si="66"/>
        <v>716.08206263600005</v>
      </c>
    </row>
    <row r="147" spans="3:23" x14ac:dyDescent="0.25">
      <c r="C147" s="1" t="s">
        <v>100</v>
      </c>
      <c r="J147" s="10"/>
      <c r="K147" s="10">
        <f>-K127</f>
        <v>0</v>
      </c>
      <c r="L147" s="10">
        <f t="shared" ref="L147:W147" si="67">-L127</f>
        <v>0</v>
      </c>
      <c r="M147" s="10">
        <f t="shared" si="67"/>
        <v>0</v>
      </c>
      <c r="N147" s="10">
        <f t="shared" si="67"/>
        <v>0</v>
      </c>
      <c r="O147" s="10">
        <f t="shared" si="67"/>
        <v>0</v>
      </c>
      <c r="P147" s="10">
        <f t="shared" si="67"/>
        <v>0</v>
      </c>
      <c r="Q147" s="10">
        <f t="shared" si="67"/>
        <v>0</v>
      </c>
      <c r="R147" s="10">
        <f t="shared" si="67"/>
        <v>0</v>
      </c>
      <c r="S147" s="10">
        <f t="shared" si="67"/>
        <v>0</v>
      </c>
      <c r="T147" s="10">
        <f t="shared" si="67"/>
        <v>0</v>
      </c>
      <c r="U147" s="10">
        <f t="shared" si="67"/>
        <v>0</v>
      </c>
      <c r="V147" s="10">
        <f t="shared" si="67"/>
        <v>0</v>
      </c>
      <c r="W147" s="10">
        <f t="shared" si="67"/>
        <v>0</v>
      </c>
    </row>
    <row r="148" spans="3:23" ht="4.95" customHeight="1" x14ac:dyDescent="0.25"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3:23" x14ac:dyDescent="0.25">
      <c r="C149" s="9" t="s">
        <v>101</v>
      </c>
      <c r="D149" s="9"/>
      <c r="E149" s="9"/>
      <c r="F149" s="9"/>
      <c r="G149" s="9"/>
      <c r="H149" s="9"/>
      <c r="I149" s="9"/>
      <c r="J149" s="62"/>
      <c r="K149" s="51">
        <f>+K146+K147</f>
        <v>-1.1932</v>
      </c>
      <c r="L149" s="51">
        <f t="shared" ref="L149:W149" si="68">+L146+L147</f>
        <v>10.973799999999997</v>
      </c>
      <c r="M149" s="51">
        <f t="shared" si="68"/>
        <v>38.723300000000009</v>
      </c>
      <c r="N149" s="51">
        <f t="shared" si="68"/>
        <v>173.90822150000002</v>
      </c>
      <c r="O149" s="51">
        <f t="shared" si="68"/>
        <v>37.808495375</v>
      </c>
      <c r="P149" s="51">
        <f t="shared" si="68"/>
        <v>99.334353499999992</v>
      </c>
      <c r="Q149" s="51">
        <f t="shared" si="68"/>
        <v>243.81054500000002</v>
      </c>
      <c r="R149" s="51">
        <f t="shared" si="68"/>
        <v>439.55871599000005</v>
      </c>
      <c r="S149" s="51">
        <f t="shared" si="68"/>
        <v>82.294458792500009</v>
      </c>
      <c r="T149" s="51">
        <f t="shared" si="68"/>
        <v>188.75676359000002</v>
      </c>
      <c r="U149" s="51">
        <f t="shared" si="68"/>
        <v>423.53433794</v>
      </c>
      <c r="V149" s="51">
        <f t="shared" si="68"/>
        <v>715.76517241100009</v>
      </c>
      <c r="W149" s="51">
        <f t="shared" si="68"/>
        <v>716.08206263600005</v>
      </c>
    </row>
    <row r="150" spans="3:23" s="5" customFormat="1" x14ac:dyDescent="0.25">
      <c r="C150" s="21" t="s">
        <v>102</v>
      </c>
      <c r="J150" s="18"/>
      <c r="K150" s="47" t="str">
        <f t="shared" ref="K150:W150" si="69">+IFERROR(K149/K$78,"na")</f>
        <v>na</v>
      </c>
      <c r="L150" s="47">
        <f t="shared" si="69"/>
        <v>0.7026829736825253</v>
      </c>
      <c r="M150" s="47">
        <f t="shared" si="69"/>
        <v>0.94459456575099787</v>
      </c>
      <c r="N150" s="47">
        <f t="shared" si="69"/>
        <v>0.98623839981645378</v>
      </c>
      <c r="O150" s="47">
        <f t="shared" si="69"/>
        <v>0.94282273239436265</v>
      </c>
      <c r="P150" s="47">
        <f t="shared" si="69"/>
        <v>0.97743825890146907</v>
      </c>
      <c r="Q150" s="47">
        <f t="shared" si="69"/>
        <v>0.9906832364071152</v>
      </c>
      <c r="R150" s="47">
        <f t="shared" si="69"/>
        <v>0.99425820767443407</v>
      </c>
      <c r="S150" s="47">
        <f t="shared" si="69"/>
        <v>0.97264035804041005</v>
      </c>
      <c r="T150" s="47">
        <f t="shared" si="69"/>
        <v>0.98788474735778598</v>
      </c>
      <c r="U150" s="47">
        <f t="shared" si="69"/>
        <v>0.99456408243649463</v>
      </c>
      <c r="V150" s="47">
        <f t="shared" si="69"/>
        <v>0.99630549344423913</v>
      </c>
      <c r="W150" s="47">
        <f t="shared" si="69"/>
        <v>0.99674658709360286</v>
      </c>
    </row>
    <row r="151" spans="3:23" ht="4.95" customHeight="1" x14ac:dyDescent="0.25"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3:23" x14ac:dyDescent="0.25">
      <c r="C152" s="1" t="s">
        <v>110</v>
      </c>
      <c r="J152" s="10"/>
      <c r="K152" s="49">
        <f>+K134</f>
        <v>0</v>
      </c>
      <c r="L152" s="49">
        <f t="shared" ref="L152:W152" si="70">+L134</f>
        <v>0</v>
      </c>
      <c r="M152" s="49">
        <f t="shared" si="70"/>
        <v>0</v>
      </c>
      <c r="N152" s="49">
        <f t="shared" si="70"/>
        <v>0</v>
      </c>
      <c r="O152" s="49">
        <f t="shared" si="70"/>
        <v>0</v>
      </c>
      <c r="P152" s="49">
        <f t="shared" si="70"/>
        <v>0</v>
      </c>
      <c r="Q152" s="49">
        <f t="shared" si="70"/>
        <v>0</v>
      </c>
      <c r="R152" s="49">
        <f t="shared" si="70"/>
        <v>0</v>
      </c>
      <c r="S152" s="49">
        <f t="shared" si="70"/>
        <v>0</v>
      </c>
      <c r="T152" s="49">
        <f t="shared" si="70"/>
        <v>0</v>
      </c>
      <c r="U152" s="49">
        <f t="shared" si="70"/>
        <v>0</v>
      </c>
      <c r="V152" s="49">
        <f t="shared" si="70"/>
        <v>0</v>
      </c>
      <c r="W152" s="49">
        <f t="shared" si="70"/>
        <v>0</v>
      </c>
    </row>
    <row r="153" spans="3:23" x14ac:dyDescent="0.25">
      <c r="C153" s="1" t="s">
        <v>103</v>
      </c>
      <c r="J153" s="10"/>
      <c r="K153" s="49">
        <f t="shared" ref="K153:W153" si="71">+K137</f>
        <v>0.35796</v>
      </c>
      <c r="L153" s="49">
        <f t="shared" si="71"/>
        <v>-3.292139999999999</v>
      </c>
      <c r="M153" s="49">
        <f t="shared" si="71"/>
        <v>-11.616990000000003</v>
      </c>
      <c r="N153" s="49">
        <f t="shared" si="71"/>
        <v>-52.172466450000009</v>
      </c>
      <c r="O153" s="49">
        <f t="shared" si="71"/>
        <v>-11.3425486125</v>
      </c>
      <c r="P153" s="49">
        <f t="shared" si="71"/>
        <v>-29.800306049999996</v>
      </c>
      <c r="Q153" s="49">
        <f t="shared" si="71"/>
        <v>-73.1431635</v>
      </c>
      <c r="R153" s="49">
        <f t="shared" si="71"/>
        <v>-131.86761479700002</v>
      </c>
      <c r="S153" s="49">
        <f t="shared" si="71"/>
        <v>-24.688337637750003</v>
      </c>
      <c r="T153" s="49">
        <f t="shared" si="71"/>
        <v>-56.627029077000003</v>
      </c>
      <c r="U153" s="49">
        <f t="shared" si="71"/>
        <v>-127.06030138199999</v>
      </c>
      <c r="V153" s="49">
        <f t="shared" si="71"/>
        <v>-214.72955172330003</v>
      </c>
      <c r="W153" s="49">
        <f t="shared" si="71"/>
        <v>-214.8246187908</v>
      </c>
    </row>
    <row r="154" spans="3:23" x14ac:dyDescent="0.25">
      <c r="C154" s="1" t="s">
        <v>109</v>
      </c>
      <c r="H154" s="24">
        <v>0</v>
      </c>
      <c r="I154" s="5" t="s">
        <v>105</v>
      </c>
      <c r="J154" s="10"/>
      <c r="K154" s="49">
        <f t="shared" ref="K154:W154" si="72">-$H154*K$78</f>
        <v>0</v>
      </c>
      <c r="L154" s="49">
        <f t="shared" si="72"/>
        <v>0</v>
      </c>
      <c r="M154" s="49">
        <f t="shared" si="72"/>
        <v>0</v>
      </c>
      <c r="N154" s="49">
        <f t="shared" si="72"/>
        <v>0</v>
      </c>
      <c r="O154" s="49">
        <f t="shared" si="72"/>
        <v>0</v>
      </c>
      <c r="P154" s="49">
        <f t="shared" si="72"/>
        <v>0</v>
      </c>
      <c r="Q154" s="49">
        <f t="shared" si="72"/>
        <v>0</v>
      </c>
      <c r="R154" s="49">
        <f t="shared" si="72"/>
        <v>0</v>
      </c>
      <c r="S154" s="49">
        <f t="shared" si="72"/>
        <v>0</v>
      </c>
      <c r="T154" s="49">
        <f t="shared" si="72"/>
        <v>0</v>
      </c>
      <c r="U154" s="49">
        <f t="shared" si="72"/>
        <v>0</v>
      </c>
      <c r="V154" s="49">
        <f t="shared" si="72"/>
        <v>0</v>
      </c>
      <c r="W154" s="49">
        <f t="shared" si="72"/>
        <v>0</v>
      </c>
    </row>
    <row r="155" spans="3:23" x14ac:dyDescent="0.25">
      <c r="C155" s="1" t="s">
        <v>104</v>
      </c>
      <c r="H155" s="24">
        <v>0</v>
      </c>
      <c r="I155" s="5" t="s">
        <v>105</v>
      </c>
      <c r="J155" s="10"/>
      <c r="K155" s="49">
        <f>-$H155*K$78</f>
        <v>0</v>
      </c>
      <c r="L155" s="49">
        <f t="shared" ref="L155:W155" si="73">-$H155*L$78</f>
        <v>0</v>
      </c>
      <c r="M155" s="49">
        <f t="shared" si="73"/>
        <v>0</v>
      </c>
      <c r="N155" s="49">
        <f t="shared" si="73"/>
        <v>0</v>
      </c>
      <c r="O155" s="49">
        <f t="shared" si="73"/>
        <v>0</v>
      </c>
      <c r="P155" s="49">
        <f t="shared" si="73"/>
        <v>0</v>
      </c>
      <c r="Q155" s="49">
        <f t="shared" si="73"/>
        <v>0</v>
      </c>
      <c r="R155" s="49">
        <f t="shared" si="73"/>
        <v>0</v>
      </c>
      <c r="S155" s="49">
        <f t="shared" si="73"/>
        <v>0</v>
      </c>
      <c r="T155" s="49">
        <f t="shared" si="73"/>
        <v>0</v>
      </c>
      <c r="U155" s="49">
        <f t="shared" si="73"/>
        <v>0</v>
      </c>
      <c r="V155" s="49">
        <f t="shared" si="73"/>
        <v>0</v>
      </c>
      <c r="W155" s="49">
        <f t="shared" si="73"/>
        <v>0</v>
      </c>
    </row>
    <row r="156" spans="3:23" ht="4.95" customHeight="1" x14ac:dyDescent="0.25"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3:23" x14ac:dyDescent="0.25">
      <c r="C157" s="9" t="s">
        <v>16</v>
      </c>
      <c r="D157" s="9"/>
      <c r="E157" s="9"/>
      <c r="F157" s="9"/>
      <c r="G157" s="9"/>
      <c r="H157" s="9"/>
      <c r="I157" s="9"/>
      <c r="J157" s="62"/>
      <c r="K157" s="51">
        <f t="shared" ref="K157:W157" si="74">+K149+K152+K153+K155+K154</f>
        <v>-0.83523999999999998</v>
      </c>
      <c r="L157" s="51">
        <f t="shared" si="74"/>
        <v>7.6816599999999982</v>
      </c>
      <c r="M157" s="51">
        <f t="shared" si="74"/>
        <v>27.106310000000008</v>
      </c>
      <c r="N157" s="51">
        <f t="shared" si="74"/>
        <v>121.73575505000002</v>
      </c>
      <c r="O157" s="51">
        <f t="shared" si="74"/>
        <v>26.4659467625</v>
      </c>
      <c r="P157" s="51">
        <f t="shared" si="74"/>
        <v>69.534047450000003</v>
      </c>
      <c r="Q157" s="51">
        <f t="shared" si="74"/>
        <v>170.66738150000003</v>
      </c>
      <c r="R157" s="51">
        <f t="shared" si="74"/>
        <v>307.69110119300001</v>
      </c>
      <c r="S157" s="51">
        <f t="shared" si="74"/>
        <v>57.606121154750006</v>
      </c>
      <c r="T157" s="51">
        <f t="shared" si="74"/>
        <v>132.12973451300002</v>
      </c>
      <c r="U157" s="51">
        <f t="shared" si="74"/>
        <v>296.47403655800002</v>
      </c>
      <c r="V157" s="51">
        <f t="shared" si="74"/>
        <v>501.03562068770009</v>
      </c>
      <c r="W157" s="51">
        <f t="shared" si="74"/>
        <v>501.25744384520004</v>
      </c>
    </row>
    <row r="158" spans="3:23" s="5" customFormat="1" x14ac:dyDescent="0.25">
      <c r="C158" s="21" t="s">
        <v>108</v>
      </c>
      <c r="J158" s="18"/>
      <c r="K158" s="47">
        <f t="shared" ref="K158:W158" si="75">+IFERROR(K157/K149,"na")</f>
        <v>0.7</v>
      </c>
      <c r="L158" s="47">
        <f t="shared" si="75"/>
        <v>0.70000000000000007</v>
      </c>
      <c r="M158" s="47">
        <f t="shared" si="75"/>
        <v>0.70000000000000007</v>
      </c>
      <c r="N158" s="47">
        <f t="shared" si="75"/>
        <v>0.70000000000000007</v>
      </c>
      <c r="O158" s="47">
        <f t="shared" si="75"/>
        <v>0.7</v>
      </c>
      <c r="P158" s="47">
        <f t="shared" si="75"/>
        <v>0.70000000000000007</v>
      </c>
      <c r="Q158" s="47">
        <f t="shared" si="75"/>
        <v>0.70000000000000007</v>
      </c>
      <c r="R158" s="47">
        <f t="shared" si="75"/>
        <v>0.7</v>
      </c>
      <c r="S158" s="47">
        <f t="shared" si="75"/>
        <v>0.7</v>
      </c>
      <c r="T158" s="47">
        <f t="shared" si="75"/>
        <v>0.70000000000000007</v>
      </c>
      <c r="U158" s="47">
        <f t="shared" si="75"/>
        <v>0.70000000000000007</v>
      </c>
      <c r="V158" s="47">
        <f t="shared" si="75"/>
        <v>0.70000000000000007</v>
      </c>
      <c r="W158" s="47">
        <f t="shared" si="75"/>
        <v>0.70000000000000007</v>
      </c>
    </row>
    <row r="159" spans="3:23" x14ac:dyDescent="0.25"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3:23" x14ac:dyDescent="0.25"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3:23" x14ac:dyDescent="0.25">
      <c r="C161" s="1" t="s">
        <v>16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3:23" x14ac:dyDescent="0.25"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3:23" x14ac:dyDescent="0.25">
      <c r="C163" s="1" t="s">
        <v>113</v>
      </c>
      <c r="J163" s="63">
        <f>+SUM(J110:J112,J118)</f>
        <v>0.21903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3:23" x14ac:dyDescent="0.25"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0896-8D61-4754-94F6-F6DAE84156CA}">
  <dimension ref="D4:T28"/>
  <sheetViews>
    <sheetView topLeftCell="G1" workbookViewId="0">
      <selection activeCell="T21" sqref="T21"/>
    </sheetView>
  </sheetViews>
  <sheetFormatPr defaultRowHeight="14.3" x14ac:dyDescent="0.25"/>
  <cols>
    <col min="1" max="3" width="2.625" customWidth="1"/>
    <col min="4" max="4" width="25.625" customWidth="1"/>
    <col min="6" max="6" width="12.5" customWidth="1"/>
    <col min="7" max="7" width="9" style="107"/>
    <col min="9" max="9" width="2.625" customWidth="1"/>
    <col min="10" max="10" width="20.625" customWidth="1"/>
    <col min="11" max="11" width="15.625" customWidth="1"/>
    <col min="12" max="12" width="14.75" bestFit="1" customWidth="1"/>
  </cols>
  <sheetData>
    <row r="4" spans="4:13" x14ac:dyDescent="0.25">
      <c r="D4" t="s">
        <v>163</v>
      </c>
      <c r="E4" s="110">
        <v>225</v>
      </c>
      <c r="F4">
        <f>+E4*F12</f>
        <v>67500</v>
      </c>
      <c r="J4" t="s">
        <v>162</v>
      </c>
      <c r="K4" s="116">
        <f>+F4</f>
        <v>67500</v>
      </c>
    </row>
    <row r="5" spans="4:13" x14ac:dyDescent="0.25">
      <c r="D5" t="s">
        <v>161</v>
      </c>
      <c r="E5" s="110">
        <v>3</v>
      </c>
      <c r="J5" t="s">
        <v>156</v>
      </c>
      <c r="K5" s="116">
        <f>-F9</f>
        <v>-16875</v>
      </c>
    </row>
    <row r="6" spans="4:13" x14ac:dyDescent="0.25">
      <c r="D6" t="s">
        <v>160</v>
      </c>
      <c r="E6" s="116">
        <f>+E4/E5</f>
        <v>75</v>
      </c>
      <c r="J6" s="114" t="s">
        <v>25</v>
      </c>
      <c r="K6" s="113">
        <f>+K4+K5</f>
        <v>50625</v>
      </c>
    </row>
    <row r="7" spans="4:13" x14ac:dyDescent="0.25">
      <c r="D7" t="s">
        <v>159</v>
      </c>
      <c r="E7" s="117">
        <v>150</v>
      </c>
      <c r="F7">
        <f>+E7*$E$5</f>
        <v>450</v>
      </c>
      <c r="J7" s="112" t="s">
        <v>158</v>
      </c>
      <c r="K7" s="111">
        <f>+K6/$K$4</f>
        <v>0.75</v>
      </c>
    </row>
    <row r="8" spans="4:13" x14ac:dyDescent="0.25">
      <c r="D8" t="s">
        <v>157</v>
      </c>
      <c r="E8" s="117">
        <v>100</v>
      </c>
      <c r="F8">
        <f>+E8*$E$5</f>
        <v>300</v>
      </c>
    </row>
    <row r="9" spans="4:13" x14ac:dyDescent="0.25">
      <c r="D9" t="s">
        <v>156</v>
      </c>
      <c r="E9" s="117">
        <v>0.25</v>
      </c>
      <c r="F9" s="116">
        <f>+E9*E6*E5*F12</f>
        <v>16875</v>
      </c>
      <c r="J9" t="s">
        <v>155</v>
      </c>
      <c r="K9" s="116">
        <f>-(E18*F12+E19*F4)</f>
        <v>-2047.5</v>
      </c>
    </row>
    <row r="10" spans="4:13" x14ac:dyDescent="0.25">
      <c r="D10" t="s">
        <v>154</v>
      </c>
      <c r="E10" s="119">
        <v>0.5</v>
      </c>
      <c r="J10" t="s">
        <v>153</v>
      </c>
      <c r="K10" s="116">
        <f>-E17*E14</f>
        <v>-240</v>
      </c>
      <c r="M10" s="115" t="s">
        <v>149</v>
      </c>
    </row>
    <row r="11" spans="4:13" x14ac:dyDescent="0.25">
      <c r="D11" t="s">
        <v>152</v>
      </c>
      <c r="E11" s="118">
        <f>+E14*E15</f>
        <v>30000</v>
      </c>
      <c r="F11" s="116">
        <f>+E11*E10</f>
        <v>15000</v>
      </c>
      <c r="G11" s="107" t="s">
        <v>151</v>
      </c>
      <c r="I11" s="110">
        <v>2</v>
      </c>
      <c r="J11" t="s">
        <v>150</v>
      </c>
      <c r="K11" s="116">
        <f>-CHOOSE($I$11,$F$7,$F$8)</f>
        <v>-300</v>
      </c>
      <c r="M11" s="115" t="s">
        <v>149</v>
      </c>
    </row>
    <row r="12" spans="4:13" x14ac:dyDescent="0.25">
      <c r="D12" t="s">
        <v>148</v>
      </c>
      <c r="E12" s="117">
        <v>0.01</v>
      </c>
      <c r="F12">
        <f>+E12*E11</f>
        <v>300</v>
      </c>
      <c r="G12" s="107" t="s">
        <v>147</v>
      </c>
      <c r="J12" t="s">
        <v>146</v>
      </c>
      <c r="K12" s="116">
        <f>-F11</f>
        <v>-15000</v>
      </c>
      <c r="M12" s="115" t="s">
        <v>145</v>
      </c>
    </row>
    <row r="13" spans="4:13" x14ac:dyDescent="0.25">
      <c r="J13" s="114" t="s">
        <v>144</v>
      </c>
      <c r="K13" s="113">
        <f>+K6+K9+K10+K11+K12</f>
        <v>33037.5</v>
      </c>
    </row>
    <row r="14" spans="4:13" x14ac:dyDescent="0.25">
      <c r="D14" t="s">
        <v>143</v>
      </c>
      <c r="E14" s="110">
        <v>3</v>
      </c>
      <c r="J14" s="112" t="s">
        <v>142</v>
      </c>
      <c r="K14" s="111">
        <f>+K13/$K$4</f>
        <v>0.48944444444444446</v>
      </c>
    </row>
    <row r="15" spans="4:13" x14ac:dyDescent="0.25">
      <c r="D15" t="s">
        <v>141</v>
      </c>
      <c r="E15" s="110">
        <v>10000</v>
      </c>
    </row>
    <row r="17" spans="4:20" x14ac:dyDescent="0.25">
      <c r="D17" t="s">
        <v>140</v>
      </c>
      <c r="E17" s="109">
        <v>80</v>
      </c>
      <c r="Q17">
        <v>12</v>
      </c>
    </row>
    <row r="18" spans="4:20" x14ac:dyDescent="0.25">
      <c r="D18" t="s">
        <v>139</v>
      </c>
      <c r="E18" s="109">
        <v>0.3</v>
      </c>
      <c r="Q18">
        <v>12</v>
      </c>
      <c r="R18">
        <v>270</v>
      </c>
    </row>
    <row r="19" spans="4:20" x14ac:dyDescent="0.25">
      <c r="D19" t="s">
        <v>139</v>
      </c>
      <c r="E19" s="108">
        <v>2.9000000000000001E-2</v>
      </c>
    </row>
    <row r="21" spans="4:20" x14ac:dyDescent="0.25">
      <c r="J21">
        <v>5000</v>
      </c>
      <c r="K21">
        <v>5.0000000000000001E-3</v>
      </c>
      <c r="Q21">
        <v>175</v>
      </c>
      <c r="R21">
        <f>+Q21/$Q$23</f>
        <v>0.61403508771929827</v>
      </c>
      <c r="S21">
        <v>5000</v>
      </c>
      <c r="T21">
        <f>+$S$21*R21</f>
        <v>3070.1754385964914</v>
      </c>
    </row>
    <row r="22" spans="4:20" x14ac:dyDescent="0.25">
      <c r="D22" t="s">
        <v>138</v>
      </c>
      <c r="Q22">
        <v>110</v>
      </c>
      <c r="R22">
        <f>+Q22/$Q$23</f>
        <v>0.38596491228070173</v>
      </c>
      <c r="T22">
        <f>+$S$21*R22</f>
        <v>1929.8245614035086</v>
      </c>
    </row>
    <row r="23" spans="4:20" x14ac:dyDescent="0.25">
      <c r="Q23">
        <f>SUM(Q21:Q22)</f>
        <v>285</v>
      </c>
    </row>
    <row r="24" spans="4:20" x14ac:dyDescent="0.25">
      <c r="D24" t="s">
        <v>137</v>
      </c>
    </row>
    <row r="26" spans="4:20" x14ac:dyDescent="0.25">
      <c r="D26" t="s">
        <v>136</v>
      </c>
    </row>
    <row r="27" spans="4:20" x14ac:dyDescent="0.25">
      <c r="D27" t="s">
        <v>135</v>
      </c>
      <c r="J27">
        <v>614285.71</v>
      </c>
      <c r="K27">
        <v>1.5E-3</v>
      </c>
      <c r="L27" s="120">
        <f>+J27/K27</f>
        <v>409523806.66666663</v>
      </c>
    </row>
    <row r="28" spans="4:20" x14ac:dyDescent="0.25">
      <c r="J28">
        <v>1995</v>
      </c>
      <c r="K28">
        <f>+J27/J28</f>
        <v>307.9126365914787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Operating 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LinDon Harris</dc:creator>
  <cp:lastModifiedBy>LinDon Harris</cp:lastModifiedBy>
  <cp:lastPrinted>2023-08-30T18:14:57Z</cp:lastPrinted>
  <dcterms:created xsi:type="dcterms:W3CDTF">2023-08-26T00:17:49Z</dcterms:created>
  <dcterms:modified xsi:type="dcterms:W3CDTF">2023-10-10T00:37:31Z</dcterms:modified>
</cp:coreProperties>
</file>