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ar\Dropbox\ProvenPath\Finance\"/>
    </mc:Choice>
  </mc:AlternateContent>
  <xr:revisionPtr revIDLastSave="0" documentId="13_ncr:1_{6DECB0AE-2386-4AA4-B564-2AA17A7CA6ED}" xr6:coauthVersionLast="47" xr6:coauthVersionMax="47" xr10:uidLastSave="{00000000-0000-0000-0000-000000000000}"/>
  <bookViews>
    <workbookView xWindow="-95" yWindow="0" windowWidth="13232" windowHeight="14047" xr2:uid="{2CCAEAB5-7AA5-4E79-B24F-7A496FA1579C}"/>
  </bookViews>
  <sheets>
    <sheet name="Operating Model" sheetId="1" r:id="rId1"/>
    <sheet name="Startup Expenses" sheetId="3" r:id="rId2"/>
  </sheets>
  <definedNames>
    <definedName name="_xlnm._FilterDatabase" localSheetId="0" hidden="1">'Operating Model'!#REF!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1" i="1" l="1"/>
  <c r="L121" i="1"/>
  <c r="M121" i="1"/>
  <c r="M123" i="1" s="1"/>
  <c r="N121" i="1"/>
  <c r="O121" i="1"/>
  <c r="P121" i="1"/>
  <c r="Q121" i="1"/>
  <c r="R121" i="1"/>
  <c r="R123" i="1" s="1"/>
  <c r="S121" i="1"/>
  <c r="T121" i="1"/>
  <c r="U121" i="1"/>
  <c r="V121" i="1"/>
  <c r="W121" i="1"/>
  <c r="W123" i="1" s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K68" i="1"/>
  <c r="K70" i="1" s="1"/>
  <c r="L68" i="1"/>
  <c r="L70" i="1" s="1"/>
  <c r="M68" i="1"/>
  <c r="M70" i="1" s="1"/>
  <c r="N68" i="1"/>
  <c r="N71" i="1" s="1"/>
  <c r="O68" i="1"/>
  <c r="O71" i="1" s="1"/>
  <c r="P68" i="1"/>
  <c r="P71" i="1" s="1"/>
  <c r="Q68" i="1"/>
  <c r="Q70" i="1" s="1"/>
  <c r="R68" i="1"/>
  <c r="R71" i="1" s="1"/>
  <c r="S68" i="1"/>
  <c r="S70" i="1" s="1"/>
  <c r="T68" i="1"/>
  <c r="T70" i="1" s="1"/>
  <c r="U68" i="1"/>
  <c r="U70" i="1" s="1"/>
  <c r="V68" i="1"/>
  <c r="V71" i="1" s="1"/>
  <c r="W68" i="1"/>
  <c r="W71" i="1" s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C69" i="1"/>
  <c r="C68" i="1"/>
  <c r="D22" i="1"/>
  <c r="D21" i="1"/>
  <c r="D13" i="1"/>
  <c r="D12" i="1"/>
  <c r="J12" i="1"/>
  <c r="J21" i="1"/>
  <c r="M14" i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J50" i="1"/>
  <c r="G63" i="1"/>
  <c r="F63" i="1"/>
  <c r="G58" i="1"/>
  <c r="F58" i="1"/>
  <c r="I57" i="1"/>
  <c r="I56" i="1"/>
  <c r="I55" i="1"/>
  <c r="I62" i="1"/>
  <c r="I61" i="1"/>
  <c r="I60" i="1"/>
  <c r="J34" i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V35" i="1" s="1"/>
  <c r="V56" i="1" s="1"/>
  <c r="J44" i="1"/>
  <c r="J45" i="1" s="1"/>
  <c r="O23" i="1"/>
  <c r="P23" i="1" s="1"/>
  <c r="Q23" i="1" s="1"/>
  <c r="R23" i="1" s="1"/>
  <c r="S23" i="1" s="1"/>
  <c r="T23" i="1" s="1"/>
  <c r="U23" i="1" s="1"/>
  <c r="V23" i="1" s="1"/>
  <c r="W23" i="1" s="1"/>
  <c r="J11" i="3"/>
  <c r="J12" i="3"/>
  <c r="F12" i="3"/>
  <c r="F11" i="3"/>
  <c r="E9" i="3"/>
  <c r="E7" i="3"/>
  <c r="E5" i="3"/>
  <c r="J6" i="1"/>
  <c r="J51" i="1" s="1"/>
  <c r="K5" i="1"/>
  <c r="L5" i="1" s="1"/>
  <c r="L50" i="1" s="1"/>
  <c r="P123" i="1" l="1"/>
  <c r="Q123" i="1"/>
  <c r="K123" i="1"/>
  <c r="S123" i="1"/>
  <c r="L123" i="1"/>
  <c r="T123" i="1"/>
  <c r="U123" i="1"/>
  <c r="N123" i="1"/>
  <c r="V123" i="1"/>
  <c r="O123" i="1"/>
  <c r="K125" i="1"/>
  <c r="Q125" i="1"/>
  <c r="V125" i="1"/>
  <c r="N125" i="1"/>
  <c r="P125" i="1"/>
  <c r="W125" i="1"/>
  <c r="O125" i="1"/>
  <c r="T125" i="1"/>
  <c r="L125" i="1"/>
  <c r="S125" i="1"/>
  <c r="U125" i="1"/>
  <c r="M125" i="1"/>
  <c r="R125" i="1"/>
  <c r="U71" i="1"/>
  <c r="U72" i="1" s="1"/>
  <c r="T71" i="1"/>
  <c r="T72" i="1" s="1"/>
  <c r="S71" i="1"/>
  <c r="S72" i="1" s="1"/>
  <c r="M71" i="1"/>
  <c r="M72" i="1" s="1"/>
  <c r="L71" i="1"/>
  <c r="L72" i="1" s="1"/>
  <c r="K71" i="1"/>
  <c r="K72" i="1" s="1"/>
  <c r="R70" i="1"/>
  <c r="R72" i="1" s="1"/>
  <c r="P70" i="1"/>
  <c r="P72" i="1" s="1"/>
  <c r="W70" i="1"/>
  <c r="W72" i="1" s="1"/>
  <c r="O70" i="1"/>
  <c r="O72" i="1" s="1"/>
  <c r="Q71" i="1"/>
  <c r="Q72" i="1" s="1"/>
  <c r="V70" i="1"/>
  <c r="V72" i="1" s="1"/>
  <c r="N70" i="1"/>
  <c r="N72" i="1" s="1"/>
  <c r="J56" i="1"/>
  <c r="J57" i="1"/>
  <c r="J61" i="1"/>
  <c r="J62" i="1"/>
  <c r="V57" i="1"/>
  <c r="W34" i="1"/>
  <c r="W35" i="1" s="1"/>
  <c r="V55" i="1"/>
  <c r="J7" i="1"/>
  <c r="J42" i="1" s="1"/>
  <c r="K50" i="1"/>
  <c r="L35" i="1"/>
  <c r="M35" i="1"/>
  <c r="N35" i="1"/>
  <c r="T35" i="1"/>
  <c r="U35" i="1"/>
  <c r="O35" i="1"/>
  <c r="P35" i="1"/>
  <c r="Q35" i="1"/>
  <c r="J35" i="1"/>
  <c r="R35" i="1"/>
  <c r="K35" i="1"/>
  <c r="S35" i="1"/>
  <c r="I58" i="1"/>
  <c r="J58" i="1" s="1"/>
  <c r="I63" i="1"/>
  <c r="J63" i="1" s="1"/>
  <c r="J13" i="1"/>
  <c r="J15" i="1" s="1"/>
  <c r="K44" i="1"/>
  <c r="K45" i="1" s="1"/>
  <c r="J22" i="1"/>
  <c r="J24" i="1" s="1"/>
  <c r="J46" i="1" s="1"/>
  <c r="L6" i="1"/>
  <c r="M5" i="1"/>
  <c r="M50" i="1" s="1"/>
  <c r="K6" i="1"/>
  <c r="K51" i="1" s="1"/>
  <c r="E13" i="3"/>
  <c r="V58" i="1" l="1"/>
  <c r="W55" i="1"/>
  <c r="J36" i="1"/>
  <c r="W56" i="1"/>
  <c r="W57" i="1"/>
  <c r="K60" i="1"/>
  <c r="K61" i="1"/>
  <c r="K62" i="1"/>
  <c r="S55" i="1"/>
  <c r="S57" i="1"/>
  <c r="S56" i="1"/>
  <c r="T56" i="1"/>
  <c r="T57" i="1"/>
  <c r="T55" i="1"/>
  <c r="U56" i="1"/>
  <c r="U55" i="1"/>
  <c r="U57" i="1"/>
  <c r="K55" i="1"/>
  <c r="K57" i="1"/>
  <c r="K56" i="1"/>
  <c r="N56" i="1"/>
  <c r="N55" i="1"/>
  <c r="N57" i="1"/>
  <c r="R55" i="1"/>
  <c r="R57" i="1"/>
  <c r="R56" i="1"/>
  <c r="M56" i="1"/>
  <c r="M55" i="1"/>
  <c r="M57" i="1"/>
  <c r="L56" i="1"/>
  <c r="L57" i="1"/>
  <c r="L55" i="1"/>
  <c r="Q55" i="1"/>
  <c r="Q56" i="1"/>
  <c r="Q57" i="1"/>
  <c r="P57" i="1"/>
  <c r="P56" i="1"/>
  <c r="P55" i="1"/>
  <c r="O57" i="1"/>
  <c r="O56" i="1"/>
  <c r="O55" i="1"/>
  <c r="L7" i="1"/>
  <c r="L52" i="1" s="1"/>
  <c r="L51" i="1"/>
  <c r="J32" i="1"/>
  <c r="J52" i="1"/>
  <c r="K7" i="1"/>
  <c r="J16" i="1"/>
  <c r="L44" i="1"/>
  <c r="L45" i="1" s="1"/>
  <c r="J25" i="1"/>
  <c r="F10" i="3"/>
  <c r="J153" i="1"/>
  <c r="N5" i="1"/>
  <c r="N50" i="1" s="1"/>
  <c r="M6" i="1"/>
  <c r="F9" i="3"/>
  <c r="F8" i="3"/>
  <c r="F6" i="3"/>
  <c r="I13" i="3"/>
  <c r="F13" i="3"/>
  <c r="F7" i="3"/>
  <c r="F5" i="3"/>
  <c r="W58" i="1" l="1"/>
  <c r="P58" i="1"/>
  <c r="O58" i="1"/>
  <c r="Q58" i="1"/>
  <c r="M58" i="1"/>
  <c r="K58" i="1"/>
  <c r="R58" i="1"/>
  <c r="U58" i="1"/>
  <c r="N58" i="1"/>
  <c r="T58" i="1"/>
  <c r="K63" i="1"/>
  <c r="L58" i="1"/>
  <c r="S58" i="1"/>
  <c r="L144" i="1"/>
  <c r="L143" i="1"/>
  <c r="J26" i="1"/>
  <c r="J27" i="1" s="1"/>
  <c r="V83" i="1"/>
  <c r="K52" i="1"/>
  <c r="K21" i="1"/>
  <c r="L60" i="1"/>
  <c r="L62" i="1"/>
  <c r="L61" i="1"/>
  <c r="K12" i="1"/>
  <c r="L12" i="1" s="1"/>
  <c r="M7" i="1"/>
  <c r="M52" i="1" s="1"/>
  <c r="M51" i="1"/>
  <c r="L42" i="1"/>
  <c r="L32" i="1"/>
  <c r="K42" i="1"/>
  <c r="K32" i="1"/>
  <c r="M44" i="1"/>
  <c r="M45" i="1" s="1"/>
  <c r="O5" i="1"/>
  <c r="O50" i="1" s="1"/>
  <c r="N6" i="1"/>
  <c r="J13" i="3"/>
  <c r="I5" i="3"/>
  <c r="J5" i="3" s="1"/>
  <c r="I6" i="3"/>
  <c r="J6" i="3" s="1"/>
  <c r="J7" i="3"/>
  <c r="J10" i="3"/>
  <c r="J9" i="3"/>
  <c r="J8" i="3"/>
  <c r="L63" i="1" l="1"/>
  <c r="L65" i="1" s="1"/>
  <c r="K65" i="1"/>
  <c r="K66" i="1" s="1"/>
  <c r="V17" i="1"/>
  <c r="M144" i="1"/>
  <c r="M143" i="1"/>
  <c r="K85" i="1"/>
  <c r="K26" i="1" s="1"/>
  <c r="U83" i="1"/>
  <c r="K83" i="1"/>
  <c r="T83" i="1"/>
  <c r="M83" i="1"/>
  <c r="W83" i="1"/>
  <c r="O83" i="1"/>
  <c r="N83" i="1"/>
  <c r="S83" i="1"/>
  <c r="R83" i="1"/>
  <c r="Q83" i="1"/>
  <c r="P83" i="1"/>
  <c r="L83" i="1"/>
  <c r="K13" i="1"/>
  <c r="K15" i="1" s="1"/>
  <c r="M60" i="1"/>
  <c r="M62" i="1"/>
  <c r="M61" i="1"/>
  <c r="M42" i="1"/>
  <c r="M32" i="1"/>
  <c r="N7" i="1"/>
  <c r="N52" i="1" s="1"/>
  <c r="N51" i="1"/>
  <c r="L21" i="1"/>
  <c r="K22" i="1"/>
  <c r="K24" i="1" s="1"/>
  <c r="M12" i="1"/>
  <c r="L13" i="1"/>
  <c r="L15" i="1" s="1"/>
  <c r="L36" i="1" s="1"/>
  <c r="N44" i="1"/>
  <c r="N45" i="1" s="1"/>
  <c r="P5" i="1"/>
  <c r="P50" i="1" s="1"/>
  <c r="O6" i="1"/>
  <c r="M63" i="1" l="1"/>
  <c r="M65" i="1" s="1"/>
  <c r="M66" i="1" s="1"/>
  <c r="L66" i="1"/>
  <c r="J17" i="1"/>
  <c r="J18" i="1" s="1"/>
  <c r="L17" i="1"/>
  <c r="M17" i="1"/>
  <c r="Q17" i="1"/>
  <c r="S17" i="1"/>
  <c r="U17" i="1"/>
  <c r="N17" i="1"/>
  <c r="P17" i="1"/>
  <c r="T17" i="1"/>
  <c r="R17" i="1"/>
  <c r="K17" i="1"/>
  <c r="O17" i="1"/>
  <c r="W17" i="1"/>
  <c r="N144" i="1"/>
  <c r="N143" i="1"/>
  <c r="L85" i="1"/>
  <c r="L26" i="1" s="1"/>
  <c r="K16" i="1"/>
  <c r="K81" i="1" s="1"/>
  <c r="K36" i="1"/>
  <c r="K25" i="1"/>
  <c r="K46" i="1"/>
  <c r="N61" i="1"/>
  <c r="N62" i="1"/>
  <c r="N60" i="1"/>
  <c r="O7" i="1"/>
  <c r="O52" i="1" s="1"/>
  <c r="O51" i="1"/>
  <c r="N42" i="1"/>
  <c r="N32" i="1"/>
  <c r="L22" i="1"/>
  <c r="L24" i="1" s="1"/>
  <c r="M21" i="1"/>
  <c r="L16" i="1"/>
  <c r="N12" i="1"/>
  <c r="M13" i="1"/>
  <c r="M15" i="1" s="1"/>
  <c r="M36" i="1" s="1"/>
  <c r="O44" i="1"/>
  <c r="O45" i="1" s="1"/>
  <c r="Q5" i="1"/>
  <c r="Q50" i="1" s="1"/>
  <c r="P6" i="1"/>
  <c r="L82" i="1" l="1"/>
  <c r="L145" i="1" s="1"/>
  <c r="L147" i="1" s="1"/>
  <c r="L81" i="1"/>
  <c r="N63" i="1"/>
  <c r="N65" i="1" s="1"/>
  <c r="N66" i="1" s="1"/>
  <c r="K27" i="1"/>
  <c r="K84" i="1"/>
  <c r="K146" i="1" s="1"/>
  <c r="K148" i="1" s="1"/>
  <c r="L18" i="1"/>
  <c r="K18" i="1"/>
  <c r="K82" i="1"/>
  <c r="K145" i="1" s="1"/>
  <c r="K147" i="1" s="1"/>
  <c r="M85" i="1"/>
  <c r="M26" i="1" s="1"/>
  <c r="L25" i="1"/>
  <c r="L46" i="1"/>
  <c r="O61" i="1"/>
  <c r="O60" i="1"/>
  <c r="O62" i="1"/>
  <c r="O42" i="1"/>
  <c r="O32" i="1"/>
  <c r="P7" i="1"/>
  <c r="P52" i="1" s="1"/>
  <c r="P51" i="1"/>
  <c r="N21" i="1"/>
  <c r="M22" i="1"/>
  <c r="M24" i="1" s="1"/>
  <c r="K78" i="1"/>
  <c r="M16" i="1"/>
  <c r="O12" i="1"/>
  <c r="N13" i="1"/>
  <c r="N15" i="1" s="1"/>
  <c r="N36" i="1" s="1"/>
  <c r="P44" i="1"/>
  <c r="P45" i="1" s="1"/>
  <c r="R5" i="1"/>
  <c r="R50" i="1" s="1"/>
  <c r="Q6" i="1"/>
  <c r="K79" i="1" l="1"/>
  <c r="M18" i="1"/>
  <c r="M81" i="1"/>
  <c r="O63" i="1"/>
  <c r="O65" i="1" s="1"/>
  <c r="O66" i="1" s="1"/>
  <c r="K143" i="1"/>
  <c r="K144" i="1" s="1"/>
  <c r="P144" i="1"/>
  <c r="P143" i="1"/>
  <c r="K86" i="1"/>
  <c r="K88" i="1" s="1"/>
  <c r="K127" i="1" s="1"/>
  <c r="M82" i="1"/>
  <c r="M145" i="1" s="1"/>
  <c r="M147" i="1" s="1"/>
  <c r="L27" i="1"/>
  <c r="L84" i="1"/>
  <c r="N85" i="1"/>
  <c r="N26" i="1" s="1"/>
  <c r="M25" i="1"/>
  <c r="M46" i="1"/>
  <c r="P42" i="1"/>
  <c r="P61" i="1"/>
  <c r="P60" i="1"/>
  <c r="P62" i="1"/>
  <c r="P32" i="1"/>
  <c r="Q7" i="1"/>
  <c r="Q52" i="1" s="1"/>
  <c r="Q51" i="1"/>
  <c r="N22" i="1"/>
  <c r="N24" i="1" s="1"/>
  <c r="O21" i="1"/>
  <c r="L78" i="1"/>
  <c r="N16" i="1"/>
  <c r="N81" i="1" s="1"/>
  <c r="O13" i="1"/>
  <c r="O15" i="1" s="1"/>
  <c r="O36" i="1" s="1"/>
  <c r="P12" i="1"/>
  <c r="Q44" i="1"/>
  <c r="Q45" i="1" s="1"/>
  <c r="S5" i="1"/>
  <c r="S50" i="1" s="1"/>
  <c r="R6" i="1"/>
  <c r="K128" i="1" l="1"/>
  <c r="K133" i="1"/>
  <c r="L79" i="1"/>
  <c r="K89" i="1"/>
  <c r="P63" i="1"/>
  <c r="P65" i="1" s="1"/>
  <c r="P66" i="1" s="1"/>
  <c r="L86" i="1"/>
  <c r="L88" i="1" s="1"/>
  <c r="L127" i="1" s="1"/>
  <c r="L146" i="1"/>
  <c r="L148" i="1" s="1"/>
  <c r="Q143" i="1"/>
  <c r="Q144" i="1"/>
  <c r="M27" i="1"/>
  <c r="M84" i="1"/>
  <c r="N18" i="1"/>
  <c r="N82" i="1"/>
  <c r="N145" i="1" s="1"/>
  <c r="N147" i="1" s="1"/>
  <c r="O85" i="1"/>
  <c r="O26" i="1" s="1"/>
  <c r="N25" i="1"/>
  <c r="N46" i="1"/>
  <c r="Q62" i="1"/>
  <c r="Q61" i="1"/>
  <c r="Q60" i="1"/>
  <c r="Q42" i="1"/>
  <c r="R7" i="1"/>
  <c r="R52" i="1" s="1"/>
  <c r="R51" i="1"/>
  <c r="Q32" i="1"/>
  <c r="P21" i="1"/>
  <c r="O22" i="1"/>
  <c r="O24" i="1" s="1"/>
  <c r="M78" i="1"/>
  <c r="P13" i="1"/>
  <c r="P15" i="1" s="1"/>
  <c r="P36" i="1" s="1"/>
  <c r="Q12" i="1"/>
  <c r="O16" i="1"/>
  <c r="O81" i="1" s="1"/>
  <c r="R44" i="1"/>
  <c r="R45" i="1" s="1"/>
  <c r="T5" i="1"/>
  <c r="T50" i="1" s="1"/>
  <c r="S6" i="1"/>
  <c r="L128" i="1" l="1"/>
  <c r="L133" i="1"/>
  <c r="M79" i="1"/>
  <c r="L89" i="1"/>
  <c r="Q63" i="1"/>
  <c r="Q65" i="1" s="1"/>
  <c r="Q66" i="1" s="1"/>
  <c r="M86" i="1"/>
  <c r="M88" i="1" s="1"/>
  <c r="M127" i="1" s="1"/>
  <c r="M146" i="1"/>
  <c r="M148" i="1" s="1"/>
  <c r="R143" i="1"/>
  <c r="R144" i="1"/>
  <c r="N27" i="1"/>
  <c r="N84" i="1"/>
  <c r="O18" i="1"/>
  <c r="O82" i="1"/>
  <c r="O145" i="1" s="1"/>
  <c r="O147" i="1" s="1"/>
  <c r="P85" i="1"/>
  <c r="P26" i="1" s="1"/>
  <c r="O25" i="1"/>
  <c r="O46" i="1"/>
  <c r="R32" i="1"/>
  <c r="R62" i="1"/>
  <c r="R61" i="1"/>
  <c r="R60" i="1"/>
  <c r="R42" i="1"/>
  <c r="S7" i="1"/>
  <c r="S52" i="1" s="1"/>
  <c r="S51" i="1"/>
  <c r="P22" i="1"/>
  <c r="P24" i="1" s="1"/>
  <c r="Q21" i="1"/>
  <c r="N78" i="1"/>
  <c r="Q13" i="1"/>
  <c r="Q15" i="1" s="1"/>
  <c r="Q36" i="1" s="1"/>
  <c r="R12" i="1"/>
  <c r="P16" i="1"/>
  <c r="P81" i="1" s="1"/>
  <c r="S44" i="1"/>
  <c r="S45" i="1" s="1"/>
  <c r="T6" i="1"/>
  <c r="U5" i="1"/>
  <c r="U50" i="1" s="1"/>
  <c r="M128" i="1" l="1"/>
  <c r="M133" i="1"/>
  <c r="N79" i="1"/>
  <c r="M89" i="1"/>
  <c r="R63" i="1"/>
  <c r="R65" i="1" s="1"/>
  <c r="R66" i="1" s="1"/>
  <c r="N86" i="1"/>
  <c r="N88" i="1" s="1"/>
  <c r="N127" i="1" s="1"/>
  <c r="N146" i="1"/>
  <c r="N148" i="1" s="1"/>
  <c r="P18" i="1"/>
  <c r="P82" i="1"/>
  <c r="P145" i="1" s="1"/>
  <c r="P147" i="1" s="1"/>
  <c r="O27" i="1"/>
  <c r="O84" i="1"/>
  <c r="Q85" i="1"/>
  <c r="Q26" i="1" s="1"/>
  <c r="P25" i="1"/>
  <c r="P46" i="1"/>
  <c r="S60" i="1"/>
  <c r="S61" i="1"/>
  <c r="S62" i="1"/>
  <c r="S32" i="1"/>
  <c r="S42" i="1"/>
  <c r="T7" i="1"/>
  <c r="T52" i="1" s="1"/>
  <c r="T51" i="1"/>
  <c r="R21" i="1"/>
  <c r="Q22" i="1"/>
  <c r="Q24" i="1" s="1"/>
  <c r="O78" i="1"/>
  <c r="S12" i="1"/>
  <c r="R13" i="1"/>
  <c r="R15" i="1" s="1"/>
  <c r="R36" i="1" s="1"/>
  <c r="Q16" i="1"/>
  <c r="Q81" i="1" s="1"/>
  <c r="T44" i="1"/>
  <c r="T45" i="1" s="1"/>
  <c r="V5" i="1"/>
  <c r="W5" i="1" s="1"/>
  <c r="U6" i="1"/>
  <c r="N128" i="1" l="1"/>
  <c r="N133" i="1"/>
  <c r="O79" i="1"/>
  <c r="N89" i="1"/>
  <c r="S63" i="1"/>
  <c r="S65" i="1" s="1"/>
  <c r="S66" i="1" s="1"/>
  <c r="O86" i="1"/>
  <c r="O88" i="1" s="1"/>
  <c r="O127" i="1" s="1"/>
  <c r="O146" i="1"/>
  <c r="O148" i="1" s="1"/>
  <c r="O143" i="1"/>
  <c r="O144" i="1" s="1"/>
  <c r="T144" i="1"/>
  <c r="T143" i="1"/>
  <c r="P27" i="1"/>
  <c r="P84" i="1"/>
  <c r="Q18" i="1"/>
  <c r="Q82" i="1"/>
  <c r="Q145" i="1" s="1"/>
  <c r="Q147" i="1" s="1"/>
  <c r="R85" i="1"/>
  <c r="R26" i="1" s="1"/>
  <c r="Q25" i="1"/>
  <c r="Q46" i="1"/>
  <c r="T32" i="1"/>
  <c r="T42" i="1"/>
  <c r="W6" i="1"/>
  <c r="W50" i="1"/>
  <c r="T60" i="1"/>
  <c r="T62" i="1"/>
  <c r="T61" i="1"/>
  <c r="U7" i="1"/>
  <c r="U52" i="1" s="1"/>
  <c r="U51" i="1"/>
  <c r="V6" i="1"/>
  <c r="V50" i="1"/>
  <c r="S21" i="1"/>
  <c r="R22" i="1"/>
  <c r="R24" i="1" s="1"/>
  <c r="P78" i="1"/>
  <c r="R16" i="1"/>
  <c r="R81" i="1" s="1"/>
  <c r="T12" i="1"/>
  <c r="S13" i="1"/>
  <c r="S15" i="1" s="1"/>
  <c r="S36" i="1" s="1"/>
  <c r="U44" i="1"/>
  <c r="U45" i="1" s="1"/>
  <c r="O128" i="1" l="1"/>
  <c r="O133" i="1"/>
  <c r="P79" i="1"/>
  <c r="O89" i="1"/>
  <c r="T63" i="1"/>
  <c r="T65" i="1" s="1"/>
  <c r="T66" i="1" s="1"/>
  <c r="P86" i="1"/>
  <c r="P88" i="1" s="1"/>
  <c r="P127" i="1" s="1"/>
  <c r="P146" i="1"/>
  <c r="P148" i="1" s="1"/>
  <c r="U144" i="1"/>
  <c r="U143" i="1"/>
  <c r="Q27" i="1"/>
  <c r="Q84" i="1"/>
  <c r="R18" i="1"/>
  <c r="R82" i="1"/>
  <c r="R145" i="1" s="1"/>
  <c r="R147" i="1" s="1"/>
  <c r="S85" i="1"/>
  <c r="S26" i="1" s="1"/>
  <c r="R25" i="1"/>
  <c r="R46" i="1"/>
  <c r="U42" i="1"/>
  <c r="U60" i="1"/>
  <c r="U62" i="1"/>
  <c r="U61" i="1"/>
  <c r="W51" i="1"/>
  <c r="W7" i="1"/>
  <c r="U32" i="1"/>
  <c r="V7" i="1"/>
  <c r="V51" i="1"/>
  <c r="T21" i="1"/>
  <c r="S22" i="1"/>
  <c r="S24" i="1" s="1"/>
  <c r="Q78" i="1"/>
  <c r="S16" i="1"/>
  <c r="S81" i="1" s="1"/>
  <c r="T13" i="1"/>
  <c r="T15" i="1" s="1"/>
  <c r="T36" i="1" s="1"/>
  <c r="U12" i="1"/>
  <c r="V44" i="1"/>
  <c r="P128" i="1" l="1"/>
  <c r="P133" i="1"/>
  <c r="Q79" i="1"/>
  <c r="P89" i="1"/>
  <c r="U63" i="1"/>
  <c r="U65" i="1" s="1"/>
  <c r="U66" i="1" s="1"/>
  <c r="Q86" i="1"/>
  <c r="Q88" i="1" s="1"/>
  <c r="Q127" i="1" s="1"/>
  <c r="Q146" i="1"/>
  <c r="Q148" i="1" s="1"/>
  <c r="S18" i="1"/>
  <c r="S82" i="1"/>
  <c r="S145" i="1" s="1"/>
  <c r="S147" i="1" s="1"/>
  <c r="R27" i="1"/>
  <c r="R84" i="1"/>
  <c r="T85" i="1"/>
  <c r="T26" i="1" s="1"/>
  <c r="S25" i="1"/>
  <c r="S46" i="1"/>
  <c r="V45" i="1"/>
  <c r="W44" i="1"/>
  <c r="W45" i="1" s="1"/>
  <c r="W32" i="1"/>
  <c r="W52" i="1"/>
  <c r="W42" i="1"/>
  <c r="V52" i="1"/>
  <c r="V32" i="1"/>
  <c r="V42" i="1"/>
  <c r="U21" i="1"/>
  <c r="T22" i="1"/>
  <c r="T24" i="1" s="1"/>
  <c r="R78" i="1"/>
  <c r="T16" i="1"/>
  <c r="T81" i="1" s="1"/>
  <c r="V12" i="1"/>
  <c r="U13" i="1"/>
  <c r="U15" i="1" s="1"/>
  <c r="U36" i="1" s="1"/>
  <c r="Q128" i="1" l="1"/>
  <c r="Q133" i="1"/>
  <c r="R79" i="1"/>
  <c r="Q89" i="1"/>
  <c r="R86" i="1"/>
  <c r="R88" i="1" s="1"/>
  <c r="R127" i="1" s="1"/>
  <c r="R146" i="1"/>
  <c r="R148" i="1" s="1"/>
  <c r="V144" i="1"/>
  <c r="V143" i="1"/>
  <c r="T18" i="1"/>
  <c r="T82" i="1"/>
  <c r="T145" i="1" s="1"/>
  <c r="T147" i="1" s="1"/>
  <c r="S27" i="1"/>
  <c r="S84" i="1"/>
  <c r="U85" i="1"/>
  <c r="U26" i="1" s="1"/>
  <c r="T25" i="1"/>
  <c r="T46" i="1"/>
  <c r="V13" i="1"/>
  <c r="V15" i="1" s="1"/>
  <c r="W12" i="1"/>
  <c r="W13" i="1" s="1"/>
  <c r="W15" i="1" s="1"/>
  <c r="W36" i="1" s="1"/>
  <c r="W61" i="1"/>
  <c r="W60" i="1"/>
  <c r="W62" i="1"/>
  <c r="V61" i="1"/>
  <c r="V62" i="1"/>
  <c r="V60" i="1"/>
  <c r="V21" i="1"/>
  <c r="U22" i="1"/>
  <c r="U24" i="1" s="1"/>
  <c r="S78" i="1"/>
  <c r="U16" i="1"/>
  <c r="U81" i="1" s="1"/>
  <c r="R128" i="1" l="1"/>
  <c r="R133" i="1"/>
  <c r="S79" i="1"/>
  <c r="R89" i="1"/>
  <c r="W63" i="1"/>
  <c r="W65" i="1" s="1"/>
  <c r="V63" i="1"/>
  <c r="V65" i="1" s="1"/>
  <c r="V66" i="1" s="1"/>
  <c r="S86" i="1"/>
  <c r="S88" i="1" s="1"/>
  <c r="S127" i="1" s="1"/>
  <c r="S146" i="1"/>
  <c r="S148" i="1" s="1"/>
  <c r="S143" i="1"/>
  <c r="S144" i="1" s="1"/>
  <c r="U18" i="1"/>
  <c r="U82" i="1"/>
  <c r="U145" i="1" s="1"/>
  <c r="U147" i="1" s="1"/>
  <c r="T27" i="1"/>
  <c r="T84" i="1"/>
  <c r="U25" i="1"/>
  <c r="U46" i="1"/>
  <c r="V16" i="1"/>
  <c r="V81" i="1" s="1"/>
  <c r="V36" i="1"/>
  <c r="V22" i="1"/>
  <c r="V24" i="1" s="1"/>
  <c r="W21" i="1"/>
  <c r="W22" i="1" s="1"/>
  <c r="W24" i="1" s="1"/>
  <c r="W46" i="1" s="1"/>
  <c r="W16" i="1"/>
  <c r="W81" i="1" s="1"/>
  <c r="T78" i="1"/>
  <c r="S128" i="1" l="1"/>
  <c r="S133" i="1"/>
  <c r="T79" i="1"/>
  <c r="S89" i="1"/>
  <c r="W78" i="1"/>
  <c r="W66" i="1"/>
  <c r="T86" i="1"/>
  <c r="T88" i="1" s="1"/>
  <c r="T127" i="1" s="1"/>
  <c r="T146" i="1"/>
  <c r="T148" i="1" s="1"/>
  <c r="U27" i="1"/>
  <c r="U84" i="1"/>
  <c r="V18" i="1"/>
  <c r="V82" i="1"/>
  <c r="V145" i="1" s="1"/>
  <c r="V147" i="1" s="1"/>
  <c r="W18" i="1"/>
  <c r="W82" i="1"/>
  <c r="W145" i="1" s="1"/>
  <c r="W147" i="1" s="1"/>
  <c r="V85" i="1"/>
  <c r="V26" i="1" s="1"/>
  <c r="W85" i="1"/>
  <c r="W26" i="1" s="1"/>
  <c r="V25" i="1"/>
  <c r="V46" i="1"/>
  <c r="W25" i="1"/>
  <c r="V78" i="1"/>
  <c r="U78" i="1"/>
  <c r="T128" i="1" l="1"/>
  <c r="T133" i="1"/>
  <c r="U79" i="1"/>
  <c r="T89" i="1"/>
  <c r="W79" i="1"/>
  <c r="V79" i="1"/>
  <c r="U86" i="1"/>
  <c r="U88" i="1" s="1"/>
  <c r="U127" i="1" s="1"/>
  <c r="U146" i="1"/>
  <c r="U148" i="1" s="1"/>
  <c r="W143" i="1"/>
  <c r="W144" i="1" s="1"/>
  <c r="V27" i="1"/>
  <c r="V84" i="1"/>
  <c r="W27" i="1"/>
  <c r="W84" i="1"/>
  <c r="U128" i="1" l="1"/>
  <c r="U133" i="1"/>
  <c r="U89" i="1"/>
  <c r="V86" i="1"/>
  <c r="V88" i="1" s="1"/>
  <c r="V127" i="1" s="1"/>
  <c r="V146" i="1"/>
  <c r="V148" i="1" s="1"/>
  <c r="W86" i="1"/>
  <c r="W88" i="1" s="1"/>
  <c r="W127" i="1" s="1"/>
  <c r="W146" i="1"/>
  <c r="W148" i="1" s="1"/>
  <c r="W128" i="1" l="1"/>
  <c r="W133" i="1"/>
  <c r="V128" i="1"/>
  <c r="V133" i="1"/>
  <c r="W89" i="1"/>
  <c r="V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tc={80405F16-27DD-4E9C-B1AC-31BE43A6BBB9}</author>
    <author>tc={4B16CE26-2766-41CE-A325-DBEBA2AFD5B8}</author>
    <author>tc={4479113B-1DF7-4422-9C2B-F1117EA14193}</author>
  </authors>
  <commentList>
    <comment ref="J12" authorId="0" shapeId="0" xr:uid="{80405F16-27DD-4E9C-B1AC-31BE43A6BBB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1000 students in a law school, considering only T14 schools</t>
      </text>
    </comment>
    <comment ref="J21" authorId="1" shapeId="0" xr:uid="{4B16CE26-2766-41CE-A325-DBEBA2AFD5B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https://www.usnews.com/best-colleges/rankings/national-universities
Reply:
    Including T25 schools</t>
      </text>
    </comment>
    <comment ref="F54" authorId="2" shapeId="0" xr:uid="{4479113B-1DF7-4422-9C2B-F1117EA1419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 on back end - make it feel like a deal</t>
      </text>
    </comment>
  </commentList>
</comments>
</file>

<file path=xl/sharedStrings.xml><?xml version="1.0" encoding="utf-8"?>
<sst xmlns="http://schemas.openxmlformats.org/spreadsheetml/2006/main" count="148" uniqueCount="129">
  <si>
    <t>ProvenPath Operating Model</t>
  </si>
  <si>
    <t>DATE</t>
  </si>
  <si>
    <t>PERIOD</t>
  </si>
  <si>
    <t>Question to answer: how can we cost-efficiently chart a path to profitability without raising capital?</t>
  </si>
  <si>
    <t>QUARTER</t>
  </si>
  <si>
    <t>Uses</t>
  </si>
  <si>
    <t>Sources</t>
  </si>
  <si>
    <t>$</t>
  </si>
  <si>
    <t>%</t>
  </si>
  <si>
    <t>Total</t>
  </si>
  <si>
    <t>LH Capital</t>
  </si>
  <si>
    <t>DD Capital</t>
  </si>
  <si>
    <t>Google Domains</t>
  </si>
  <si>
    <t>Google Workspace</t>
  </si>
  <si>
    <t>Adobe Acrobat Pro</t>
  </si>
  <si>
    <t>Articles of Organization</t>
  </si>
  <si>
    <t>ProvenPath Startup Expenses (as of 8/25/23)</t>
  </si>
  <si>
    <t>Note: All monthly subscription expenses are aggregated for first quarter of operation, beginning 10/1/23</t>
  </si>
  <si>
    <t>Startup Expenses</t>
  </si>
  <si>
    <t>Merchandise</t>
  </si>
  <si>
    <t>Price</t>
  </si>
  <si>
    <t>Bundle</t>
  </si>
  <si>
    <t>% Users</t>
  </si>
  <si>
    <t>Bubble.io</t>
  </si>
  <si>
    <t>$ Per App</t>
  </si>
  <si>
    <t>% Savings</t>
  </si>
  <si>
    <t>Seasonal Demand Factor</t>
  </si>
  <si>
    <t>Annualized Revenue</t>
  </si>
  <si>
    <t>Total Applications Revenue</t>
  </si>
  <si>
    <t>Free Cash Flow</t>
  </si>
  <si>
    <t>Total Revenue</t>
  </si>
  <si>
    <t xml:space="preserve"> growth p.a.</t>
  </si>
  <si>
    <t xml:space="preserve"> demographic</t>
  </si>
  <si>
    <t xml:space="preserve"> conversion</t>
  </si>
  <si>
    <t xml:space="preserve"> cutoff year</t>
  </si>
  <si>
    <t xml:space="preserve"> rev share</t>
  </si>
  <si>
    <t>Financial Model ($ in 000s)</t>
  </si>
  <si>
    <t>Growth Model ($ in 000s)</t>
  </si>
  <si>
    <t xml:space="preserve"> per new app</t>
  </si>
  <si>
    <t>Gross Profit</t>
  </si>
  <si>
    <t>Gross Profit Margin</t>
  </si>
  <si>
    <t>ProvenPath Market Share - LAW</t>
  </si>
  <si>
    <t>Cumulative Applications - LAW</t>
  </si>
  <si>
    <t>App Acquisitions - LAW</t>
  </si>
  <si>
    <t>Admit Revenue Share - LAW</t>
  </si>
  <si>
    <t>ProvenPath Market Share - COLLEGE</t>
  </si>
  <si>
    <t>Cumulative Applications - COLLEGE</t>
  </si>
  <si>
    <t>App Acquisitions - COLLEGE</t>
  </si>
  <si>
    <t>Admit Revenue Share - COLLEGE</t>
  </si>
  <si>
    <t>Marketing Spend - LAW</t>
  </si>
  <si>
    <t>Marketing Factor - LAW</t>
  </si>
  <si>
    <t>Page Impressions - LAW</t>
  </si>
  <si>
    <t>Conversion Rate - LAW</t>
  </si>
  <si>
    <t>Application Purchases - LAW</t>
  </si>
  <si>
    <t>Supply Multiplier - LAW</t>
  </si>
  <si>
    <t>Marketing Spend - COLLEGE</t>
  </si>
  <si>
    <t>Marketing Factor - COLLEGE</t>
  </si>
  <si>
    <t>Page Impressions - COLLEGE</t>
  </si>
  <si>
    <t>Conversion Rate - COLLEGE</t>
  </si>
  <si>
    <t>Application Purchases - COLLEGE</t>
  </si>
  <si>
    <t>Supply Multiplier - COLLEGE</t>
  </si>
  <si>
    <t>SUPPLY - LAW</t>
  </si>
  <si>
    <t>SUPPLY - COLLEGE</t>
  </si>
  <si>
    <t>DEMAND - LAW</t>
  </si>
  <si>
    <t>DEMAND - COLLEGE</t>
  </si>
  <si>
    <t>Gross Profit - LAW</t>
  </si>
  <si>
    <t>Gross Profit Margin - LAW</t>
  </si>
  <si>
    <t>Gross Profit - COLLEGE</t>
  </si>
  <si>
    <t>Gross Profit Margin - COLLEGE</t>
  </si>
  <si>
    <t>Passive Income / App ($ in Ones) - LAW</t>
  </si>
  <si>
    <t>Passive Income / App ($ in Ones) - COLLEGE</t>
  </si>
  <si>
    <t>% YoY Revenue Growth</t>
  </si>
  <si>
    <t>Revenue Growth</t>
  </si>
  <si>
    <t>Applications Revenue Growth</t>
  </si>
  <si>
    <t xml:space="preserve"> MAU trigger</t>
  </si>
  <si>
    <t>$ / MAU</t>
  </si>
  <si>
    <t>Partners</t>
  </si>
  <si>
    <t>Affiliate Marketing - COLLEGE</t>
  </si>
  <si>
    <t>Affiliate Marketing - LAW</t>
  </si>
  <si>
    <t>Sponsored Posts - LAW</t>
  </si>
  <si>
    <t>PPC Digital Ads - LAW</t>
  </si>
  <si>
    <t>Newsletter / Blog Copywriting</t>
  </si>
  <si>
    <t>Public Relations Agency</t>
  </si>
  <si>
    <t>Email Marketing</t>
  </si>
  <si>
    <t>Events and Travel</t>
  </si>
  <si>
    <t>Sales Promotions - LAW</t>
  </si>
  <si>
    <t>Affiliate Commissions - LAW</t>
  </si>
  <si>
    <t>Marketing Analytics Software</t>
  </si>
  <si>
    <t>Sales Promotions - COLLEGE</t>
  </si>
  <si>
    <t>Affiliate Commissions - COLLEGE</t>
  </si>
  <si>
    <t>Sponsored Posts - COLLEGE</t>
  </si>
  <si>
    <t>PPC Digital Ads - COLLEGE</t>
  </si>
  <si>
    <t>Operating Expenses</t>
  </si>
  <si>
    <t>(-) Costs of Goods Sold</t>
  </si>
  <si>
    <t>Cost of Merchandise</t>
  </si>
  <si>
    <t>Admit Upfront Acquisition Fee - LAW</t>
  </si>
  <si>
    <t>Admit Upfront Acquisition Fee - COLLEGE</t>
  </si>
  <si>
    <t>Employee Salaries</t>
  </si>
  <si>
    <t>Contract Labor</t>
  </si>
  <si>
    <t>Hosting Fees</t>
  </si>
  <si>
    <t>[Other Software Services / Licenses]</t>
  </si>
  <si>
    <t>(-) General &amp; Administrative</t>
  </si>
  <si>
    <t>(-) R&amp;D Expenses</t>
  </si>
  <si>
    <t>(-) Marketing Costs</t>
  </si>
  <si>
    <t>Legal Fees</t>
  </si>
  <si>
    <t>Accounting Fees</t>
  </si>
  <si>
    <t>(-) Sales &amp; Distribution Costs</t>
  </si>
  <si>
    <t>Travel &amp; Entertainment</t>
  </si>
  <si>
    <t>Customer Support Services</t>
  </si>
  <si>
    <t>Tier 1 Pricing - LAW</t>
  </si>
  <si>
    <t>Tier 2 Pricing - LAW</t>
  </si>
  <si>
    <t>Tier 3 Pricing - LAW</t>
  </si>
  <si>
    <t>Tier 1 Pricing - COLLEGE</t>
  </si>
  <si>
    <t>Tier 2 Pricing - COLLEGE</t>
  </si>
  <si>
    <t>Tier 3 Pricing - COLLEGE</t>
  </si>
  <si>
    <t>(+) Affiliate Marketing Income</t>
  </si>
  <si>
    <t>(+) Merchandise Sales</t>
  </si>
  <si>
    <t>(+) Data Licensing</t>
  </si>
  <si>
    <t>(+) Corporate Recruitment</t>
  </si>
  <si>
    <t>(+) Apps Revenue - COLLEGE</t>
  </si>
  <si>
    <t>(+) AppsRevenue - LAW</t>
  </si>
  <si>
    <t>MAU - LAW</t>
  </si>
  <si>
    <t>MAU - COLLEGE</t>
  </si>
  <si>
    <t>Operating Profit (EBIT)</t>
  </si>
  <si>
    <t>Operating Profit (EBIT) Margin</t>
  </si>
  <si>
    <t>(-) Interest Expenses</t>
  </si>
  <si>
    <t>(-) Tax Expenses</t>
  </si>
  <si>
    <t>Net Income</t>
  </si>
  <si>
    <t>(-) Asset / Hardware 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</si>
</sst>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-&quot;_);_(@_)"/>
    <numFmt numFmtId="169" formatCode="_(&quot;$&quot;#,##0.0_);_(\(&quot;$&quot;#,##0.0\);_(* &quot;--&quot;_);_(@_)"/>
    <numFmt numFmtId="170" formatCode="_(&quot;$&quot;#,##0.00_);_(\(&quot;$&quot;#,##0.00\);_(* &quot;--&quot;_);_(@_)"/>
    <numFmt numFmtId="177" formatCode="_(* #,##0.00_);_(* \(#,##0.00\);_(* &quot;--&quot;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4"/>
      <name val="Calibri"/>
      <family val="2"/>
      <scheme val="minor"/>
    </font>
    <font>
      <b/>
      <sz val="10"/>
      <color theme="5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9" fontId="1" fillId="0" borderId="2" xfId="0" applyNumberFormat="1" applyFont="1" applyBorder="1" applyAlignment="1">
      <alignment horizontal="right"/>
    </xf>
    <xf numFmtId="9" fontId="1" fillId="0" borderId="0" xfId="0" applyNumberFormat="1" applyFont="1" applyAlignment="1">
      <alignment horizontal="right"/>
    </xf>
    <xf numFmtId="9" fontId="3" fillId="0" borderId="2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1" fontId="3" fillId="0" borderId="2" xfId="0" applyNumberFormat="1" applyFont="1" applyBorder="1"/>
    <xf numFmtId="1" fontId="1" fillId="0" borderId="2" xfId="0" applyNumberFormat="1" applyFont="1" applyBorder="1" applyAlignment="1">
      <alignment horizontal="right"/>
    </xf>
    <xf numFmtId="164" fontId="1" fillId="0" borderId="0" xfId="0" applyNumberFormat="1" applyFont="1"/>
    <xf numFmtId="0" fontId="1" fillId="0" borderId="4" xfId="0" applyFont="1" applyBorder="1"/>
    <xf numFmtId="164" fontId="1" fillId="0" borderId="4" xfId="0" applyNumberFormat="1" applyFont="1" applyBorder="1"/>
    <xf numFmtId="164" fontId="7" fillId="0" borderId="0" xfId="0" applyNumberFormat="1" applyFont="1"/>
    <xf numFmtId="0" fontId="5" fillId="3" borderId="0" xfId="0" applyFont="1" applyFill="1"/>
    <xf numFmtId="0" fontId="5" fillId="0" borderId="0" xfId="0" applyFont="1"/>
    <xf numFmtId="0" fontId="1" fillId="0" borderId="0" xfId="0" applyFont="1" applyAlignment="1">
      <alignment horizontal="left" indent="1"/>
    </xf>
    <xf numFmtId="164" fontId="8" fillId="0" borderId="5" xfId="0" applyNumberFormat="1" applyFont="1" applyBorder="1"/>
    <xf numFmtId="170" fontId="8" fillId="0" borderId="5" xfId="0" applyNumberFormat="1" applyFont="1" applyBorder="1"/>
    <xf numFmtId="164" fontId="4" fillId="0" borderId="0" xfId="0" applyNumberFormat="1" applyFont="1"/>
    <xf numFmtId="0" fontId="4" fillId="0" borderId="0" xfId="0" applyFont="1" applyAlignment="1">
      <alignment horizontal="right"/>
    </xf>
    <xf numFmtId="9" fontId="8" fillId="0" borderId="5" xfId="1" applyFont="1" applyBorder="1"/>
    <xf numFmtId="0" fontId="4" fillId="0" borderId="0" xfId="0" applyFont="1" applyAlignment="1">
      <alignment horizontal="left" indent="1"/>
    </xf>
    <xf numFmtId="0" fontId="1" fillId="0" borderId="0" xfId="0" applyFont="1" applyAlignment="1"/>
    <xf numFmtId="0" fontId="1" fillId="0" borderId="0" xfId="0" applyFont="1" applyBorder="1"/>
    <xf numFmtId="164" fontId="6" fillId="0" borderId="0" xfId="0" applyNumberFormat="1" applyFont="1"/>
    <xf numFmtId="9" fontId="6" fillId="0" borderId="0" xfId="1" applyFont="1" applyBorder="1"/>
    <xf numFmtId="10" fontId="8" fillId="0" borderId="5" xfId="1" applyNumberFormat="1" applyFont="1" applyBorder="1"/>
    <xf numFmtId="10" fontId="8" fillId="0" borderId="0" xfId="1" applyNumberFormat="1" applyFont="1" applyBorder="1"/>
    <xf numFmtId="10" fontId="6" fillId="0" borderId="0" xfId="1" applyNumberFormat="1" applyFont="1" applyBorder="1"/>
    <xf numFmtId="170" fontId="6" fillId="0" borderId="5" xfId="0" applyNumberFormat="1" applyFont="1" applyBorder="1"/>
    <xf numFmtId="9" fontId="6" fillId="0" borderId="5" xfId="1" applyFont="1" applyBorder="1"/>
    <xf numFmtId="170" fontId="8" fillId="0" borderId="6" xfId="0" applyNumberFormat="1" applyFont="1" applyBorder="1"/>
    <xf numFmtId="170" fontId="6" fillId="0" borderId="0" xfId="0" applyNumberFormat="1" applyFont="1" applyBorder="1"/>
    <xf numFmtId="164" fontId="8" fillId="0" borderId="6" xfId="0" applyNumberFormat="1" applyFont="1" applyBorder="1"/>
    <xf numFmtId="164" fontId="8" fillId="0" borderId="0" xfId="0" applyNumberFormat="1" applyFont="1" applyBorder="1"/>
    <xf numFmtId="170" fontId="6" fillId="0" borderId="6" xfId="0" applyNumberFormat="1" applyFont="1" applyBorder="1"/>
    <xf numFmtId="164" fontId="6" fillId="0" borderId="0" xfId="0" applyNumberFormat="1" applyFont="1" applyBorder="1"/>
    <xf numFmtId="2" fontId="1" fillId="0" borderId="0" xfId="0" applyNumberFormat="1" applyFont="1" applyAlignment="1">
      <alignment horizontal="left" indent="1"/>
    </xf>
    <xf numFmtId="177" fontId="1" fillId="0" borderId="0" xfId="0" applyNumberFormat="1" applyFont="1"/>
    <xf numFmtId="164" fontId="1" fillId="4" borderId="0" xfId="0" applyNumberFormat="1" applyFont="1" applyFill="1"/>
    <xf numFmtId="164" fontId="1" fillId="5" borderId="0" xfId="0" applyNumberFormat="1" applyFont="1" applyFill="1"/>
    <xf numFmtId="0" fontId="1" fillId="0" borderId="0" xfId="0" applyFont="1" applyFill="1"/>
    <xf numFmtId="0" fontId="11" fillId="0" borderId="0" xfId="0" applyFont="1"/>
    <xf numFmtId="0" fontId="12" fillId="0" borderId="0" xfId="0" applyFont="1"/>
    <xf numFmtId="164" fontId="1" fillId="0" borderId="0" xfId="0" applyNumberFormat="1" applyFont="1" applyBorder="1"/>
    <xf numFmtId="170" fontId="6" fillId="0" borderId="0" xfId="0" applyNumberFormat="1" applyFont="1" applyBorder="1" applyAlignment="1">
      <alignment horizontal="right"/>
    </xf>
    <xf numFmtId="0" fontId="4" fillId="0" borderId="0" xfId="0" applyFont="1" applyAlignment="1"/>
    <xf numFmtId="9" fontId="8" fillId="0" borderId="6" xfId="1" applyFont="1" applyBorder="1"/>
    <xf numFmtId="9" fontId="6" fillId="0" borderId="6" xfId="1" applyFont="1" applyBorder="1"/>
    <xf numFmtId="2" fontId="6" fillId="0" borderId="0" xfId="0" applyNumberFormat="1" applyFont="1" applyAlignment="1">
      <alignment horizontal="right"/>
    </xf>
    <xf numFmtId="0" fontId="6" fillId="0" borderId="0" xfId="0" applyNumberFormat="1" applyFont="1" applyBorder="1" applyAlignment="1">
      <alignment horizontal="right"/>
    </xf>
    <xf numFmtId="10" fontId="8" fillId="0" borderId="2" xfId="1" applyNumberFormat="1" applyFont="1" applyBorder="1"/>
    <xf numFmtId="0" fontId="4" fillId="0" borderId="2" xfId="0" applyFont="1" applyBorder="1" applyAlignment="1"/>
    <xf numFmtId="0" fontId="4" fillId="0" borderId="0" xfId="0" applyFont="1" applyAlignment="1">
      <alignment horizontal="left"/>
    </xf>
    <xf numFmtId="9" fontId="13" fillId="0" borderId="0" xfId="1" applyFont="1" applyBorder="1" applyAlignment="1">
      <alignment horizontal="right"/>
    </xf>
    <xf numFmtId="0" fontId="4" fillId="0" borderId="0" xfId="0" applyFont="1" applyBorder="1" applyAlignment="1"/>
    <xf numFmtId="10" fontId="14" fillId="0" borderId="0" xfId="1" applyNumberFormat="1" applyFont="1" applyBorder="1"/>
    <xf numFmtId="0" fontId="13" fillId="0" borderId="0" xfId="0" applyNumberFormat="1" applyFont="1" applyBorder="1" applyAlignment="1">
      <alignment horizontal="right"/>
    </xf>
    <xf numFmtId="9" fontId="13" fillId="0" borderId="0" xfId="1" applyNumberFormat="1" applyFont="1" applyBorder="1" applyAlignment="1">
      <alignment horizontal="right"/>
    </xf>
    <xf numFmtId="169" fontId="6" fillId="0" borderId="0" xfId="0" applyNumberFormat="1" applyFont="1" applyBorder="1"/>
    <xf numFmtId="169" fontId="6" fillId="0" borderId="2" xfId="0" applyNumberFormat="1" applyFont="1" applyBorder="1"/>
    <xf numFmtId="169" fontId="5" fillId="0" borderId="2" xfId="0" applyNumberFormat="1" applyFont="1" applyBorder="1"/>
    <xf numFmtId="169" fontId="13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 indent="1"/>
    </xf>
    <xf numFmtId="0" fontId="4" fillId="0" borderId="0" xfId="0" applyFont="1" applyBorder="1" applyAlignment="1">
      <alignment horizontal="right"/>
    </xf>
    <xf numFmtId="169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 inden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169" fontId="13" fillId="0" borderId="2" xfId="0" applyNumberFormat="1" applyFont="1" applyBorder="1"/>
    <xf numFmtId="169" fontId="13" fillId="0" borderId="7" xfId="0" applyNumberFormat="1" applyFont="1" applyBorder="1"/>
    <xf numFmtId="0" fontId="4" fillId="0" borderId="9" xfId="0" applyFont="1" applyBorder="1" applyAlignment="1">
      <alignment horizontal="left" indent="1"/>
    </xf>
    <xf numFmtId="0" fontId="4" fillId="0" borderId="0" xfId="0" applyFont="1" applyBorder="1" applyAlignment="1">
      <alignment horizontal="left"/>
    </xf>
    <xf numFmtId="9" fontId="13" fillId="0" borderId="8" xfId="1" applyFont="1" applyBorder="1" applyAlignment="1">
      <alignment horizontal="right"/>
    </xf>
    <xf numFmtId="169" fontId="13" fillId="0" borderId="8" xfId="0" applyNumberFormat="1" applyFont="1" applyBorder="1"/>
    <xf numFmtId="9" fontId="13" fillId="0" borderId="8" xfId="1" applyNumberFormat="1" applyFont="1" applyBorder="1" applyAlignment="1">
      <alignment horizontal="right"/>
    </xf>
    <xf numFmtId="0" fontId="4" fillId="0" borderId="11" xfId="0" applyFont="1" applyBorder="1" applyAlignment="1">
      <alignment horizontal="left" indent="1"/>
    </xf>
    <xf numFmtId="0" fontId="4" fillId="0" borderId="4" xfId="0" applyFont="1" applyBorder="1" applyAlignment="1">
      <alignment horizontal="left" indent="1"/>
    </xf>
    <xf numFmtId="0" fontId="4" fillId="0" borderId="4" xfId="0" applyFont="1" applyBorder="1"/>
    <xf numFmtId="10" fontId="14" fillId="0" borderId="4" xfId="1" applyNumberFormat="1" applyFont="1" applyBorder="1"/>
    <xf numFmtId="0" fontId="4" fillId="0" borderId="4" xfId="0" applyFont="1" applyBorder="1" applyAlignment="1"/>
    <xf numFmtId="0" fontId="13" fillId="0" borderId="4" xfId="0" applyNumberFormat="1" applyFont="1" applyBorder="1" applyAlignment="1">
      <alignment horizontal="right"/>
    </xf>
    <xf numFmtId="9" fontId="13" fillId="0" borderId="4" xfId="1" applyNumberFormat="1" applyFont="1" applyBorder="1" applyAlignment="1">
      <alignment horizontal="right"/>
    </xf>
    <xf numFmtId="9" fontId="13" fillId="0" borderId="12" xfId="1" applyNumberFormat="1" applyFont="1" applyBorder="1" applyAlignment="1">
      <alignment horizontal="right"/>
    </xf>
    <xf numFmtId="164" fontId="1" fillId="0" borderId="0" xfId="0" applyNumberFormat="1" applyFont="1" applyFill="1"/>
    <xf numFmtId="0" fontId="1" fillId="0" borderId="0" xfId="0" applyFont="1" applyFill="1" applyAlignment="1">
      <alignment horizontal="left" indent="1"/>
    </xf>
    <xf numFmtId="9" fontId="6" fillId="0" borderId="0" xfId="1" applyNumberFormat="1" applyFont="1" applyBorder="1" applyAlignment="1">
      <alignment horizontal="right"/>
    </xf>
    <xf numFmtId="164" fontId="1" fillId="0" borderId="2" xfId="0" applyNumberFormat="1" applyFont="1" applyBorder="1"/>
    <xf numFmtId="170" fontId="13" fillId="0" borderId="2" xfId="0" applyNumberFormat="1" applyFont="1" applyFill="1" applyBorder="1"/>
    <xf numFmtId="164" fontId="13" fillId="0" borderId="2" xfId="0" applyNumberFormat="1" applyFont="1" applyFill="1" applyBorder="1"/>
    <xf numFmtId="0" fontId="4" fillId="0" borderId="2" xfId="0" applyFont="1" applyFill="1" applyBorder="1"/>
    <xf numFmtId="9" fontId="13" fillId="0" borderId="2" xfId="1" applyFont="1" applyFill="1" applyBorder="1"/>
    <xf numFmtId="169" fontId="6" fillId="0" borderId="0" xfId="0" applyNumberFormat="1" applyFont="1" applyFill="1" applyBorder="1"/>
    <xf numFmtId="169" fontId="1" fillId="0" borderId="0" xfId="0" applyNumberFormat="1" applyFont="1" applyFill="1" applyBorder="1"/>
    <xf numFmtId="169" fontId="6" fillId="0" borderId="2" xfId="0" applyNumberFormat="1" applyFont="1" applyFill="1" applyBorder="1"/>
    <xf numFmtId="9" fontId="13" fillId="0" borderId="0" xfId="1" applyFont="1" applyFill="1" applyBorder="1" applyAlignment="1">
      <alignment horizontal="right"/>
    </xf>
    <xf numFmtId="169" fontId="5" fillId="0" borderId="2" xfId="0" applyNumberFormat="1" applyFont="1" applyFill="1" applyBorder="1"/>
    <xf numFmtId="0" fontId="13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/>
    <xf numFmtId="164" fontId="1" fillId="0" borderId="0" xfId="0" applyNumberFormat="1" applyFont="1" applyFill="1" applyBorder="1"/>
    <xf numFmtId="10" fontId="15" fillId="0" borderId="2" xfId="1" applyNumberFormat="1" applyFont="1" applyBorder="1"/>
    <xf numFmtId="0" fontId="16" fillId="0" borderId="2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Don Harris" id="{97412F20-0C13-47BE-BEF3-291F686DB0F0}" userId="37ee146ee958e1b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2" dT="2023-09-01T05:20:08.98" personId="{97412F20-0C13-47BE-BEF3-291F686DB0F0}" id="{80405F16-27DD-4E9C-B1AC-31BE43A6BBB9}">
    <text>Assuming 1000 students in a law school, considering only T14 schools</text>
  </threadedComment>
  <threadedComment ref="J21" dT="2023-08-30T19:02:48.16" personId="{97412F20-0C13-47BE-BEF3-291F686DB0F0}" id="{4B16CE26-2766-41CE-A325-DBEBA2AFD5B8}">
    <text>https://www.usnews.com/best-colleges/rankings/national-universities</text>
    <extLst>
      <x:ext xmlns:xltc2="http://schemas.microsoft.com/office/spreadsheetml/2020/threadedcomments2" uri="{F7C98A9C-CBB3-438F-8F68-D28B6AF4A901}">
        <xltc2:checksum>1198243510</xltc2:checksum>
        <xltc2:hyperlink startIndex="0" length="67" url="https://www.usnews.com/best-colleges/rankings/national-universities"/>
      </x:ext>
    </extLst>
  </threadedComment>
  <threadedComment ref="J21" dT="2023-09-01T05:21:06.44" personId="{97412F20-0C13-47BE-BEF3-291F686DB0F0}" id="{5BA8E05B-DA3C-493F-A595-0144BFA8B794}" parentId="{4B16CE26-2766-41CE-A325-DBEBA2AFD5B8}">
    <text>Including T25 schools</text>
  </threadedComment>
  <threadedComment ref="F54" dT="2023-09-01T03:59:01.81" personId="{97412F20-0C13-47BE-BEF3-291F686DB0F0}" id="{4479113B-1DF7-4422-9C2B-F1117EA14193}">
    <text>no tax on back end - make it feel like a deal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20B8-66FD-4250-9C0E-FF89DF9ABDC4}">
  <dimension ref="A2:Z154"/>
  <sheetViews>
    <sheetView showGridLines="0" tabSelected="1" topLeftCell="A87" zoomScale="108" zoomScaleNormal="125" workbookViewId="0">
      <selection activeCell="C123" sqref="C123"/>
    </sheetView>
  </sheetViews>
  <sheetFormatPr defaultColWidth="9" defaultRowHeight="13.6" x14ac:dyDescent="0.25"/>
  <cols>
    <col min="1" max="3" width="2.625" style="1" customWidth="1"/>
    <col min="4" max="5" width="12.625" style="1" customWidth="1"/>
    <col min="6" max="23" width="11.625" style="1" customWidth="1"/>
    <col min="24" max="25" width="2.625" style="1" customWidth="1"/>
    <col min="26" max="16384" width="9" style="1"/>
  </cols>
  <sheetData>
    <row r="2" spans="3:26" x14ac:dyDescent="0.25">
      <c r="C2" s="5" t="s">
        <v>3</v>
      </c>
    </row>
    <row r="4" spans="3:26" s="4" customFormat="1" x14ac:dyDescent="0.25">
      <c r="C4" s="2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3:26" x14ac:dyDescent="0.25">
      <c r="C5" s="1" t="s">
        <v>1</v>
      </c>
      <c r="J5" s="6">
        <v>45199</v>
      </c>
      <c r="K5" s="6">
        <f>+EOMONTH(J5,3)</f>
        <v>45291</v>
      </c>
      <c r="L5" s="6">
        <f t="shared" ref="L5:N5" si="0">+EOMONTH(K5,3)</f>
        <v>45382</v>
      </c>
      <c r="M5" s="6">
        <f t="shared" si="0"/>
        <v>45473</v>
      </c>
      <c r="N5" s="6">
        <f t="shared" si="0"/>
        <v>45565</v>
      </c>
      <c r="O5" s="6">
        <f t="shared" ref="O5:W5" si="1">+EOMONTH(N5,3)</f>
        <v>45657</v>
      </c>
      <c r="P5" s="6">
        <f t="shared" si="1"/>
        <v>45747</v>
      </c>
      <c r="Q5" s="6">
        <f t="shared" si="1"/>
        <v>45838</v>
      </c>
      <c r="R5" s="6">
        <f t="shared" si="1"/>
        <v>45930</v>
      </c>
      <c r="S5" s="6">
        <f t="shared" si="1"/>
        <v>46022</v>
      </c>
      <c r="T5" s="6">
        <f t="shared" si="1"/>
        <v>46112</v>
      </c>
      <c r="U5" s="6">
        <f t="shared" si="1"/>
        <v>46203</v>
      </c>
      <c r="V5" s="6">
        <f t="shared" si="1"/>
        <v>46295</v>
      </c>
      <c r="W5" s="6">
        <f t="shared" si="1"/>
        <v>46387</v>
      </c>
    </row>
    <row r="6" spans="3:26" x14ac:dyDescent="0.25">
      <c r="C6" s="1" t="s">
        <v>2</v>
      </c>
      <c r="J6" s="21">
        <f t="shared" ref="J6:V6" si="2">+YEARFRAC($J$5,J5)*4</f>
        <v>0</v>
      </c>
      <c r="K6" s="21">
        <f t="shared" si="2"/>
        <v>1</v>
      </c>
      <c r="L6" s="21">
        <f t="shared" si="2"/>
        <v>2</v>
      </c>
      <c r="M6" s="21">
        <f t="shared" si="2"/>
        <v>3</v>
      </c>
      <c r="N6" s="21">
        <f t="shared" si="2"/>
        <v>4</v>
      </c>
      <c r="O6" s="21">
        <f t="shared" si="2"/>
        <v>5</v>
      </c>
      <c r="P6" s="21">
        <f t="shared" si="2"/>
        <v>6</v>
      </c>
      <c r="Q6" s="21">
        <f t="shared" si="2"/>
        <v>7</v>
      </c>
      <c r="R6" s="21">
        <f t="shared" si="2"/>
        <v>8</v>
      </c>
      <c r="S6" s="21">
        <f t="shared" si="2"/>
        <v>9</v>
      </c>
      <c r="T6" s="21">
        <f t="shared" si="2"/>
        <v>10</v>
      </c>
      <c r="U6" s="21">
        <f t="shared" si="2"/>
        <v>11</v>
      </c>
      <c r="V6" s="21">
        <f t="shared" si="2"/>
        <v>12</v>
      </c>
      <c r="W6" s="21">
        <f t="shared" ref="W6" si="3">+YEARFRAC($J$5,W5)*4</f>
        <v>13</v>
      </c>
    </row>
    <row r="7" spans="3:26" x14ac:dyDescent="0.25">
      <c r="C7" s="22" t="s">
        <v>4</v>
      </c>
      <c r="D7" s="22"/>
      <c r="E7" s="22"/>
      <c r="F7" s="22"/>
      <c r="G7" s="22"/>
      <c r="H7" s="22"/>
      <c r="I7" s="22"/>
      <c r="J7" s="23">
        <f>+IF(MOD(J6+3,4)=0,4,MOD(J6+3,4))</f>
        <v>3</v>
      </c>
      <c r="K7" s="23">
        <f t="shared" ref="K7:W7" si="4">+IF(MOD(K6+3,4)=0,4,MOD(K6+3,4))</f>
        <v>4</v>
      </c>
      <c r="L7" s="23">
        <f t="shared" si="4"/>
        <v>1</v>
      </c>
      <c r="M7" s="23">
        <f t="shared" si="4"/>
        <v>2</v>
      </c>
      <c r="N7" s="23">
        <f t="shared" si="4"/>
        <v>3</v>
      </c>
      <c r="O7" s="23">
        <f t="shared" si="4"/>
        <v>4</v>
      </c>
      <c r="P7" s="23">
        <f t="shared" si="4"/>
        <v>1</v>
      </c>
      <c r="Q7" s="23">
        <f t="shared" si="4"/>
        <v>2</v>
      </c>
      <c r="R7" s="23">
        <f t="shared" si="4"/>
        <v>3</v>
      </c>
      <c r="S7" s="23">
        <f t="shared" si="4"/>
        <v>4</v>
      </c>
      <c r="T7" s="23">
        <f t="shared" si="4"/>
        <v>1</v>
      </c>
      <c r="U7" s="23">
        <f t="shared" si="4"/>
        <v>2</v>
      </c>
      <c r="V7" s="23">
        <f t="shared" si="4"/>
        <v>3</v>
      </c>
      <c r="W7" s="23">
        <f t="shared" si="4"/>
        <v>4</v>
      </c>
    </row>
    <row r="9" spans="3:26" s="26" customFormat="1" x14ac:dyDescent="0.25">
      <c r="C9" s="25" t="s">
        <v>37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3:26" x14ac:dyDescent="0.25">
      <c r="G10" s="31"/>
      <c r="H10" s="28">
        <v>5</v>
      </c>
      <c r="I10" s="58" t="s">
        <v>34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3:26" x14ac:dyDescent="0.25">
      <c r="C11" s="54" t="s">
        <v>61</v>
      </c>
    </row>
    <row r="12" spans="3:26" x14ac:dyDescent="0.25">
      <c r="C12" s="4"/>
      <c r="D12" s="1" t="str">
        <f ca="1">+"Admits post "&amp;YEAR(TODAY())-$H$10&amp;" - LAW"</f>
        <v>Admits post 2018 - LAW</v>
      </c>
      <c r="H12" s="32">
        <v>0.02</v>
      </c>
      <c r="I12" s="58" t="s">
        <v>31</v>
      </c>
      <c r="J12" s="46">
        <f>MROUND(14*1000*(1+2/3),1000)</f>
        <v>23000</v>
      </c>
      <c r="K12" s="36">
        <f>+J12*IF(K$7=3,(1+$H$21),1)</f>
        <v>23000</v>
      </c>
      <c r="L12" s="36">
        <f>+K12*IF(L$7=3,(1+$H$21),1)</f>
        <v>23000</v>
      </c>
      <c r="M12" s="36">
        <f>+L12*IF(M$7=3,(1+$H$21),1)</f>
        <v>23000</v>
      </c>
      <c r="N12" s="36">
        <f>+M12*IF(N$7=3,(1+$H$21),1)</f>
        <v>23460</v>
      </c>
      <c r="O12" s="36">
        <f>+N12*IF(O$7=3,(1+$H$21),1)</f>
        <v>23460</v>
      </c>
      <c r="P12" s="36">
        <f>+O12*IF(P$7=3,(1+$H$21),1)</f>
        <v>23460</v>
      </c>
      <c r="Q12" s="36">
        <f>+P12*IF(Q$7=3,(1+$H$21),1)</f>
        <v>23460</v>
      </c>
      <c r="R12" s="36">
        <f>+Q12*IF(R$7=3,(1+$H$21),1)</f>
        <v>23929.200000000001</v>
      </c>
      <c r="S12" s="36">
        <f>+R12*IF(S$7=3,(1+$H$21),1)</f>
        <v>23929.200000000001</v>
      </c>
      <c r="T12" s="36">
        <f>+S12*IF(T$7=3,(1+$H$21),1)</f>
        <v>23929.200000000001</v>
      </c>
      <c r="U12" s="36">
        <f>+T12*IF(U$7=3,(1+$H$21),1)</f>
        <v>23929.200000000001</v>
      </c>
      <c r="V12" s="36">
        <f>+U12*IF(V$7=3,(1+$H$21),1)</f>
        <v>24407.784</v>
      </c>
      <c r="W12" s="36">
        <f>+V12*IF(W$7=3,(1+$H$21),1)</f>
        <v>24407.784</v>
      </c>
      <c r="Z12" s="27"/>
    </row>
    <row r="13" spans="3:26" x14ac:dyDescent="0.25">
      <c r="C13" s="4"/>
      <c r="D13" s="1" t="str">
        <f ca="1">+"Black &amp; Latinx Admits post "&amp;YEAR(TODAY())-$H$10&amp;" - LAW"</f>
        <v>Black &amp; Latinx Admits post 2018 - LAW</v>
      </c>
      <c r="H13" s="32">
        <v>0.1</v>
      </c>
      <c r="I13" s="58" t="s">
        <v>32</v>
      </c>
      <c r="J13" s="36">
        <f>+$H$22*J12</f>
        <v>2300</v>
      </c>
      <c r="K13" s="36">
        <f>+$H$22*K12</f>
        <v>2300</v>
      </c>
      <c r="L13" s="36">
        <f>+$H$22*L12</f>
        <v>2300</v>
      </c>
      <c r="M13" s="36">
        <f>+$H$22*M12</f>
        <v>2300</v>
      </c>
      <c r="N13" s="36">
        <f>+$H$22*N12</f>
        <v>2346</v>
      </c>
      <c r="O13" s="36">
        <f>+$H$22*O12</f>
        <v>2346</v>
      </c>
      <c r="P13" s="36">
        <f>+$H$22*P12</f>
        <v>2346</v>
      </c>
      <c r="Q13" s="36">
        <f>+$H$22*Q12</f>
        <v>2346</v>
      </c>
      <c r="R13" s="36">
        <f>+$H$22*R12</f>
        <v>2392.92</v>
      </c>
      <c r="S13" s="36">
        <f>+$H$22*S12</f>
        <v>2392.92</v>
      </c>
      <c r="T13" s="36">
        <f>+$H$22*T12</f>
        <v>2392.92</v>
      </c>
      <c r="U13" s="36">
        <f>+$H$22*U12</f>
        <v>2392.92</v>
      </c>
      <c r="V13" s="36">
        <f>+$H$22*V12</f>
        <v>2440.7784000000001</v>
      </c>
      <c r="W13" s="36">
        <f>+$H$22*W12</f>
        <v>2440.7784000000001</v>
      </c>
      <c r="Z13" s="27"/>
    </row>
    <row r="14" spans="3:26" x14ac:dyDescent="0.25">
      <c r="C14" s="4"/>
      <c r="D14" s="1" t="s">
        <v>41</v>
      </c>
      <c r="H14" s="38">
        <v>2.5000000000000001E-2</v>
      </c>
      <c r="I14" s="58" t="s">
        <v>31</v>
      </c>
      <c r="J14" s="39">
        <v>0</v>
      </c>
      <c r="K14" s="39">
        <v>0</v>
      </c>
      <c r="L14" s="39">
        <v>0.02</v>
      </c>
      <c r="M14" s="40">
        <f>+L14+$H$14/4</f>
        <v>2.6250000000000002E-2</v>
      </c>
      <c r="N14" s="40">
        <f>+M14+$H$14/4</f>
        <v>3.2500000000000001E-2</v>
      </c>
      <c r="O14" s="40">
        <f>+N14+$H$14/4</f>
        <v>3.875E-2</v>
      </c>
      <c r="P14" s="40">
        <f>+O14+$H$14/4</f>
        <v>4.4999999999999998E-2</v>
      </c>
      <c r="Q14" s="40">
        <f>+P14+$H$14/4</f>
        <v>5.1249999999999997E-2</v>
      </c>
      <c r="R14" s="40">
        <f>+Q14+$H$14/4</f>
        <v>5.7499999999999996E-2</v>
      </c>
      <c r="S14" s="40">
        <f>+R14+$H$14/4</f>
        <v>6.3750000000000001E-2</v>
      </c>
      <c r="T14" s="40">
        <f>+S14+$H$14/4</f>
        <v>7.0000000000000007E-2</v>
      </c>
      <c r="U14" s="40">
        <f>+T14+$H$14/4</f>
        <v>7.6250000000000012E-2</v>
      </c>
      <c r="V14" s="40">
        <f>+U14+$H$14/4</f>
        <v>8.2500000000000018E-2</v>
      </c>
      <c r="W14" s="40">
        <f>+V14+$H$14/4</f>
        <v>8.8750000000000023E-2</v>
      </c>
    </row>
    <row r="15" spans="3:26" x14ac:dyDescent="0.25">
      <c r="C15" s="4"/>
      <c r="D15" s="1" t="s">
        <v>42</v>
      </c>
      <c r="J15" s="36">
        <f>+J14*J13</f>
        <v>0</v>
      </c>
      <c r="K15" s="36">
        <f>+K14*K13</f>
        <v>0</v>
      </c>
      <c r="L15" s="36">
        <f>+L14*L13</f>
        <v>46</v>
      </c>
      <c r="M15" s="36">
        <f>+M14*M13</f>
        <v>60.375000000000007</v>
      </c>
      <c r="N15" s="36">
        <f>+N14*N13</f>
        <v>76.245000000000005</v>
      </c>
      <c r="O15" s="36">
        <f>+O14*O13</f>
        <v>90.907499999999999</v>
      </c>
      <c r="P15" s="36">
        <f>+P14*P13</f>
        <v>105.57</v>
      </c>
      <c r="Q15" s="36">
        <f>+Q14*Q13</f>
        <v>120.23249999999999</v>
      </c>
      <c r="R15" s="36">
        <f>+R14*R13</f>
        <v>137.59289999999999</v>
      </c>
      <c r="S15" s="36">
        <f>+S14*S13</f>
        <v>152.54865000000001</v>
      </c>
      <c r="T15" s="36">
        <f>+T14*T13</f>
        <v>167.50440000000003</v>
      </c>
      <c r="U15" s="36">
        <f>+U14*U13</f>
        <v>182.46015000000003</v>
      </c>
      <c r="V15" s="36">
        <f>+V14*V13</f>
        <v>201.36421800000005</v>
      </c>
      <c r="W15" s="36">
        <f>+W14*W13</f>
        <v>216.61908300000007</v>
      </c>
    </row>
    <row r="16" spans="3:26" x14ac:dyDescent="0.25">
      <c r="C16" s="4"/>
      <c r="D16" s="1" t="s">
        <v>43</v>
      </c>
      <c r="J16" s="21">
        <f>+J15-H15</f>
        <v>0</v>
      </c>
      <c r="K16" s="21">
        <f t="shared" ref="K16" si="5">+K15-J15</f>
        <v>0</v>
      </c>
      <c r="L16" s="21">
        <f t="shared" ref="L16" si="6">+L15-K15</f>
        <v>46</v>
      </c>
      <c r="M16" s="21">
        <f t="shared" ref="M16" si="7">+M15-L15</f>
        <v>14.375000000000007</v>
      </c>
      <c r="N16" s="21">
        <f t="shared" ref="N16" si="8">+N15-M15</f>
        <v>15.869999999999997</v>
      </c>
      <c r="O16" s="21">
        <f t="shared" ref="O16" si="9">+O15-N15</f>
        <v>14.662499999999994</v>
      </c>
      <c r="P16" s="21">
        <f t="shared" ref="P16" si="10">+P15-O15</f>
        <v>14.662499999999994</v>
      </c>
      <c r="Q16" s="21">
        <f t="shared" ref="Q16" si="11">+Q15-P15</f>
        <v>14.662499999999994</v>
      </c>
      <c r="R16" s="21">
        <f t="shared" ref="R16" si="12">+R15-Q15</f>
        <v>17.360399999999998</v>
      </c>
      <c r="S16" s="21">
        <f t="shared" ref="S16" si="13">+S15-R15</f>
        <v>14.955750000000023</v>
      </c>
      <c r="T16" s="21">
        <f t="shared" ref="T16" si="14">+T15-S15</f>
        <v>14.955750000000023</v>
      </c>
      <c r="U16" s="21">
        <f t="shared" ref="U16" si="15">+U15-T15</f>
        <v>14.955749999999995</v>
      </c>
      <c r="V16" s="21">
        <f t="shared" ref="V16:W16" si="16">+V15-U15</f>
        <v>18.904068000000024</v>
      </c>
      <c r="W16" s="21">
        <f t="shared" si="16"/>
        <v>15.254865000000024</v>
      </c>
    </row>
    <row r="17" spans="3:26" x14ac:dyDescent="0.25">
      <c r="C17" s="4"/>
      <c r="D17" s="1" t="s">
        <v>44</v>
      </c>
      <c r="J17" s="44">
        <f>-J$83</f>
        <v>0</v>
      </c>
      <c r="K17" s="44">
        <f>-K$83</f>
        <v>0</v>
      </c>
      <c r="L17" s="44">
        <f>-L$83</f>
        <v>1.5617000000000001</v>
      </c>
      <c r="M17" s="44">
        <f>-M$83</f>
        <v>4.0994625000000005</v>
      </c>
      <c r="N17" s="44">
        <f>-N$83</f>
        <v>7.7655532500000026</v>
      </c>
      <c r="O17" s="44">
        <f>-O$83</f>
        <v>1.5431548124999999</v>
      </c>
      <c r="P17" s="44">
        <f>-P$83</f>
        <v>3.5841015000000001</v>
      </c>
      <c r="Q17" s="44">
        <f>-Q$83</f>
        <v>8.1637867499999999</v>
      </c>
      <c r="R17" s="44">
        <f>-R$83</f>
        <v>14.013836865</v>
      </c>
      <c r="S17" s="44">
        <f>-S$83</f>
        <v>2.5895133337500003</v>
      </c>
      <c r="T17" s="44">
        <f>-T$83</f>
        <v>5.686774380000001</v>
      </c>
      <c r="U17" s="44">
        <f>-U$83</f>
        <v>12.389044185000003</v>
      </c>
      <c r="V17" s="44">
        <f>-V$83</f>
        <v>20.508945603300006</v>
      </c>
      <c r="W17" s="44">
        <f>-W$83</f>
        <v>20.508945603300006</v>
      </c>
    </row>
    <row r="18" spans="3:26" x14ac:dyDescent="0.25">
      <c r="C18" s="4"/>
      <c r="D18" s="1" t="s">
        <v>69</v>
      </c>
      <c r="J18" s="62" t="str">
        <f>+IFERROR(J17/J16*1000,"na")</f>
        <v>na</v>
      </c>
      <c r="K18" s="57" t="str">
        <f t="shared" ref="K18:W18" si="17">+IFERROR(K17/K16*1000,"na")</f>
        <v>na</v>
      </c>
      <c r="L18" s="57">
        <f t="shared" si="17"/>
        <v>33.950000000000003</v>
      </c>
      <c r="M18" s="57">
        <f>+IFERROR(M17/M16*1000,"na")</f>
        <v>285.17999999999989</v>
      </c>
      <c r="N18" s="57">
        <f t="shared" si="17"/>
        <v>489.32282608695675</v>
      </c>
      <c r="O18" s="57">
        <f t="shared" si="17"/>
        <v>105.24500000000003</v>
      </c>
      <c r="P18" s="57">
        <f t="shared" si="17"/>
        <v>244.44000000000011</v>
      </c>
      <c r="Q18" s="57">
        <f t="shared" si="17"/>
        <v>556.7800000000002</v>
      </c>
      <c r="R18" s="57">
        <f t="shared" si="17"/>
        <v>807.23006756756763</v>
      </c>
      <c r="S18" s="57">
        <f t="shared" si="17"/>
        <v>173.14499999999975</v>
      </c>
      <c r="T18" s="57">
        <f t="shared" si="17"/>
        <v>380.23999999999944</v>
      </c>
      <c r="U18" s="57">
        <f t="shared" si="17"/>
        <v>828.38000000000045</v>
      </c>
      <c r="V18" s="57">
        <f t="shared" si="17"/>
        <v>1084.8958860759483</v>
      </c>
      <c r="W18" s="57">
        <f t="shared" si="17"/>
        <v>1344.4199999999985</v>
      </c>
    </row>
    <row r="19" spans="3:26" x14ac:dyDescent="0.25">
      <c r="C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3:26" x14ac:dyDescent="0.25">
      <c r="C20" s="55" t="s">
        <v>62</v>
      </c>
    </row>
    <row r="21" spans="3:26" x14ac:dyDescent="0.25">
      <c r="C21" s="4"/>
      <c r="D21" s="1" t="str">
        <f ca="1">+"Admits post "&amp;YEAR(TODAY())-$H$10&amp;" - COLLEGE"</f>
        <v>Admits post 2018 - COLLEGE</v>
      </c>
      <c r="H21" s="32">
        <v>0.02</v>
      </c>
      <c r="I21" s="58" t="s">
        <v>31</v>
      </c>
      <c r="J21" s="46">
        <f>MROUND((5321+4638+7152+7645+6536+7526+6132+9962+987+6883+8494+4556+7349+7111+4247+8034+15503+8148+8973+32143+32119+7365+7130+7598+28772+23282+20790+17299)*1.2,1000)</f>
        <v>374000</v>
      </c>
      <c r="K21" s="36">
        <f>+J21*IF(K$7=3,(1+$H$21),1)</f>
        <v>374000</v>
      </c>
      <c r="L21" s="36">
        <f>+K21*IF(L$7=3,(1+$H$21),1)</f>
        <v>374000</v>
      </c>
      <c r="M21" s="36">
        <f>+L21*IF(M$7=3,(1+$H$21),1)</f>
        <v>374000</v>
      </c>
      <c r="N21" s="36">
        <f>+M21*IF(N$7=3,(1+$H$21),1)</f>
        <v>381480</v>
      </c>
      <c r="O21" s="36">
        <f>+N21*IF(O$7=3,(1+$H$21),1)</f>
        <v>381480</v>
      </c>
      <c r="P21" s="36">
        <f>+O21*IF(P$7=3,(1+$H$21),1)</f>
        <v>381480</v>
      </c>
      <c r="Q21" s="36">
        <f>+P21*IF(Q$7=3,(1+$H$21),1)</f>
        <v>381480</v>
      </c>
      <c r="R21" s="36">
        <f>+Q21*IF(R$7=3,(1+$H$21),1)</f>
        <v>389109.60000000003</v>
      </c>
      <c r="S21" s="36">
        <f>+R21*IF(S$7=3,(1+$H$21),1)</f>
        <v>389109.60000000003</v>
      </c>
      <c r="T21" s="36">
        <f>+S21*IF(T$7=3,(1+$H$21),1)</f>
        <v>389109.60000000003</v>
      </c>
      <c r="U21" s="36">
        <f>+T21*IF(U$7=3,(1+$H$21),1)</f>
        <v>389109.60000000003</v>
      </c>
      <c r="V21" s="36">
        <f>+U21*IF(V$7=3,(1+$H$21),1)</f>
        <v>396891.79200000002</v>
      </c>
      <c r="W21" s="36">
        <f>+V21*IF(W$7=3,(1+$H$21),1)</f>
        <v>396891.79200000002</v>
      </c>
      <c r="Z21" s="27"/>
    </row>
    <row r="22" spans="3:26" x14ac:dyDescent="0.25">
      <c r="C22" s="4"/>
      <c r="D22" s="1" t="str">
        <f ca="1">+"Black &amp; Latinx Admits post "&amp;YEAR(TODAY())-$H$10&amp;" - COLLEGE"</f>
        <v>Black &amp; Latinx Admits post 2018 - COLLEGE</v>
      </c>
      <c r="H22" s="32">
        <v>0.1</v>
      </c>
      <c r="I22" s="58" t="s">
        <v>32</v>
      </c>
      <c r="J22" s="36">
        <f>+$H$22*J21</f>
        <v>37400</v>
      </c>
      <c r="K22" s="36">
        <f>+$H$22*K21</f>
        <v>37400</v>
      </c>
      <c r="L22" s="36">
        <f>+$H$22*L21</f>
        <v>37400</v>
      </c>
      <c r="M22" s="36">
        <f>+$H$22*M21</f>
        <v>37400</v>
      </c>
      <c r="N22" s="36">
        <f>+$H$22*N21</f>
        <v>38148</v>
      </c>
      <c r="O22" s="36">
        <f>+$H$22*O21</f>
        <v>38148</v>
      </c>
      <c r="P22" s="36">
        <f>+$H$22*P21</f>
        <v>38148</v>
      </c>
      <c r="Q22" s="36">
        <f>+$H$22*Q21</f>
        <v>38148</v>
      </c>
      <c r="R22" s="36">
        <f>+$H$22*R21</f>
        <v>38910.960000000006</v>
      </c>
      <c r="S22" s="36">
        <f>+$H$22*S21</f>
        <v>38910.960000000006</v>
      </c>
      <c r="T22" s="36">
        <f>+$H$22*T21</f>
        <v>38910.960000000006</v>
      </c>
      <c r="U22" s="36">
        <f>+$H$22*U21</f>
        <v>38910.960000000006</v>
      </c>
      <c r="V22" s="36">
        <f>+$H$22*V21</f>
        <v>39689.179200000006</v>
      </c>
      <c r="W22" s="36">
        <f>+$H$22*W21</f>
        <v>39689.179200000006</v>
      </c>
      <c r="Z22" s="27"/>
    </row>
    <row r="23" spans="3:26" x14ac:dyDescent="0.25">
      <c r="C23" s="4"/>
      <c r="D23" s="1" t="s">
        <v>45</v>
      </c>
      <c r="H23" s="38">
        <v>0.01</v>
      </c>
      <c r="I23" s="58" t="s">
        <v>31</v>
      </c>
      <c r="J23" s="39">
        <v>0</v>
      </c>
      <c r="K23" s="39">
        <v>0</v>
      </c>
      <c r="L23" s="39">
        <v>0</v>
      </c>
      <c r="M23" s="39">
        <v>0</v>
      </c>
      <c r="N23" s="39">
        <v>5.0000000000000001E-3</v>
      </c>
      <c r="O23" s="40">
        <f>+N23+$H$23/4</f>
        <v>7.4999999999999997E-3</v>
      </c>
      <c r="P23" s="40">
        <f>+O23+$H$23/4</f>
        <v>0.01</v>
      </c>
      <c r="Q23" s="40">
        <f>+P23+$H$23/4</f>
        <v>1.2500000000000001E-2</v>
      </c>
      <c r="R23" s="40">
        <f>+Q23+$H$23/4</f>
        <v>1.5000000000000001E-2</v>
      </c>
      <c r="S23" s="40">
        <f>+R23+$H$23/4</f>
        <v>1.7500000000000002E-2</v>
      </c>
      <c r="T23" s="40">
        <f>+S23+$H$23/4</f>
        <v>0.02</v>
      </c>
      <c r="U23" s="40">
        <f>+T23+$H$23/4</f>
        <v>2.2499999999999999E-2</v>
      </c>
      <c r="V23" s="40">
        <f>+U23+$H$23/4</f>
        <v>2.4999999999999998E-2</v>
      </c>
      <c r="W23" s="40">
        <f>+V23+$H$23/4</f>
        <v>2.7499999999999997E-2</v>
      </c>
    </row>
    <row r="24" spans="3:26" x14ac:dyDescent="0.25">
      <c r="C24" s="4"/>
      <c r="D24" s="1" t="s">
        <v>46</v>
      </c>
      <c r="J24" s="36">
        <f>+J23*J22</f>
        <v>0</v>
      </c>
      <c r="K24" s="36">
        <f>+K23*K22</f>
        <v>0</v>
      </c>
      <c r="L24" s="36">
        <f>+L23*L22</f>
        <v>0</v>
      </c>
      <c r="M24" s="36">
        <f>+M23*M22</f>
        <v>0</v>
      </c>
      <c r="N24" s="36">
        <f>+N23*N22</f>
        <v>190.74</v>
      </c>
      <c r="O24" s="36">
        <f>+O23*O22</f>
        <v>286.11</v>
      </c>
      <c r="P24" s="36">
        <f>+P23*P22</f>
        <v>381.48</v>
      </c>
      <c r="Q24" s="36">
        <f>+Q23*Q22</f>
        <v>476.85</v>
      </c>
      <c r="R24" s="36">
        <f>+R23*R22</f>
        <v>583.66440000000011</v>
      </c>
      <c r="S24" s="36">
        <f>+S23*S22</f>
        <v>680.94180000000017</v>
      </c>
      <c r="T24" s="36">
        <f>+T23*T22</f>
        <v>778.21920000000011</v>
      </c>
      <c r="U24" s="36">
        <f>+U23*U22</f>
        <v>875.49660000000006</v>
      </c>
      <c r="V24" s="36">
        <f>+V23*V22</f>
        <v>992.22948000000008</v>
      </c>
      <c r="W24" s="36">
        <f>+W23*W22</f>
        <v>1091.4524280000001</v>
      </c>
    </row>
    <row r="25" spans="3:26" x14ac:dyDescent="0.25">
      <c r="C25" s="4"/>
      <c r="D25" s="1" t="s">
        <v>47</v>
      </c>
      <c r="J25" s="21">
        <f>+J24-H24</f>
        <v>0</v>
      </c>
      <c r="K25" s="21">
        <f t="shared" ref="K25:W25" si="18">+K24-J24</f>
        <v>0</v>
      </c>
      <c r="L25" s="21">
        <f t="shared" si="18"/>
        <v>0</v>
      </c>
      <c r="M25" s="21">
        <f t="shared" si="18"/>
        <v>0</v>
      </c>
      <c r="N25" s="21">
        <f t="shared" si="18"/>
        <v>190.74</v>
      </c>
      <c r="O25" s="21">
        <f t="shared" si="18"/>
        <v>95.37</v>
      </c>
      <c r="P25" s="21">
        <f t="shared" si="18"/>
        <v>95.37</v>
      </c>
      <c r="Q25" s="21">
        <f t="shared" si="18"/>
        <v>95.37</v>
      </c>
      <c r="R25" s="21">
        <f t="shared" si="18"/>
        <v>106.81440000000009</v>
      </c>
      <c r="S25" s="21">
        <f t="shared" si="18"/>
        <v>97.277400000000057</v>
      </c>
      <c r="T25" s="21">
        <f t="shared" si="18"/>
        <v>97.277399999999943</v>
      </c>
      <c r="U25" s="21">
        <f t="shared" si="18"/>
        <v>97.277399999999943</v>
      </c>
      <c r="V25" s="21">
        <f t="shared" si="18"/>
        <v>116.73288000000002</v>
      </c>
      <c r="W25" s="21">
        <f t="shared" si="18"/>
        <v>99.222947999999974</v>
      </c>
    </row>
    <row r="26" spans="3:26" x14ac:dyDescent="0.25">
      <c r="C26" s="4"/>
      <c r="D26" s="1" t="s">
        <v>48</v>
      </c>
      <c r="J26" s="44">
        <f>-J$85</f>
        <v>0</v>
      </c>
      <c r="K26" s="44">
        <f>-K$85</f>
        <v>0</v>
      </c>
      <c r="L26" s="44">
        <f>-L$85</f>
        <v>0</v>
      </c>
      <c r="M26" s="44">
        <f>-M$85</f>
        <v>0</v>
      </c>
      <c r="N26" s="44">
        <f>-N$85</f>
        <v>9.8679339000000006</v>
      </c>
      <c r="O26" s="44">
        <f>-O$85</f>
        <v>2.4669834750000001</v>
      </c>
      <c r="P26" s="44">
        <f>-P$85</f>
        <v>6.5786226000000001</v>
      </c>
      <c r="Q26" s="44">
        <f>-Q$85</f>
        <v>16.4465565</v>
      </c>
      <c r="R26" s="44">
        <f>-R$85</f>
        <v>30.195877734000007</v>
      </c>
      <c r="S26" s="44">
        <f>-S$85</f>
        <v>5.8714206705000018</v>
      </c>
      <c r="T26" s="44">
        <f>-T$85</f>
        <v>13.420390104000001</v>
      </c>
      <c r="U26" s="44">
        <f>-U$85</f>
        <v>30.195877734</v>
      </c>
      <c r="V26" s="44">
        <f>-V$85</f>
        <v>51.332992147800013</v>
      </c>
      <c r="W26" s="44">
        <f>-W$85</f>
        <v>51.332992147800013</v>
      </c>
    </row>
    <row r="27" spans="3:26" x14ac:dyDescent="0.25">
      <c r="C27" s="4"/>
      <c r="D27" s="1" t="s">
        <v>70</v>
      </c>
      <c r="H27" s="29">
        <v>75</v>
      </c>
      <c r="I27" s="58" t="s">
        <v>38</v>
      </c>
      <c r="J27" s="62" t="str">
        <f>+IFERROR(J26/J25*1000,"na")</f>
        <v>na</v>
      </c>
      <c r="K27" s="57" t="str">
        <f t="shared" ref="K27" si="19">+IFERROR(K26/K25*1000,"na")</f>
        <v>na</v>
      </c>
      <c r="L27" s="57" t="str">
        <f t="shared" ref="L27" si="20">+IFERROR(L26/L25*1000,"na")</f>
        <v>na</v>
      </c>
      <c r="M27" s="57" t="str">
        <f t="shared" ref="M27" si="21">+IFERROR(M26/M25*1000,"na")</f>
        <v>na</v>
      </c>
      <c r="N27" s="57">
        <f t="shared" ref="N27" si="22">+IFERROR(N26/N25*1000,"na")</f>
        <v>51.735000000000007</v>
      </c>
      <c r="O27" s="57">
        <f t="shared" ref="O27" si="23">+IFERROR(O26/O25*1000,"na")</f>
        <v>25.867500000000003</v>
      </c>
      <c r="P27" s="57">
        <f t="shared" ref="P27" si="24">+IFERROR(P26/P25*1000,"na")</f>
        <v>68.98</v>
      </c>
      <c r="Q27" s="57">
        <f t="shared" ref="Q27" si="25">+IFERROR(Q26/Q25*1000,"na")</f>
        <v>172.45</v>
      </c>
      <c r="R27" s="57">
        <f t="shared" ref="R27" si="26">+IFERROR(R26/R25*1000,"na")</f>
        <v>282.69482142857129</v>
      </c>
      <c r="S27" s="57">
        <f t="shared" ref="S27" si="27">+IFERROR(S26/S25*1000,"na")</f>
        <v>60.35749999999998</v>
      </c>
      <c r="T27" s="57">
        <f t="shared" ref="T27" si="28">+IFERROR(T26/T25*1000,"na")</f>
        <v>137.96000000000009</v>
      </c>
      <c r="U27" s="57">
        <f t="shared" ref="U27" si="29">+IFERROR(U26/U25*1000,"na")</f>
        <v>310.4100000000002</v>
      </c>
      <c r="V27" s="57">
        <f t="shared" ref="V27" si="30">+IFERROR(V26/V25*1000,"na")</f>
        <v>439.7475</v>
      </c>
      <c r="W27" s="57">
        <f t="shared" ref="W27" si="31">+IFERROR(W26/W25*1000,"na")</f>
        <v>517.35000000000036</v>
      </c>
    </row>
    <row r="28" spans="3:26" x14ac:dyDescent="0.25">
      <c r="C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3:26" x14ac:dyDescent="0.25">
      <c r="C29" s="54" t="s">
        <v>63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3:26" x14ac:dyDescent="0.25">
      <c r="C30" s="4"/>
      <c r="D30" s="1" t="s">
        <v>49</v>
      </c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</row>
    <row r="31" spans="3:26" x14ac:dyDescent="0.25">
      <c r="C31" s="4"/>
      <c r="D31" s="1" t="s">
        <v>50</v>
      </c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spans="3:26" x14ac:dyDescent="0.25">
      <c r="C32" s="4"/>
      <c r="D32" s="1" t="s">
        <v>26</v>
      </c>
      <c r="J32" s="50">
        <f>+CHOOSE(J$7,$Z$33,$Z$34,$Z$35,$Z$36)</f>
        <v>0.75</v>
      </c>
      <c r="K32" s="50">
        <f>+CHOOSE(K$7,$Z$33,$Z$34,$Z$35,$Z$36)</f>
        <v>1</v>
      </c>
      <c r="L32" s="50">
        <f>+CHOOSE(L$7,$Z$33,$Z$34,$Z$35,$Z$36)</f>
        <v>0.25</v>
      </c>
      <c r="M32" s="50">
        <f>+CHOOSE(M$7,$Z$33,$Z$34,$Z$35,$Z$36)</f>
        <v>0.5</v>
      </c>
      <c r="N32" s="50">
        <f>+CHOOSE(N$7,$Z$33,$Z$34,$Z$35,$Z$36)</f>
        <v>0.75</v>
      </c>
      <c r="O32" s="50">
        <f>+CHOOSE(O$7,$Z$33,$Z$34,$Z$35,$Z$36)</f>
        <v>1</v>
      </c>
      <c r="P32" s="50">
        <f>+CHOOSE(P$7,$Z$33,$Z$34,$Z$35,$Z$36)</f>
        <v>0.25</v>
      </c>
      <c r="Q32" s="50">
        <f>+CHOOSE(Q$7,$Z$33,$Z$34,$Z$35,$Z$36)</f>
        <v>0.5</v>
      </c>
      <c r="R32" s="50">
        <f>+CHOOSE(R$7,$Z$33,$Z$34,$Z$35,$Z$36)</f>
        <v>0.75</v>
      </c>
      <c r="S32" s="50">
        <f>+CHOOSE(S$7,$Z$33,$Z$34,$Z$35,$Z$36)</f>
        <v>1</v>
      </c>
      <c r="T32" s="50">
        <f>+CHOOSE(T$7,$Z$33,$Z$34,$Z$35,$Z$36)</f>
        <v>0.25</v>
      </c>
      <c r="U32" s="50">
        <f>+CHOOSE(U$7,$Z$33,$Z$34,$Z$35,$Z$36)</f>
        <v>0.5</v>
      </c>
      <c r="V32" s="50">
        <f>+CHOOSE(V$7,$Z$33,$Z$34,$Z$35,$Z$36)</f>
        <v>0.75</v>
      </c>
      <c r="W32" s="50">
        <f>+CHOOSE(W$7,$Z$33,$Z$34,$Z$35,$Z$36)</f>
        <v>1</v>
      </c>
      <c r="Z32" s="1" t="s">
        <v>26</v>
      </c>
    </row>
    <row r="33" spans="3:26" x14ac:dyDescent="0.25">
      <c r="C33" s="4"/>
      <c r="D33" s="53" t="s">
        <v>51</v>
      </c>
      <c r="E33" s="53"/>
      <c r="F33" s="53"/>
      <c r="G33" s="53"/>
      <c r="H33" s="53"/>
      <c r="I33" s="53"/>
      <c r="J33" s="51">
        <v>0</v>
      </c>
      <c r="K33" s="51">
        <v>0</v>
      </c>
      <c r="L33" s="51">
        <v>1533.3333333333335</v>
      </c>
      <c r="M33" s="51">
        <v>4025.0000000000005</v>
      </c>
      <c r="N33" s="51">
        <v>7624.5000000000009</v>
      </c>
      <c r="O33" s="51">
        <v>1515.125</v>
      </c>
      <c r="P33" s="51">
        <v>3519</v>
      </c>
      <c r="Q33" s="51">
        <v>8015.4999999999991</v>
      </c>
      <c r="R33" s="51">
        <v>13759.289999999999</v>
      </c>
      <c r="S33" s="51">
        <v>2542.4775000000004</v>
      </c>
      <c r="T33" s="51">
        <v>5583.4800000000014</v>
      </c>
      <c r="U33" s="51">
        <v>12164.010000000002</v>
      </c>
      <c r="V33" s="51">
        <v>20136.421800000007</v>
      </c>
      <c r="W33" s="51">
        <v>20136.421800000007</v>
      </c>
      <c r="Z33" s="49">
        <v>0.25</v>
      </c>
    </row>
    <row r="34" spans="3:26" x14ac:dyDescent="0.25">
      <c r="C34" s="4"/>
      <c r="D34" s="1" t="s">
        <v>52</v>
      </c>
      <c r="H34" s="38">
        <v>0.03</v>
      </c>
      <c r="I34" s="58" t="s">
        <v>33</v>
      </c>
      <c r="J34" s="40">
        <f>+H34</f>
        <v>0.03</v>
      </c>
      <c r="K34" s="40">
        <f t="shared" ref="K34:V34" si="32">+J34</f>
        <v>0.03</v>
      </c>
      <c r="L34" s="40">
        <f t="shared" si="32"/>
        <v>0.03</v>
      </c>
      <c r="M34" s="40">
        <f t="shared" si="32"/>
        <v>0.03</v>
      </c>
      <c r="N34" s="40">
        <f t="shared" si="32"/>
        <v>0.03</v>
      </c>
      <c r="O34" s="40">
        <f t="shared" si="32"/>
        <v>0.03</v>
      </c>
      <c r="P34" s="40">
        <f t="shared" si="32"/>
        <v>0.03</v>
      </c>
      <c r="Q34" s="40">
        <f t="shared" si="32"/>
        <v>0.03</v>
      </c>
      <c r="R34" s="40">
        <f t="shared" si="32"/>
        <v>0.03</v>
      </c>
      <c r="S34" s="40">
        <f t="shared" si="32"/>
        <v>0.03</v>
      </c>
      <c r="T34" s="40">
        <f t="shared" si="32"/>
        <v>0.03</v>
      </c>
      <c r="U34" s="40">
        <f t="shared" si="32"/>
        <v>0.03</v>
      </c>
      <c r="V34" s="40">
        <f t="shared" si="32"/>
        <v>0.03</v>
      </c>
      <c r="W34" s="40">
        <f t="shared" ref="W34" si="33">+V34</f>
        <v>0.03</v>
      </c>
      <c r="Z34" s="49">
        <v>0.5</v>
      </c>
    </row>
    <row r="35" spans="3:26" x14ac:dyDescent="0.25">
      <c r="C35" s="4"/>
      <c r="D35" s="1" t="s">
        <v>53</v>
      </c>
      <c r="J35" s="21">
        <f>+J33*J34</f>
        <v>0</v>
      </c>
      <c r="K35" s="21">
        <f t="shared" ref="K35:W35" si="34">+K33*K34</f>
        <v>0</v>
      </c>
      <c r="L35" s="21">
        <f t="shared" si="34"/>
        <v>46</v>
      </c>
      <c r="M35" s="21">
        <f t="shared" si="34"/>
        <v>120.75000000000001</v>
      </c>
      <c r="N35" s="21">
        <f t="shared" si="34"/>
        <v>228.73500000000001</v>
      </c>
      <c r="O35" s="21">
        <f t="shared" si="34"/>
        <v>45.453749999999999</v>
      </c>
      <c r="P35" s="21">
        <f t="shared" si="34"/>
        <v>105.57</v>
      </c>
      <c r="Q35" s="21">
        <f t="shared" si="34"/>
        <v>240.46499999999997</v>
      </c>
      <c r="R35" s="21">
        <f t="shared" si="34"/>
        <v>412.77869999999996</v>
      </c>
      <c r="S35" s="21">
        <f t="shared" si="34"/>
        <v>76.274325000000005</v>
      </c>
      <c r="T35" s="21">
        <f t="shared" si="34"/>
        <v>167.50440000000003</v>
      </c>
      <c r="U35" s="21">
        <f t="shared" si="34"/>
        <v>364.92030000000005</v>
      </c>
      <c r="V35" s="21">
        <f t="shared" si="34"/>
        <v>604.09265400000015</v>
      </c>
      <c r="W35" s="21">
        <f t="shared" si="34"/>
        <v>604.09265400000015</v>
      </c>
      <c r="Z35" s="49">
        <v>0.75</v>
      </c>
    </row>
    <row r="36" spans="3:26" x14ac:dyDescent="0.25">
      <c r="C36" s="4"/>
      <c r="D36" s="1" t="s">
        <v>54</v>
      </c>
      <c r="J36" s="61" t="str">
        <f>+IFERROR(J35/J15,"na")</f>
        <v>na</v>
      </c>
      <c r="K36" s="61" t="str">
        <f t="shared" ref="K36:W36" si="35">+IFERROR(K35/K15,"na")</f>
        <v>na</v>
      </c>
      <c r="L36" s="61">
        <f t="shared" si="35"/>
        <v>1</v>
      </c>
      <c r="M36" s="61">
        <f t="shared" si="35"/>
        <v>2</v>
      </c>
      <c r="N36" s="61">
        <f t="shared" si="35"/>
        <v>3</v>
      </c>
      <c r="O36" s="61">
        <f t="shared" si="35"/>
        <v>0.5</v>
      </c>
      <c r="P36" s="61">
        <f t="shared" si="35"/>
        <v>1</v>
      </c>
      <c r="Q36" s="61">
        <f t="shared" si="35"/>
        <v>2</v>
      </c>
      <c r="R36" s="61">
        <f t="shared" si="35"/>
        <v>3</v>
      </c>
      <c r="S36" s="61">
        <f t="shared" si="35"/>
        <v>0.5</v>
      </c>
      <c r="T36" s="61">
        <f t="shared" si="35"/>
        <v>1</v>
      </c>
      <c r="U36" s="61">
        <f t="shared" si="35"/>
        <v>2</v>
      </c>
      <c r="V36" s="61">
        <f t="shared" si="35"/>
        <v>3</v>
      </c>
      <c r="W36" s="61">
        <f t="shared" si="35"/>
        <v>2.788732394366197</v>
      </c>
      <c r="Z36" s="49">
        <v>1</v>
      </c>
    </row>
    <row r="37" spans="3:26" x14ac:dyDescent="0.25">
      <c r="C37" s="4"/>
      <c r="D37" s="1" t="s">
        <v>121</v>
      </c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</row>
    <row r="38" spans="3:26" x14ac:dyDescent="0.25">
      <c r="C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Z38" s="27"/>
    </row>
    <row r="39" spans="3:26" x14ac:dyDescent="0.25">
      <c r="C39" s="55" t="s">
        <v>64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3:26" x14ac:dyDescent="0.25">
      <c r="D40" s="1" t="s">
        <v>55</v>
      </c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</row>
    <row r="41" spans="3:26" x14ac:dyDescent="0.25">
      <c r="D41" s="1" t="s">
        <v>56</v>
      </c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</row>
    <row r="42" spans="3:26" x14ac:dyDescent="0.25">
      <c r="D42" s="1" t="s">
        <v>26</v>
      </c>
      <c r="J42" s="50">
        <f>+CHOOSE(J$7,$Z$33,$Z$34,$Z$35,$Z$36)</f>
        <v>0.75</v>
      </c>
      <c r="K42" s="50">
        <f>+CHOOSE(K$7,$Z$33,$Z$34,$Z$35,$Z$36)</f>
        <v>1</v>
      </c>
      <c r="L42" s="50">
        <f>+CHOOSE(L$7,$Z$33,$Z$34,$Z$35,$Z$36)</f>
        <v>0.25</v>
      </c>
      <c r="M42" s="50">
        <f>+CHOOSE(M$7,$Z$33,$Z$34,$Z$35,$Z$36)</f>
        <v>0.5</v>
      </c>
      <c r="N42" s="50">
        <f>+CHOOSE(N$7,$Z$33,$Z$34,$Z$35,$Z$36)</f>
        <v>0.75</v>
      </c>
      <c r="O42" s="50">
        <f>+CHOOSE(O$7,$Z$33,$Z$34,$Z$35,$Z$36)</f>
        <v>1</v>
      </c>
      <c r="P42" s="50">
        <f>+CHOOSE(P$7,$Z$33,$Z$34,$Z$35,$Z$36)</f>
        <v>0.25</v>
      </c>
      <c r="Q42" s="50">
        <f>+CHOOSE(Q$7,$Z$33,$Z$34,$Z$35,$Z$36)</f>
        <v>0.5</v>
      </c>
      <c r="R42" s="50">
        <f>+CHOOSE(R$7,$Z$33,$Z$34,$Z$35,$Z$36)</f>
        <v>0.75</v>
      </c>
      <c r="S42" s="50">
        <f>+CHOOSE(S$7,$Z$33,$Z$34,$Z$35,$Z$36)</f>
        <v>1</v>
      </c>
      <c r="T42" s="50">
        <f>+CHOOSE(T$7,$Z$33,$Z$34,$Z$35,$Z$36)</f>
        <v>0.25</v>
      </c>
      <c r="U42" s="50">
        <f>+CHOOSE(U$7,$Z$33,$Z$34,$Z$35,$Z$36)</f>
        <v>0.5</v>
      </c>
      <c r="V42" s="50">
        <f>+CHOOSE(V$7,$Z$33,$Z$34,$Z$35,$Z$36)</f>
        <v>0.75</v>
      </c>
      <c r="W42" s="50">
        <f>+CHOOSE(W$7,$Z$33,$Z$34,$Z$35,$Z$36)</f>
        <v>1</v>
      </c>
    </row>
    <row r="43" spans="3:26" x14ac:dyDescent="0.25">
      <c r="D43" s="53" t="s">
        <v>57</v>
      </c>
      <c r="E43" s="53"/>
      <c r="F43" s="53"/>
      <c r="G43" s="53"/>
      <c r="H43" s="53"/>
      <c r="I43" s="53"/>
      <c r="J43" s="51">
        <v>0</v>
      </c>
      <c r="K43" s="51">
        <v>0</v>
      </c>
      <c r="L43" s="51">
        <v>0</v>
      </c>
      <c r="M43" s="51">
        <v>0</v>
      </c>
      <c r="N43" s="51">
        <v>19074</v>
      </c>
      <c r="O43" s="51">
        <v>4768.5</v>
      </c>
      <c r="P43" s="51">
        <v>12716.000000000002</v>
      </c>
      <c r="Q43" s="51">
        <v>31790.000000000004</v>
      </c>
      <c r="R43" s="51">
        <v>58366.440000000017</v>
      </c>
      <c r="S43" s="51">
        <v>11349.030000000002</v>
      </c>
      <c r="T43" s="51">
        <v>25940.640000000003</v>
      </c>
      <c r="U43" s="51">
        <v>58366.44000000001</v>
      </c>
      <c r="V43" s="51">
        <v>99222.948000000019</v>
      </c>
      <c r="W43" s="51">
        <v>99222.948000000019</v>
      </c>
    </row>
    <row r="44" spans="3:26" x14ac:dyDescent="0.25">
      <c r="D44" s="1" t="s">
        <v>58</v>
      </c>
      <c r="H44" s="38">
        <v>0.03</v>
      </c>
      <c r="I44" s="58" t="s">
        <v>33</v>
      </c>
      <c r="J44" s="40">
        <f>+H44</f>
        <v>0.03</v>
      </c>
      <c r="K44" s="40">
        <f t="shared" ref="K44:V44" si="36">+J44</f>
        <v>0.03</v>
      </c>
      <c r="L44" s="40">
        <f t="shared" si="36"/>
        <v>0.03</v>
      </c>
      <c r="M44" s="40">
        <f t="shared" si="36"/>
        <v>0.03</v>
      </c>
      <c r="N44" s="40">
        <f t="shared" si="36"/>
        <v>0.03</v>
      </c>
      <c r="O44" s="40">
        <f t="shared" si="36"/>
        <v>0.03</v>
      </c>
      <c r="P44" s="40">
        <f t="shared" si="36"/>
        <v>0.03</v>
      </c>
      <c r="Q44" s="40">
        <f t="shared" si="36"/>
        <v>0.03</v>
      </c>
      <c r="R44" s="40">
        <f t="shared" si="36"/>
        <v>0.03</v>
      </c>
      <c r="S44" s="40">
        <f t="shared" si="36"/>
        <v>0.03</v>
      </c>
      <c r="T44" s="40">
        <f t="shared" si="36"/>
        <v>0.03</v>
      </c>
      <c r="U44" s="40">
        <f t="shared" si="36"/>
        <v>0.03</v>
      </c>
      <c r="V44" s="40">
        <f t="shared" si="36"/>
        <v>0.03</v>
      </c>
      <c r="W44" s="40">
        <f t="shared" ref="W44" si="37">+V44</f>
        <v>0.03</v>
      </c>
    </row>
    <row r="45" spans="3:26" x14ac:dyDescent="0.25">
      <c r="D45" s="1" t="s">
        <v>59</v>
      </c>
      <c r="J45" s="21">
        <f>+J43*J44</f>
        <v>0</v>
      </c>
      <c r="K45" s="21">
        <f t="shared" ref="K45" si="38">+K43*K44</f>
        <v>0</v>
      </c>
      <c r="L45" s="21">
        <f t="shared" ref="L45" si="39">+L43*L44</f>
        <v>0</v>
      </c>
      <c r="M45" s="21">
        <f t="shared" ref="M45" si="40">+M43*M44</f>
        <v>0</v>
      </c>
      <c r="N45" s="21">
        <f t="shared" ref="N45" si="41">+N43*N44</f>
        <v>572.22</v>
      </c>
      <c r="O45" s="21">
        <f t="shared" ref="O45" si="42">+O43*O44</f>
        <v>143.05500000000001</v>
      </c>
      <c r="P45" s="21">
        <f t="shared" ref="P45" si="43">+P43*P44</f>
        <v>381.48</v>
      </c>
      <c r="Q45" s="21">
        <f t="shared" ref="Q45" si="44">+Q43*Q44</f>
        <v>953.7</v>
      </c>
      <c r="R45" s="21">
        <f t="shared" ref="R45" si="45">+R43*R44</f>
        <v>1750.9932000000003</v>
      </c>
      <c r="S45" s="21">
        <f t="shared" ref="S45" si="46">+S43*S44</f>
        <v>340.47090000000009</v>
      </c>
      <c r="T45" s="21">
        <f t="shared" ref="T45" si="47">+T43*T44</f>
        <v>778.21920000000011</v>
      </c>
      <c r="U45" s="21">
        <f t="shared" ref="U45" si="48">+U43*U44</f>
        <v>1750.9932000000001</v>
      </c>
      <c r="V45" s="21">
        <f t="shared" ref="V45:W45" si="49">+V43*V44</f>
        <v>2976.6884400000004</v>
      </c>
      <c r="W45" s="21">
        <f t="shared" si="49"/>
        <v>2976.6884400000004</v>
      </c>
    </row>
    <row r="46" spans="3:26" x14ac:dyDescent="0.25">
      <c r="D46" s="1" t="s">
        <v>60</v>
      </c>
      <c r="J46" s="61" t="str">
        <f>+IFERROR(J45/J24,"na")</f>
        <v>na</v>
      </c>
      <c r="K46" s="61" t="str">
        <f t="shared" ref="K46:W46" si="50">+IFERROR(K45/K24,"na")</f>
        <v>na</v>
      </c>
      <c r="L46" s="61" t="str">
        <f t="shared" si="50"/>
        <v>na</v>
      </c>
      <c r="M46" s="61" t="str">
        <f t="shared" si="50"/>
        <v>na</v>
      </c>
      <c r="N46" s="61">
        <f t="shared" si="50"/>
        <v>3</v>
      </c>
      <c r="O46" s="61">
        <f t="shared" si="50"/>
        <v>0.5</v>
      </c>
      <c r="P46" s="61">
        <f t="shared" si="50"/>
        <v>1</v>
      </c>
      <c r="Q46" s="61">
        <f t="shared" si="50"/>
        <v>2</v>
      </c>
      <c r="R46" s="61">
        <f t="shared" si="50"/>
        <v>3</v>
      </c>
      <c r="S46" s="61">
        <f t="shared" si="50"/>
        <v>0.5</v>
      </c>
      <c r="T46" s="61">
        <f t="shared" si="50"/>
        <v>1</v>
      </c>
      <c r="U46" s="61">
        <f t="shared" si="50"/>
        <v>2</v>
      </c>
      <c r="V46" s="61">
        <f t="shared" si="50"/>
        <v>3</v>
      </c>
      <c r="W46" s="61">
        <f t="shared" si="50"/>
        <v>2.7272727272727275</v>
      </c>
    </row>
    <row r="47" spans="3:26" x14ac:dyDescent="0.25">
      <c r="C47" s="4"/>
      <c r="D47" s="1" t="s">
        <v>122</v>
      </c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</row>
    <row r="49" spans="3:23" s="26" customFormat="1" x14ac:dyDescent="0.25">
      <c r="C49" s="25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3:23" x14ac:dyDescent="0.25">
      <c r="C50" s="1" t="s">
        <v>1</v>
      </c>
      <c r="J50" s="6">
        <f>+J$5</f>
        <v>45199</v>
      </c>
      <c r="K50" s="6">
        <f t="shared" ref="K50:W50" si="51">+K$5</f>
        <v>45291</v>
      </c>
      <c r="L50" s="6">
        <f t="shared" si="51"/>
        <v>45382</v>
      </c>
      <c r="M50" s="6">
        <f t="shared" si="51"/>
        <v>45473</v>
      </c>
      <c r="N50" s="6">
        <f t="shared" si="51"/>
        <v>45565</v>
      </c>
      <c r="O50" s="6">
        <f t="shared" si="51"/>
        <v>45657</v>
      </c>
      <c r="P50" s="6">
        <f t="shared" si="51"/>
        <v>45747</v>
      </c>
      <c r="Q50" s="6">
        <f t="shared" si="51"/>
        <v>45838</v>
      </c>
      <c r="R50" s="6">
        <f t="shared" si="51"/>
        <v>45930</v>
      </c>
      <c r="S50" s="6">
        <f t="shared" si="51"/>
        <v>46022</v>
      </c>
      <c r="T50" s="6">
        <f t="shared" si="51"/>
        <v>46112</v>
      </c>
      <c r="U50" s="6">
        <f t="shared" si="51"/>
        <v>46203</v>
      </c>
      <c r="V50" s="6">
        <f t="shared" si="51"/>
        <v>46295</v>
      </c>
      <c r="W50" s="6">
        <f t="shared" si="51"/>
        <v>46387</v>
      </c>
    </row>
    <row r="51" spans="3:23" x14ac:dyDescent="0.25">
      <c r="C51" s="1" t="s">
        <v>2</v>
      </c>
      <c r="J51" s="21">
        <f>+J$6</f>
        <v>0</v>
      </c>
      <c r="K51" s="21">
        <f t="shared" ref="K51:W51" si="52">+K$6</f>
        <v>1</v>
      </c>
      <c r="L51" s="21">
        <f t="shared" si="52"/>
        <v>2</v>
      </c>
      <c r="M51" s="21">
        <f t="shared" si="52"/>
        <v>3</v>
      </c>
      <c r="N51" s="21">
        <f t="shared" si="52"/>
        <v>4</v>
      </c>
      <c r="O51" s="21">
        <f t="shared" si="52"/>
        <v>5</v>
      </c>
      <c r="P51" s="21">
        <f t="shared" si="52"/>
        <v>6</v>
      </c>
      <c r="Q51" s="21">
        <f t="shared" si="52"/>
        <v>7</v>
      </c>
      <c r="R51" s="21">
        <f t="shared" si="52"/>
        <v>8</v>
      </c>
      <c r="S51" s="21">
        <f t="shared" si="52"/>
        <v>9</v>
      </c>
      <c r="T51" s="21">
        <f t="shared" si="52"/>
        <v>10</v>
      </c>
      <c r="U51" s="21">
        <f t="shared" si="52"/>
        <v>11</v>
      </c>
      <c r="V51" s="21">
        <f t="shared" si="52"/>
        <v>12</v>
      </c>
      <c r="W51" s="21">
        <f t="shared" si="52"/>
        <v>13</v>
      </c>
    </row>
    <row r="52" spans="3:23" x14ac:dyDescent="0.25">
      <c r="C52" s="22" t="s">
        <v>4</v>
      </c>
      <c r="D52" s="22"/>
      <c r="E52" s="22"/>
      <c r="F52" s="22"/>
      <c r="G52" s="22"/>
      <c r="H52" s="22"/>
      <c r="I52" s="22"/>
      <c r="J52" s="23">
        <f>+J$7</f>
        <v>3</v>
      </c>
      <c r="K52" s="23">
        <f t="shared" ref="K52:W52" si="53">+K$7</f>
        <v>4</v>
      </c>
      <c r="L52" s="23">
        <f t="shared" si="53"/>
        <v>1</v>
      </c>
      <c r="M52" s="23">
        <f t="shared" si="53"/>
        <v>2</v>
      </c>
      <c r="N52" s="23">
        <f t="shared" si="53"/>
        <v>3</v>
      </c>
      <c r="O52" s="23">
        <f t="shared" si="53"/>
        <v>4</v>
      </c>
      <c r="P52" s="23">
        <f t="shared" si="53"/>
        <v>1</v>
      </c>
      <c r="Q52" s="23">
        <f t="shared" si="53"/>
        <v>2</v>
      </c>
      <c r="R52" s="23">
        <f t="shared" si="53"/>
        <v>3</v>
      </c>
      <c r="S52" s="23">
        <f t="shared" si="53"/>
        <v>4</v>
      </c>
      <c r="T52" s="23">
        <f t="shared" si="53"/>
        <v>1</v>
      </c>
      <c r="U52" s="23">
        <f t="shared" si="53"/>
        <v>2</v>
      </c>
      <c r="V52" s="23">
        <f t="shared" si="53"/>
        <v>3</v>
      </c>
      <c r="W52" s="23">
        <f t="shared" si="53"/>
        <v>4</v>
      </c>
    </row>
    <row r="53" spans="3:23" ht="4.95" customHeight="1" x14ac:dyDescent="0.25">
      <c r="F53" s="7"/>
      <c r="G53" s="7"/>
      <c r="H53" s="7"/>
      <c r="I53" s="7"/>
    </row>
    <row r="54" spans="3:23" x14ac:dyDescent="0.25">
      <c r="C54" s="54"/>
      <c r="F54" s="31" t="s">
        <v>20</v>
      </c>
      <c r="G54" s="31" t="s">
        <v>21</v>
      </c>
      <c r="H54" s="31" t="s">
        <v>22</v>
      </c>
      <c r="I54" s="31" t="s">
        <v>24</v>
      </c>
      <c r="J54" s="7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3:23" x14ac:dyDescent="0.25">
      <c r="C55" s="27" t="s">
        <v>109</v>
      </c>
      <c r="F55" s="29">
        <v>225</v>
      </c>
      <c r="G55" s="28">
        <v>3</v>
      </c>
      <c r="H55" s="32">
        <v>0.57999999999999996</v>
      </c>
      <c r="I55" s="41">
        <f>+F55/G55</f>
        <v>75</v>
      </c>
      <c r="J55" s="31" t="s">
        <v>25</v>
      </c>
      <c r="K55" s="71">
        <f>+$H55*$F55*K$35/1000</f>
        <v>0</v>
      </c>
      <c r="L55" s="71">
        <f>+$H55*$F55*L$35/1000</f>
        <v>6.0030000000000001</v>
      </c>
      <c r="M55" s="71">
        <f>+$H55*$F55*M$35/1000</f>
        <v>15.757875000000002</v>
      </c>
      <c r="N55" s="71">
        <f>+$H55*$F55*N$35/1000</f>
        <v>29.849917500000004</v>
      </c>
      <c r="O55" s="71">
        <f>+$H55*$F55*O$35/1000</f>
        <v>5.9317143749999994</v>
      </c>
      <c r="P55" s="71">
        <f>+$H55*$F55*P$35/1000</f>
        <v>13.776884999999998</v>
      </c>
      <c r="Q55" s="71">
        <f>+$H55*$F55*Q$35/1000</f>
        <v>31.380682499999995</v>
      </c>
      <c r="R55" s="71">
        <f>+$H55*$F55*R$35/1000</f>
        <v>53.867620349999996</v>
      </c>
      <c r="S55" s="71">
        <f>+$H55*$F55*S$35/1000</f>
        <v>9.9537994125000004</v>
      </c>
      <c r="T55" s="71">
        <f>+$H55*$F55*T$35/1000</f>
        <v>21.859324200000003</v>
      </c>
      <c r="U55" s="71">
        <f>+$H55*$F55*U$35/1000</f>
        <v>47.622099150000011</v>
      </c>
      <c r="V55" s="71">
        <f>+$H55*$F55*V$35/1000</f>
        <v>78.834091347000026</v>
      </c>
      <c r="W55" s="71">
        <f>+$H55*$F55*W$35/1000</f>
        <v>78.834091347000026</v>
      </c>
    </row>
    <row r="56" spans="3:23" x14ac:dyDescent="0.25">
      <c r="C56" s="27" t="s">
        <v>110</v>
      </c>
      <c r="F56" s="29">
        <v>485</v>
      </c>
      <c r="G56" s="28">
        <v>10</v>
      </c>
      <c r="H56" s="32">
        <v>0.4</v>
      </c>
      <c r="I56" s="41">
        <f>+F56/G56</f>
        <v>48.5</v>
      </c>
      <c r="J56" s="42">
        <f>+(I$55-I56)/I$55</f>
        <v>0.35333333333333333</v>
      </c>
      <c r="K56" s="71">
        <f>+$H56*$F56*K$35/1000</f>
        <v>0</v>
      </c>
      <c r="L56" s="71">
        <f>+$H56*$F56*L$35/1000</f>
        <v>8.9239999999999995</v>
      </c>
      <c r="M56" s="71">
        <f>+$H56*$F56*M$35/1000</f>
        <v>23.425500000000003</v>
      </c>
      <c r="N56" s="71">
        <f>+$H56*$F56*N$35/1000</f>
        <v>44.374590000000005</v>
      </c>
      <c r="O56" s="71">
        <f>+$H56*$F56*O$35/1000</f>
        <v>8.8180274999999995</v>
      </c>
      <c r="P56" s="71">
        <f>+$H56*$F56*P$35/1000</f>
        <v>20.48058</v>
      </c>
      <c r="Q56" s="71">
        <f>+$H56*$F56*Q$35/1000</f>
        <v>46.650209999999994</v>
      </c>
      <c r="R56" s="71">
        <f>+$H56*$F56*R$35/1000</f>
        <v>80.07906779999999</v>
      </c>
      <c r="S56" s="71">
        <f>+$H56*$F56*S$35/1000</f>
        <v>14.797219050000001</v>
      </c>
      <c r="T56" s="71">
        <f>+$H56*$F56*T$35/1000</f>
        <v>32.495853600000004</v>
      </c>
      <c r="U56" s="71">
        <f>+$H56*$F56*U$35/1000</f>
        <v>70.794538200000005</v>
      </c>
      <c r="V56" s="71">
        <f>+$H56*$F56*V$35/1000</f>
        <v>117.19397487600004</v>
      </c>
      <c r="W56" s="71">
        <f>+$H56*$F56*W$35/1000</f>
        <v>117.19397487600004</v>
      </c>
    </row>
    <row r="57" spans="3:23" x14ac:dyDescent="0.25">
      <c r="C57" s="27" t="s">
        <v>111</v>
      </c>
      <c r="F57" s="43">
        <v>750</v>
      </c>
      <c r="G57" s="45">
        <v>20</v>
      </c>
      <c r="H57" s="59">
        <v>0.02</v>
      </c>
      <c r="I57" s="47">
        <f>+F57/G57</f>
        <v>37.5</v>
      </c>
      <c r="J57" s="60">
        <f>+(I$55-I57)/I$55</f>
        <v>0.5</v>
      </c>
      <c r="K57" s="71">
        <f>+$H57*$F57*K$35/1000</f>
        <v>0</v>
      </c>
      <c r="L57" s="71">
        <f>+$H57*$F57*L$35/1000</f>
        <v>0.69</v>
      </c>
      <c r="M57" s="71">
        <f>+$H57*$F57*M$35/1000</f>
        <v>1.8112500000000002</v>
      </c>
      <c r="N57" s="71">
        <f>+$H57*$F57*N$35/1000</f>
        <v>3.431025</v>
      </c>
      <c r="O57" s="71">
        <f>+$H57*$F57*O$35/1000</f>
        <v>0.68180624999999995</v>
      </c>
      <c r="P57" s="71">
        <f>+$H57*$F57*P$35/1000</f>
        <v>1.58355</v>
      </c>
      <c r="Q57" s="71">
        <f>+$H57*$F57*Q$35/1000</f>
        <v>3.6069749999999994</v>
      </c>
      <c r="R57" s="71">
        <f>+$H57*$F57*R$35/1000</f>
        <v>6.1916804999999995</v>
      </c>
      <c r="S57" s="71">
        <f>+$H57*$F57*S$35/1000</f>
        <v>1.1441148750000001</v>
      </c>
      <c r="T57" s="71">
        <f>+$H57*$F57*T$35/1000</f>
        <v>2.5125660000000005</v>
      </c>
      <c r="U57" s="71">
        <f>+$H57*$F57*U$35/1000</f>
        <v>5.4738045000000008</v>
      </c>
      <c r="V57" s="71">
        <f>+$H57*$F57*V$35/1000</f>
        <v>9.0613898100000032</v>
      </c>
      <c r="W57" s="71">
        <f>+$H57*$F57*W$35/1000</f>
        <v>9.0613898100000032</v>
      </c>
    </row>
    <row r="58" spans="3:23" x14ac:dyDescent="0.25">
      <c r="C58" s="79" t="s">
        <v>120</v>
      </c>
      <c r="D58" s="35"/>
      <c r="E58" s="77"/>
      <c r="F58" s="102">
        <f>+SUMPRODUCT(F55:F57,$H55:$H57)/SUM($H55:$H57)</f>
        <v>339.5</v>
      </c>
      <c r="G58" s="103">
        <f>+SUMPRODUCT(G55:G57,$H55:$H57)/SUM($H55:$H57)</f>
        <v>6.1400000000000006</v>
      </c>
      <c r="H58" s="104"/>
      <c r="I58" s="102">
        <f>+F58/G58</f>
        <v>55.293159609120515</v>
      </c>
      <c r="J58" s="105">
        <f>+(I$55-I58)/I$55</f>
        <v>0.26275787187839311</v>
      </c>
      <c r="K58" s="78">
        <f t="shared" ref="K58:W58" si="54">+SUM(K55:K57)</f>
        <v>0</v>
      </c>
      <c r="L58" s="78">
        <f t="shared" si="54"/>
        <v>15.616999999999999</v>
      </c>
      <c r="M58" s="78">
        <f t="shared" si="54"/>
        <v>40.994625000000006</v>
      </c>
      <c r="N58" s="78">
        <f t="shared" si="54"/>
        <v>77.655532500000021</v>
      </c>
      <c r="O58" s="78">
        <f t="shared" si="54"/>
        <v>15.431548124999997</v>
      </c>
      <c r="P58" s="78">
        <f t="shared" si="54"/>
        <v>35.841014999999999</v>
      </c>
      <c r="Q58" s="78">
        <f t="shared" si="54"/>
        <v>81.637867499999999</v>
      </c>
      <c r="R58" s="78">
        <f t="shared" si="54"/>
        <v>140.13836864999999</v>
      </c>
      <c r="S58" s="78">
        <f t="shared" si="54"/>
        <v>25.895133337499999</v>
      </c>
      <c r="T58" s="78">
        <f t="shared" si="54"/>
        <v>56.867743800000007</v>
      </c>
      <c r="U58" s="78">
        <f t="shared" si="54"/>
        <v>123.89044185000002</v>
      </c>
      <c r="V58" s="78">
        <f t="shared" si="54"/>
        <v>205.08945603300006</v>
      </c>
      <c r="W58" s="78">
        <f t="shared" si="54"/>
        <v>205.08945603300006</v>
      </c>
    </row>
    <row r="59" spans="3:23" ht="4.95" customHeight="1" x14ac:dyDescent="0.25">
      <c r="C59" s="79"/>
      <c r="D59" s="35"/>
      <c r="E59" s="77"/>
      <c r="F59" s="44"/>
      <c r="G59" s="48"/>
      <c r="H59" s="35"/>
      <c r="I59" s="44"/>
      <c r="J59" s="37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</row>
    <row r="60" spans="3:23" x14ac:dyDescent="0.25">
      <c r="C60" s="27" t="s">
        <v>112</v>
      </c>
      <c r="F60" s="29">
        <v>85</v>
      </c>
      <c r="G60" s="28">
        <v>5</v>
      </c>
      <c r="H60" s="32">
        <v>0.4</v>
      </c>
      <c r="I60" s="41">
        <f>+F60/G60</f>
        <v>17</v>
      </c>
      <c r="J60" s="31" t="s">
        <v>25</v>
      </c>
      <c r="K60" s="71">
        <f>+$H60*$F60*K$45/1000</f>
        <v>0</v>
      </c>
      <c r="L60" s="71">
        <f>+$H60*$F60*L$45/1000</f>
        <v>0</v>
      </c>
      <c r="M60" s="71">
        <f>+$H60*$F60*M$45/1000</f>
        <v>0</v>
      </c>
      <c r="N60" s="71">
        <f>+$H60*$F60*N$45/1000</f>
        <v>19.455479999999998</v>
      </c>
      <c r="O60" s="71">
        <f>+$H60*$F60*O$45/1000</f>
        <v>4.8638699999999995</v>
      </c>
      <c r="P60" s="71">
        <f>+$H60*$F60*P$45/1000</f>
        <v>12.970319999999999</v>
      </c>
      <c r="Q60" s="71">
        <f>+$H60*$F60*Q$45/1000</f>
        <v>32.425800000000002</v>
      </c>
      <c r="R60" s="71">
        <f>+$H60*$F60*R$45/1000</f>
        <v>59.533768800000011</v>
      </c>
      <c r="S60" s="71">
        <f>+$H60*$F60*S$45/1000</f>
        <v>11.576010600000004</v>
      </c>
      <c r="T60" s="71">
        <f>+$H60*$F60*T$45/1000</f>
        <v>26.459452800000001</v>
      </c>
      <c r="U60" s="71">
        <f>+$H60*$F60*U$45/1000</f>
        <v>59.533768800000004</v>
      </c>
      <c r="V60" s="71">
        <f>+$H60*$F60*V$45/1000</f>
        <v>101.20740696000001</v>
      </c>
      <c r="W60" s="71">
        <f>+$H60*$F60*W$45/1000</f>
        <v>101.20740696000001</v>
      </c>
    </row>
    <row r="61" spans="3:23" x14ac:dyDescent="0.25">
      <c r="C61" s="27" t="s">
        <v>113</v>
      </c>
      <c r="F61" s="29">
        <v>175</v>
      </c>
      <c r="G61" s="28">
        <v>15</v>
      </c>
      <c r="H61" s="32">
        <v>0.45</v>
      </c>
      <c r="I61" s="41">
        <f>+F61/G61</f>
        <v>11.666666666666666</v>
      </c>
      <c r="J61" s="42">
        <f>+(I$60-I61)/I$60</f>
        <v>0.31372549019607848</v>
      </c>
      <c r="K61" s="71">
        <f>+$H61*$F61*K$45/1000</f>
        <v>0</v>
      </c>
      <c r="L61" s="71">
        <f>+$H61*$F61*L$45/1000</f>
        <v>0</v>
      </c>
      <c r="M61" s="71">
        <f>+$H61*$F61*M$45/1000</f>
        <v>0</v>
      </c>
      <c r="N61" s="71">
        <f>+$H61*$F61*N$45/1000</f>
        <v>45.062325000000001</v>
      </c>
      <c r="O61" s="71">
        <f>+$H61*$F61*O$45/1000</f>
        <v>11.26558125</v>
      </c>
      <c r="P61" s="71">
        <f>+$H61*$F61*P$45/1000</f>
        <v>30.041550000000004</v>
      </c>
      <c r="Q61" s="71">
        <f>+$H61*$F61*Q$45/1000</f>
        <v>75.103875000000002</v>
      </c>
      <c r="R61" s="71">
        <f>+$H61*$F61*R$45/1000</f>
        <v>137.89071450000003</v>
      </c>
      <c r="S61" s="71">
        <f>+$H61*$F61*S$45/1000</f>
        <v>26.812083375000007</v>
      </c>
      <c r="T61" s="71">
        <f>+$H61*$F61*T$45/1000</f>
        <v>61.284762000000008</v>
      </c>
      <c r="U61" s="71">
        <f>+$H61*$F61*U$45/1000</f>
        <v>137.8907145</v>
      </c>
      <c r="V61" s="71">
        <f>+$H61*$F61*V$45/1000</f>
        <v>234.41421465000005</v>
      </c>
      <c r="W61" s="71">
        <f>+$H61*$F61*W$45/1000</f>
        <v>234.41421465000005</v>
      </c>
    </row>
    <row r="62" spans="3:23" x14ac:dyDescent="0.25">
      <c r="C62" s="27" t="s">
        <v>114</v>
      </c>
      <c r="F62" s="43">
        <v>398</v>
      </c>
      <c r="G62" s="45">
        <v>50</v>
      </c>
      <c r="H62" s="59">
        <v>0.15</v>
      </c>
      <c r="I62" s="47">
        <f>+F62/G62</f>
        <v>7.96</v>
      </c>
      <c r="J62" s="60">
        <f>+(I$60-I62)/I$60</f>
        <v>0.53176470588235292</v>
      </c>
      <c r="K62" s="71">
        <f>+$H62*$F62*K$45/1000</f>
        <v>0</v>
      </c>
      <c r="L62" s="71">
        <f>+$H62*$F62*L$45/1000</f>
        <v>0</v>
      </c>
      <c r="M62" s="71">
        <f>+$H62*$F62*M$45/1000</f>
        <v>0</v>
      </c>
      <c r="N62" s="71">
        <f>+$H62*$F62*N$45/1000</f>
        <v>34.161534000000003</v>
      </c>
      <c r="O62" s="71">
        <f>+$H62*$F62*O$45/1000</f>
        <v>8.5403835000000008</v>
      </c>
      <c r="P62" s="71">
        <f>+$H62*$F62*P$45/1000</f>
        <v>22.774356000000001</v>
      </c>
      <c r="Q62" s="71">
        <f>+$H62*$F62*Q$45/1000</f>
        <v>56.935890000000001</v>
      </c>
      <c r="R62" s="71">
        <f>+$H62*$F62*R$45/1000</f>
        <v>104.53429404000001</v>
      </c>
      <c r="S62" s="71">
        <f>+$H62*$F62*S$45/1000</f>
        <v>20.326112730000006</v>
      </c>
      <c r="T62" s="71">
        <f>+$H62*$F62*T$45/1000</f>
        <v>46.459686240000003</v>
      </c>
      <c r="U62" s="71">
        <f>+$H62*$F62*U$45/1000</f>
        <v>104.53429403999999</v>
      </c>
      <c r="V62" s="71">
        <f>+$H62*$F62*V$45/1000</f>
        <v>177.70829986800001</v>
      </c>
      <c r="W62" s="71">
        <f>+$H62*$F62*W$45/1000</f>
        <v>177.70829986800001</v>
      </c>
    </row>
    <row r="63" spans="3:23" x14ac:dyDescent="0.25">
      <c r="C63" s="79" t="s">
        <v>119</v>
      </c>
      <c r="D63" s="35"/>
      <c r="E63" s="77"/>
      <c r="F63" s="102">
        <f>+SUMPRODUCT(F60:F62,$H60:$H62)/SUM($H60:$H62)</f>
        <v>172.45</v>
      </c>
      <c r="G63" s="103">
        <f>+SUMPRODUCT(G60:G62,$H60:$H62)/SUM($H60:$H62)</f>
        <v>16.25</v>
      </c>
      <c r="H63" s="104"/>
      <c r="I63" s="102">
        <f>+F63/G63</f>
        <v>10.612307692307692</v>
      </c>
      <c r="J63" s="105">
        <f>+(I$60-I63)/I$60</f>
        <v>0.37574660633484169</v>
      </c>
      <c r="K63" s="78">
        <f t="shared" ref="K63" si="55">+SUM(K60:K62)</f>
        <v>0</v>
      </c>
      <c r="L63" s="78">
        <f t="shared" ref="L63" si="56">+SUM(L60:L62)</f>
        <v>0</v>
      </c>
      <c r="M63" s="78">
        <f t="shared" ref="M63" si="57">+SUM(M60:M62)</f>
        <v>0</v>
      </c>
      <c r="N63" s="78">
        <f t="shared" ref="N63" si="58">+SUM(N60:N62)</f>
        <v>98.679338999999999</v>
      </c>
      <c r="O63" s="78">
        <f t="shared" ref="O63" si="59">+SUM(O60:O62)</f>
        <v>24.66983475</v>
      </c>
      <c r="P63" s="78">
        <f t="shared" ref="P63" si="60">+SUM(P60:P62)</f>
        <v>65.786225999999999</v>
      </c>
      <c r="Q63" s="78">
        <f t="shared" ref="Q63" si="61">+SUM(Q60:Q62)</f>
        <v>164.465565</v>
      </c>
      <c r="R63" s="78">
        <f t="shared" ref="R63" si="62">+SUM(R60:R62)</f>
        <v>301.95877734000004</v>
      </c>
      <c r="S63" s="78">
        <f t="shared" ref="S63" si="63">+SUM(S60:S62)</f>
        <v>58.714206705000016</v>
      </c>
      <c r="T63" s="78">
        <f t="shared" ref="T63" si="64">+SUM(T60:T62)</f>
        <v>134.20390104000001</v>
      </c>
      <c r="U63" s="78">
        <f t="shared" ref="U63" si="65">+SUM(U60:U62)</f>
        <v>301.95877733999998</v>
      </c>
      <c r="V63" s="78">
        <f t="shared" ref="V63" si="66">+SUM(V60:V62)</f>
        <v>513.32992147800007</v>
      </c>
      <c r="W63" s="78">
        <f t="shared" ref="W63" si="67">+SUM(W60:W62)</f>
        <v>513.32992147800007</v>
      </c>
    </row>
    <row r="64" spans="3:23" ht="4.95" customHeight="1" x14ac:dyDescent="0.25">
      <c r="C64" s="79"/>
      <c r="D64" s="35"/>
      <c r="E64" s="77"/>
      <c r="F64" s="48"/>
      <c r="H64" s="44"/>
      <c r="I64" s="37"/>
      <c r="J64" s="107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</row>
    <row r="65" spans="3:23" x14ac:dyDescent="0.25">
      <c r="C65" s="9" t="s">
        <v>28</v>
      </c>
      <c r="D65" s="9"/>
      <c r="E65" s="9"/>
      <c r="F65" s="9"/>
      <c r="G65" s="9"/>
      <c r="H65" s="9"/>
      <c r="I65" s="9"/>
      <c r="J65" s="108"/>
      <c r="K65" s="72">
        <f>+K58+K63</f>
        <v>0</v>
      </c>
      <c r="L65" s="72">
        <f>+L58+L63</f>
        <v>15.616999999999999</v>
      </c>
      <c r="M65" s="72">
        <f>+M58+M63</f>
        <v>40.994625000000006</v>
      </c>
      <c r="N65" s="72">
        <f>+N58+N63</f>
        <v>176.33487150000002</v>
      </c>
      <c r="O65" s="72">
        <f>+O58+O63</f>
        <v>40.101382874999999</v>
      </c>
      <c r="P65" s="72">
        <f>+P58+P63</f>
        <v>101.627241</v>
      </c>
      <c r="Q65" s="72">
        <f>+Q58+Q63</f>
        <v>246.1034325</v>
      </c>
      <c r="R65" s="72">
        <f>+R58+R63</f>
        <v>442.09714599000006</v>
      </c>
      <c r="S65" s="72">
        <f>+S58+S63</f>
        <v>84.609340042500008</v>
      </c>
      <c r="T65" s="72">
        <f>+T58+T63</f>
        <v>191.07164484</v>
      </c>
      <c r="U65" s="72">
        <f>+U58+U63</f>
        <v>425.84921918999999</v>
      </c>
      <c r="V65" s="72">
        <f>+V58+V63</f>
        <v>718.41937751100011</v>
      </c>
      <c r="W65" s="72">
        <f>+W58+W63</f>
        <v>718.41937751100011</v>
      </c>
    </row>
    <row r="66" spans="3:23" s="5" customFormat="1" x14ac:dyDescent="0.25">
      <c r="C66" s="33" t="s">
        <v>73</v>
      </c>
      <c r="H66" s="68"/>
      <c r="I66" s="58"/>
      <c r="J66" s="109"/>
      <c r="K66" s="66" t="str">
        <f t="shared" ref="K66" si="68">+IFERROR(K65/J65-1,"na")</f>
        <v>na</v>
      </c>
      <c r="L66" s="66" t="str">
        <f t="shared" ref="L66" si="69">+IFERROR(L65/K65-1,"na")</f>
        <v>na</v>
      </c>
      <c r="M66" s="66">
        <f t="shared" ref="M66" si="70">+IFERROR(M65/L65-1,"na")</f>
        <v>1.6250000000000004</v>
      </c>
      <c r="N66" s="66">
        <f t="shared" ref="N66" si="71">+IFERROR(N65/M65-1,"na")</f>
        <v>3.3014144293306744</v>
      </c>
      <c r="O66" s="66">
        <f t="shared" ref="O66" si="72">+IFERROR(O65/N65-1,"na")</f>
        <v>-0.77258393343372245</v>
      </c>
      <c r="P66" s="66">
        <f t="shared" ref="P66" si="73">+IFERROR(P65/O65-1,"na")</f>
        <v>1.5342577665409252</v>
      </c>
      <c r="Q66" s="66">
        <f t="shared" ref="Q66" si="74">+IFERROR(Q65/P65-1,"na")</f>
        <v>1.4216285916883251</v>
      </c>
      <c r="R66" s="66">
        <f t="shared" ref="R66" si="75">+IFERROR(R65/Q65-1,"na")</f>
        <v>0.7963875655818009</v>
      </c>
      <c r="S66" s="66">
        <f t="shared" ref="S66" si="76">+IFERROR(S65/R65-1,"na")</f>
        <v>-0.8086182170368188</v>
      </c>
      <c r="T66" s="66">
        <f t="shared" ref="T66" si="77">+IFERROR(T65/S65-1,"na")</f>
        <v>1.2582807612495626</v>
      </c>
      <c r="U66" s="66">
        <f t="shared" ref="U66" si="78">+IFERROR(U65/T65-1,"na")</f>
        <v>1.2287410544175645</v>
      </c>
      <c r="V66" s="66">
        <f t="shared" ref="V66" si="79">+IFERROR(V65/U65-1,"na")</f>
        <v>0.6870275795679337</v>
      </c>
      <c r="W66" s="66">
        <f t="shared" ref="W66" si="80">+IFERROR(W65/V65-1,"na")</f>
        <v>0</v>
      </c>
    </row>
    <row r="67" spans="3:23" ht="4.95" customHeight="1" x14ac:dyDescent="0.25">
      <c r="C67" s="35"/>
      <c r="D67" s="35"/>
      <c r="E67" s="35"/>
      <c r="F67" s="35"/>
      <c r="G67" s="35"/>
      <c r="H67" s="35"/>
      <c r="I67" s="35"/>
      <c r="J67" s="106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</row>
    <row r="68" spans="3:23" ht="13.6" customHeight="1" x14ac:dyDescent="0.25">
      <c r="C68" s="27" t="str">
        <f>+D37</f>
        <v>MAU - LAW</v>
      </c>
      <c r="D68" s="27"/>
      <c r="J68" s="98"/>
      <c r="K68" s="98">
        <f t="shared" ref="K68:W68" si="81">+K37</f>
        <v>0</v>
      </c>
      <c r="L68" s="98">
        <f t="shared" si="81"/>
        <v>0</v>
      </c>
      <c r="M68" s="98">
        <f t="shared" si="81"/>
        <v>0</v>
      </c>
      <c r="N68" s="98">
        <f t="shared" si="81"/>
        <v>0</v>
      </c>
      <c r="O68" s="98">
        <f t="shared" si="81"/>
        <v>0</v>
      </c>
      <c r="P68" s="98">
        <f t="shared" si="81"/>
        <v>0</v>
      </c>
      <c r="Q68" s="98">
        <f t="shared" si="81"/>
        <v>0</v>
      </c>
      <c r="R68" s="98">
        <f t="shared" si="81"/>
        <v>0</v>
      </c>
      <c r="S68" s="98">
        <f t="shared" si="81"/>
        <v>0</v>
      </c>
      <c r="T68" s="98">
        <f t="shared" si="81"/>
        <v>0</v>
      </c>
      <c r="U68" s="98">
        <f t="shared" si="81"/>
        <v>0</v>
      </c>
      <c r="V68" s="98">
        <f t="shared" si="81"/>
        <v>0</v>
      </c>
      <c r="W68" s="98">
        <f t="shared" si="81"/>
        <v>0</v>
      </c>
    </row>
    <row r="69" spans="3:23" x14ac:dyDescent="0.25">
      <c r="C69" s="27" t="str">
        <f>+D47</f>
        <v>MAU - COLLEGE</v>
      </c>
      <c r="D69" s="27"/>
      <c r="G69" s="31" t="s">
        <v>76</v>
      </c>
      <c r="H69" s="31" t="s">
        <v>75</v>
      </c>
      <c r="I69" s="31" t="s">
        <v>74</v>
      </c>
      <c r="J69" s="98"/>
      <c r="K69" s="98">
        <f t="shared" ref="K69:W69" si="82">+K47</f>
        <v>0</v>
      </c>
      <c r="L69" s="98">
        <f t="shared" si="82"/>
        <v>0</v>
      </c>
      <c r="M69" s="98">
        <f t="shared" si="82"/>
        <v>0</v>
      </c>
      <c r="N69" s="98">
        <f t="shared" si="82"/>
        <v>0</v>
      </c>
      <c r="O69" s="98">
        <f t="shared" si="82"/>
        <v>0</v>
      </c>
      <c r="P69" s="98">
        <f t="shared" si="82"/>
        <v>0</v>
      </c>
      <c r="Q69" s="98">
        <f t="shared" si="82"/>
        <v>0</v>
      </c>
      <c r="R69" s="98">
        <f t="shared" si="82"/>
        <v>0</v>
      </c>
      <c r="S69" s="98">
        <f t="shared" si="82"/>
        <v>0</v>
      </c>
      <c r="T69" s="98">
        <f t="shared" si="82"/>
        <v>0</v>
      </c>
      <c r="U69" s="98">
        <f t="shared" si="82"/>
        <v>0</v>
      </c>
      <c r="V69" s="98">
        <f t="shared" si="82"/>
        <v>0</v>
      </c>
      <c r="W69" s="98">
        <f t="shared" si="82"/>
        <v>0</v>
      </c>
    </row>
    <row r="70" spans="3:23" x14ac:dyDescent="0.25">
      <c r="C70" s="27" t="s">
        <v>78</v>
      </c>
      <c r="D70" s="27"/>
      <c r="G70" s="28">
        <v>5</v>
      </c>
      <c r="H70" s="29">
        <v>1</v>
      </c>
      <c r="I70" s="28">
        <v>1000</v>
      </c>
      <c r="J70" s="98"/>
      <c r="K70" s="98">
        <f>+($G70*$H70*K$68)*(K$68&gt;=$I70)</f>
        <v>0</v>
      </c>
      <c r="L70" s="98">
        <f>+($G70*$H70*L$68)*(L$68&gt;=$I70)</f>
        <v>0</v>
      </c>
      <c r="M70" s="98">
        <f>+($G70*$H70*M$68)*(M$68&gt;=$I70)</f>
        <v>0</v>
      </c>
      <c r="N70" s="98">
        <f>+($G70*$H70*N$68)*(N$68&gt;=$I70)</f>
        <v>0</v>
      </c>
      <c r="O70" s="98">
        <f>+($G70*$H70*O$68)*(O$68&gt;=$I70)</f>
        <v>0</v>
      </c>
      <c r="P70" s="98">
        <f>+($G70*$H70*P$68)*(P$68&gt;=$I70)</f>
        <v>0</v>
      </c>
      <c r="Q70" s="98">
        <f>+($G70*$H70*Q$68)*(Q$68&gt;=$I70)</f>
        <v>0</v>
      </c>
      <c r="R70" s="98">
        <f>+($G70*$H70*R$68)*(R$68&gt;=$I70)</f>
        <v>0</v>
      </c>
      <c r="S70" s="98">
        <f>+($G70*$H70*S$68)*(S$68&gt;=$I70)</f>
        <v>0</v>
      </c>
      <c r="T70" s="98">
        <f>+($G70*$H70*T$68)*(T$68&gt;=$I70)</f>
        <v>0</v>
      </c>
      <c r="U70" s="98">
        <f>+($G70*$H70*U$68)*(U$68&gt;=$I70)</f>
        <v>0</v>
      </c>
      <c r="V70" s="98">
        <f>+($G70*$H70*V$68)*(V$68&gt;=$I70)</f>
        <v>0</v>
      </c>
      <c r="W70" s="98">
        <f>+($G70*$H70*W$68)*(W$68&gt;=$I70)</f>
        <v>0</v>
      </c>
    </row>
    <row r="71" spans="3:23" x14ac:dyDescent="0.25">
      <c r="C71" s="27" t="s">
        <v>77</v>
      </c>
      <c r="D71" s="27"/>
      <c r="G71" s="28">
        <v>10</v>
      </c>
      <c r="H71" s="29">
        <v>0.5</v>
      </c>
      <c r="I71" s="28">
        <v>5000</v>
      </c>
      <c r="J71" s="98"/>
      <c r="K71" s="98">
        <f>+($G71*$H71*K$68)*(K$68&gt;=$I71)</f>
        <v>0</v>
      </c>
      <c r="L71" s="98">
        <f>+($G71*$H71*L$68)*(L$68&gt;=$I71)</f>
        <v>0</v>
      </c>
      <c r="M71" s="98">
        <f>+($G71*$H71*M$68)*(M$68&gt;=$I71)</f>
        <v>0</v>
      </c>
      <c r="N71" s="98">
        <f>+($G71*$H71*N$68)*(N$68&gt;=$I71)</f>
        <v>0</v>
      </c>
      <c r="O71" s="98">
        <f>+($G71*$H71*O$68)*(O$68&gt;=$I71)</f>
        <v>0</v>
      </c>
      <c r="P71" s="98">
        <f>+($G71*$H71*P$68)*(P$68&gt;=$I71)</f>
        <v>0</v>
      </c>
      <c r="Q71" s="98">
        <f>+($G71*$H71*Q$68)*(Q$68&gt;=$I71)</f>
        <v>0</v>
      </c>
      <c r="R71" s="98">
        <f>+($G71*$H71*R$68)*(R$68&gt;=$I71)</f>
        <v>0</v>
      </c>
      <c r="S71" s="98">
        <f>+($G71*$H71*S$68)*(S$68&gt;=$I71)</f>
        <v>0</v>
      </c>
      <c r="T71" s="98">
        <f>+($G71*$H71*T$68)*(T$68&gt;=$I71)</f>
        <v>0</v>
      </c>
      <c r="U71" s="98">
        <f>+($G71*$H71*U$68)*(U$68&gt;=$I71)</f>
        <v>0</v>
      </c>
      <c r="V71" s="98">
        <f>+($G71*$H71*V$68)*(V$68&gt;=$I71)</f>
        <v>0</v>
      </c>
      <c r="W71" s="98">
        <f>+($G71*$H71*W$68)*(W$68&gt;=$I71)</f>
        <v>0</v>
      </c>
    </row>
    <row r="72" spans="3:23" s="53" customFormat="1" x14ac:dyDescent="0.25">
      <c r="C72" s="53" t="s">
        <v>115</v>
      </c>
      <c r="D72" s="99"/>
      <c r="J72" s="98"/>
      <c r="K72" s="98">
        <f t="shared" ref="K72:W72" si="83">+K70+K71</f>
        <v>0</v>
      </c>
      <c r="L72" s="98">
        <f t="shared" si="83"/>
        <v>0</v>
      </c>
      <c r="M72" s="98">
        <f t="shared" si="83"/>
        <v>0</v>
      </c>
      <c r="N72" s="98">
        <f t="shared" si="83"/>
        <v>0</v>
      </c>
      <c r="O72" s="98">
        <f t="shared" si="83"/>
        <v>0</v>
      </c>
      <c r="P72" s="98">
        <f t="shared" si="83"/>
        <v>0</v>
      </c>
      <c r="Q72" s="98">
        <f t="shared" si="83"/>
        <v>0</v>
      </c>
      <c r="R72" s="98">
        <f t="shared" si="83"/>
        <v>0</v>
      </c>
      <c r="S72" s="98">
        <f t="shared" si="83"/>
        <v>0</v>
      </c>
      <c r="T72" s="98">
        <f t="shared" si="83"/>
        <v>0</v>
      </c>
      <c r="U72" s="98">
        <f t="shared" si="83"/>
        <v>0</v>
      </c>
      <c r="V72" s="98">
        <f t="shared" si="83"/>
        <v>0</v>
      </c>
      <c r="W72" s="98">
        <f t="shared" si="83"/>
        <v>0</v>
      </c>
    </row>
    <row r="73" spans="3:23" s="53" customFormat="1" ht="4.95" customHeight="1" x14ac:dyDescent="0.25">
      <c r="D73" s="99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</row>
    <row r="74" spans="3:23" x14ac:dyDescent="0.25">
      <c r="C74" s="1" t="s">
        <v>116</v>
      </c>
      <c r="D74" s="27"/>
      <c r="J74" s="98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</row>
    <row r="75" spans="3:23" x14ac:dyDescent="0.25">
      <c r="C75" s="1" t="s">
        <v>117</v>
      </c>
      <c r="D75" s="27"/>
      <c r="J75" s="98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</row>
    <row r="76" spans="3:23" x14ac:dyDescent="0.25">
      <c r="C76" s="1" t="s">
        <v>118</v>
      </c>
      <c r="D76" s="27"/>
      <c r="J76" s="98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</row>
    <row r="77" spans="3:23" ht="4.95" customHeight="1" x14ac:dyDescent="0.25">
      <c r="D77" s="27"/>
      <c r="J77" s="98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</row>
    <row r="78" spans="3:23" s="4" customFormat="1" x14ac:dyDescent="0.25">
      <c r="C78" s="11" t="s">
        <v>30</v>
      </c>
      <c r="D78" s="11"/>
      <c r="E78" s="11"/>
      <c r="F78" s="11"/>
      <c r="G78" s="11"/>
      <c r="H78" s="11"/>
      <c r="I78" s="11"/>
      <c r="J78" s="110"/>
      <c r="K78" s="73">
        <f>+K65+K74+K72+K75+K76</f>
        <v>0</v>
      </c>
      <c r="L78" s="73">
        <f>+L65+L74+L72+L75+L76</f>
        <v>15.616999999999999</v>
      </c>
      <c r="M78" s="73">
        <f>+M65+M74+M72+M75+M76</f>
        <v>40.994625000000006</v>
      </c>
      <c r="N78" s="73">
        <f>+N65+N74+N72+N75+N76</f>
        <v>176.33487150000002</v>
      </c>
      <c r="O78" s="73">
        <f>+O65+O74+O72+O75+O76</f>
        <v>40.101382874999999</v>
      </c>
      <c r="P78" s="73">
        <f>+P65+P74+P72+P75+P76</f>
        <v>101.627241</v>
      </c>
      <c r="Q78" s="73">
        <f>+Q65+Q74+Q72+Q75+Q76</f>
        <v>246.1034325</v>
      </c>
      <c r="R78" s="73">
        <f>+R65+R74+R72+R75+R76</f>
        <v>442.09714599000006</v>
      </c>
      <c r="S78" s="73">
        <f>+S65+S74+S72+S75+S76</f>
        <v>84.609340042500008</v>
      </c>
      <c r="T78" s="73">
        <f>+T65+T74+T72+T75+T76</f>
        <v>191.07164484</v>
      </c>
      <c r="U78" s="73">
        <f>+U65+U74+U72+U75+U76</f>
        <v>425.84921918999999</v>
      </c>
      <c r="V78" s="73">
        <f>+V65+V74+V72+V75+V76</f>
        <v>718.41937751100011</v>
      </c>
      <c r="W78" s="73">
        <f>+W65+W74+W72+W75+W76</f>
        <v>718.41937751100011</v>
      </c>
    </row>
    <row r="79" spans="3:23" s="5" customFormat="1" x14ac:dyDescent="0.25">
      <c r="C79" s="33" t="s">
        <v>72</v>
      </c>
      <c r="H79" s="68"/>
      <c r="I79" s="58"/>
      <c r="J79" s="109"/>
      <c r="K79" s="66" t="str">
        <f t="shared" ref="K79:W79" si="84">+IFERROR(K78/J78-1,"na")</f>
        <v>na</v>
      </c>
      <c r="L79" s="66" t="str">
        <f t="shared" si="84"/>
        <v>na</v>
      </c>
      <c r="M79" s="66">
        <f t="shared" si="84"/>
        <v>1.6250000000000004</v>
      </c>
      <c r="N79" s="66">
        <f t="shared" si="84"/>
        <v>3.3014144293306744</v>
      </c>
      <c r="O79" s="66">
        <f t="shared" si="84"/>
        <v>-0.77258393343372245</v>
      </c>
      <c r="P79" s="66">
        <f t="shared" si="84"/>
        <v>1.5342577665409252</v>
      </c>
      <c r="Q79" s="66">
        <f t="shared" si="84"/>
        <v>1.4216285916883251</v>
      </c>
      <c r="R79" s="66">
        <f t="shared" si="84"/>
        <v>0.7963875655818009</v>
      </c>
      <c r="S79" s="66">
        <f t="shared" si="84"/>
        <v>-0.8086182170368188</v>
      </c>
      <c r="T79" s="66">
        <f t="shared" si="84"/>
        <v>1.2582807612495626</v>
      </c>
      <c r="U79" s="66">
        <f t="shared" si="84"/>
        <v>1.2287410544175645</v>
      </c>
      <c r="V79" s="66">
        <f t="shared" si="84"/>
        <v>0.6870275795679337</v>
      </c>
      <c r="W79" s="66">
        <f t="shared" si="84"/>
        <v>0</v>
      </c>
    </row>
    <row r="80" spans="3:23" s="5" customFormat="1" ht="4.95" customHeight="1" x14ac:dyDescent="0.25">
      <c r="C80" s="33"/>
      <c r="D80" s="65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</row>
    <row r="81" spans="3:23" x14ac:dyDescent="0.25">
      <c r="C81" s="27" t="s">
        <v>94</v>
      </c>
      <c r="H81" s="5"/>
      <c r="I81" s="5"/>
      <c r="J81" s="106"/>
      <c r="K81" s="71">
        <f t="shared" ref="K81:W82" si="85">-$H81*K$16/1000</f>
        <v>0</v>
      </c>
      <c r="L81" s="71">
        <f>-$H81*L$16/1000</f>
        <v>0</v>
      </c>
      <c r="M81" s="71">
        <f t="shared" si="85"/>
        <v>0</v>
      </c>
      <c r="N81" s="71">
        <f t="shared" si="85"/>
        <v>0</v>
      </c>
      <c r="O81" s="71">
        <f t="shared" si="85"/>
        <v>0</v>
      </c>
      <c r="P81" s="71">
        <f t="shared" si="85"/>
        <v>0</v>
      </c>
      <c r="Q81" s="71">
        <f t="shared" si="85"/>
        <v>0</v>
      </c>
      <c r="R81" s="71">
        <f t="shared" si="85"/>
        <v>0</v>
      </c>
      <c r="S81" s="71">
        <f t="shared" si="85"/>
        <v>0</v>
      </c>
      <c r="T81" s="71">
        <f t="shared" si="85"/>
        <v>0</v>
      </c>
      <c r="U81" s="71">
        <f t="shared" si="85"/>
        <v>0</v>
      </c>
      <c r="V81" s="71">
        <f t="shared" si="85"/>
        <v>0</v>
      </c>
      <c r="W81" s="71">
        <f t="shared" si="85"/>
        <v>0</v>
      </c>
    </row>
    <row r="82" spans="3:23" x14ac:dyDescent="0.25">
      <c r="C82" s="27" t="s">
        <v>95</v>
      </c>
      <c r="H82" s="43">
        <v>75</v>
      </c>
      <c r="I82" s="58" t="s">
        <v>38</v>
      </c>
      <c r="J82" s="106"/>
      <c r="K82" s="71">
        <f t="shared" si="85"/>
        <v>0</v>
      </c>
      <c r="L82" s="71">
        <f>-$H82*L$16/1000</f>
        <v>-3.45</v>
      </c>
      <c r="M82" s="71">
        <f t="shared" si="85"/>
        <v>-1.0781250000000004</v>
      </c>
      <c r="N82" s="71">
        <f t="shared" si="85"/>
        <v>-1.1902499999999998</v>
      </c>
      <c r="O82" s="71">
        <f t="shared" si="85"/>
        <v>-1.0996874999999995</v>
      </c>
      <c r="P82" s="71">
        <f t="shared" si="85"/>
        <v>-1.0996874999999995</v>
      </c>
      <c r="Q82" s="71">
        <f t="shared" si="85"/>
        <v>-1.0996874999999995</v>
      </c>
      <c r="R82" s="71">
        <f t="shared" si="85"/>
        <v>-1.30203</v>
      </c>
      <c r="S82" s="71">
        <f t="shared" si="85"/>
        <v>-1.1216812500000017</v>
      </c>
      <c r="T82" s="71">
        <f t="shared" si="85"/>
        <v>-1.1216812500000017</v>
      </c>
      <c r="U82" s="71">
        <f t="shared" si="85"/>
        <v>-1.1216812499999997</v>
      </c>
      <c r="V82" s="71">
        <f t="shared" si="85"/>
        <v>-1.4178051000000018</v>
      </c>
      <c r="W82" s="71">
        <f t="shared" si="85"/>
        <v>-1.1441148750000019</v>
      </c>
    </row>
    <row r="83" spans="3:23" x14ac:dyDescent="0.25">
      <c r="C83" s="27" t="s">
        <v>44</v>
      </c>
      <c r="H83" s="38">
        <v>0.1</v>
      </c>
      <c r="I83" s="58" t="s">
        <v>35</v>
      </c>
      <c r="J83" s="106"/>
      <c r="K83" s="71">
        <f t="shared" ref="K83:W83" si="86">-$H83*K$58</f>
        <v>0</v>
      </c>
      <c r="L83" s="71">
        <f t="shared" si="86"/>
        <v>-1.5617000000000001</v>
      </c>
      <c r="M83" s="71">
        <f t="shared" si="86"/>
        <v>-4.0994625000000005</v>
      </c>
      <c r="N83" s="71">
        <f t="shared" si="86"/>
        <v>-7.7655532500000026</v>
      </c>
      <c r="O83" s="71">
        <f t="shared" si="86"/>
        <v>-1.5431548124999999</v>
      </c>
      <c r="P83" s="71">
        <f t="shared" si="86"/>
        <v>-3.5841015000000001</v>
      </c>
      <c r="Q83" s="71">
        <f t="shared" si="86"/>
        <v>-8.1637867499999999</v>
      </c>
      <c r="R83" s="71">
        <f t="shared" si="86"/>
        <v>-14.013836865</v>
      </c>
      <c r="S83" s="71">
        <f t="shared" si="86"/>
        <v>-2.5895133337500003</v>
      </c>
      <c r="T83" s="71">
        <f t="shared" si="86"/>
        <v>-5.686774380000001</v>
      </c>
      <c r="U83" s="71">
        <f t="shared" si="86"/>
        <v>-12.389044185000003</v>
      </c>
      <c r="V83" s="71">
        <f t="shared" si="86"/>
        <v>-20.508945603300006</v>
      </c>
      <c r="W83" s="71">
        <f t="shared" si="86"/>
        <v>-20.508945603300006</v>
      </c>
    </row>
    <row r="84" spans="3:23" x14ac:dyDescent="0.25">
      <c r="C84" s="27" t="s">
        <v>96</v>
      </c>
      <c r="H84" s="43">
        <v>25</v>
      </c>
      <c r="I84" s="58" t="s">
        <v>38</v>
      </c>
      <c r="J84" s="106"/>
      <c r="K84" s="71">
        <f t="shared" ref="K84:W84" si="87">-$H84*K$25/1000</f>
        <v>0</v>
      </c>
      <c r="L84" s="71">
        <f t="shared" si="87"/>
        <v>0</v>
      </c>
      <c r="M84" s="71">
        <f t="shared" si="87"/>
        <v>0</v>
      </c>
      <c r="N84" s="71">
        <f t="shared" si="87"/>
        <v>-4.7685000000000004</v>
      </c>
      <c r="O84" s="71">
        <f t="shared" si="87"/>
        <v>-2.3842500000000002</v>
      </c>
      <c r="P84" s="71">
        <f t="shared" si="87"/>
        <v>-2.3842500000000002</v>
      </c>
      <c r="Q84" s="71">
        <f t="shared" si="87"/>
        <v>-2.3842500000000002</v>
      </c>
      <c r="R84" s="71">
        <f t="shared" si="87"/>
        <v>-2.6703600000000023</v>
      </c>
      <c r="S84" s="71">
        <f t="shared" si="87"/>
        <v>-2.4319350000000015</v>
      </c>
      <c r="T84" s="71">
        <f t="shared" si="87"/>
        <v>-2.4319349999999984</v>
      </c>
      <c r="U84" s="71">
        <f t="shared" si="87"/>
        <v>-2.4319349999999984</v>
      </c>
      <c r="V84" s="71">
        <f t="shared" si="87"/>
        <v>-2.9183220000000007</v>
      </c>
      <c r="W84" s="71">
        <f t="shared" si="87"/>
        <v>-2.4805736999999994</v>
      </c>
    </row>
    <row r="85" spans="3:23" x14ac:dyDescent="0.25">
      <c r="C85" s="27" t="s">
        <v>48</v>
      </c>
      <c r="H85" s="38">
        <v>0.1</v>
      </c>
      <c r="I85" s="58" t="s">
        <v>35</v>
      </c>
      <c r="J85" s="106"/>
      <c r="K85" s="71">
        <f t="shared" ref="K85:W85" si="88">-$H85*K$63</f>
        <v>0</v>
      </c>
      <c r="L85" s="71">
        <f t="shared" si="88"/>
        <v>0</v>
      </c>
      <c r="M85" s="71">
        <f t="shared" si="88"/>
        <v>0</v>
      </c>
      <c r="N85" s="71">
        <f t="shared" si="88"/>
        <v>-9.8679339000000006</v>
      </c>
      <c r="O85" s="71">
        <f t="shared" si="88"/>
        <v>-2.4669834750000001</v>
      </c>
      <c r="P85" s="71">
        <f t="shared" si="88"/>
        <v>-6.5786226000000001</v>
      </c>
      <c r="Q85" s="71">
        <f t="shared" si="88"/>
        <v>-16.4465565</v>
      </c>
      <c r="R85" s="71">
        <f t="shared" si="88"/>
        <v>-30.195877734000007</v>
      </c>
      <c r="S85" s="71">
        <f t="shared" si="88"/>
        <v>-5.8714206705000018</v>
      </c>
      <c r="T85" s="71">
        <f t="shared" si="88"/>
        <v>-13.420390104000001</v>
      </c>
      <c r="U85" s="71">
        <f t="shared" si="88"/>
        <v>-30.195877734</v>
      </c>
      <c r="V85" s="71">
        <f t="shared" si="88"/>
        <v>-51.332992147800013</v>
      </c>
      <c r="W85" s="71">
        <f t="shared" si="88"/>
        <v>-51.332992147800013</v>
      </c>
    </row>
    <row r="86" spans="3:23" s="35" customFormat="1" x14ac:dyDescent="0.25">
      <c r="C86" s="35" t="s">
        <v>93</v>
      </c>
      <c r="H86" s="39"/>
      <c r="I86" s="67"/>
      <c r="J86" s="106"/>
      <c r="K86" s="71">
        <f t="shared" ref="K86:W86" si="89">+K82+K83+K84+K85</f>
        <v>0</v>
      </c>
      <c r="L86" s="71">
        <f t="shared" si="89"/>
        <v>-5.0117000000000003</v>
      </c>
      <c r="M86" s="71">
        <f t="shared" si="89"/>
        <v>-5.1775875000000013</v>
      </c>
      <c r="N86" s="71">
        <f t="shared" si="89"/>
        <v>-23.592237150000003</v>
      </c>
      <c r="O86" s="71">
        <f t="shared" si="89"/>
        <v>-7.494075787499999</v>
      </c>
      <c r="P86" s="71">
        <f t="shared" si="89"/>
        <v>-13.646661599999998</v>
      </c>
      <c r="Q86" s="71">
        <f t="shared" si="89"/>
        <v>-28.094280749999999</v>
      </c>
      <c r="R86" s="71">
        <f t="shared" si="89"/>
        <v>-48.182104599000013</v>
      </c>
      <c r="S86" s="71">
        <f t="shared" si="89"/>
        <v>-12.014550254250004</v>
      </c>
      <c r="T86" s="71">
        <f t="shared" si="89"/>
        <v>-22.660780733999999</v>
      </c>
      <c r="U86" s="71">
        <f t="shared" si="89"/>
        <v>-46.138538169</v>
      </c>
      <c r="V86" s="71">
        <f t="shared" si="89"/>
        <v>-76.178064851100018</v>
      </c>
      <c r="W86" s="71">
        <f t="shared" si="89"/>
        <v>-75.466626326100027</v>
      </c>
    </row>
    <row r="87" spans="3:23" s="35" customFormat="1" ht="4.95" customHeight="1" x14ac:dyDescent="0.25">
      <c r="H87" s="39"/>
      <c r="I87" s="67"/>
      <c r="J87" s="106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</row>
    <row r="88" spans="3:23" s="35" customFormat="1" x14ac:dyDescent="0.25">
      <c r="C88" s="9" t="s">
        <v>39</v>
      </c>
      <c r="D88" s="9"/>
      <c r="E88" s="9"/>
      <c r="F88" s="9"/>
      <c r="G88" s="9"/>
      <c r="H88" s="63"/>
      <c r="I88" s="64"/>
      <c r="J88" s="108"/>
      <c r="K88" s="72">
        <f>+K78+K86</f>
        <v>0</v>
      </c>
      <c r="L88" s="72">
        <f>+L78+L86</f>
        <v>10.6053</v>
      </c>
      <c r="M88" s="72">
        <f>+M78+M86</f>
        <v>35.817037500000005</v>
      </c>
      <c r="N88" s="72">
        <f>+N78+N86</f>
        <v>152.74263435</v>
      </c>
      <c r="O88" s="72">
        <f>+O78+O86</f>
        <v>32.607307087499997</v>
      </c>
      <c r="P88" s="72">
        <f>+P78+P86</f>
        <v>87.980579399999996</v>
      </c>
      <c r="Q88" s="72">
        <f>+Q78+Q86</f>
        <v>218.00915175</v>
      </c>
      <c r="R88" s="72">
        <f>+R78+R86</f>
        <v>393.91504139100005</v>
      </c>
      <c r="S88" s="72">
        <f>+S78+S86</f>
        <v>72.594789788250011</v>
      </c>
      <c r="T88" s="72">
        <f>+T78+T86</f>
        <v>168.41086410600002</v>
      </c>
      <c r="U88" s="72">
        <f>+U78+U86</f>
        <v>379.71068102099997</v>
      </c>
      <c r="V88" s="72">
        <f>+V78+V86</f>
        <v>642.24131265990013</v>
      </c>
      <c r="W88" s="72">
        <f>+W78+W86</f>
        <v>642.95275118490008</v>
      </c>
    </row>
    <row r="89" spans="3:23" s="5" customFormat="1" x14ac:dyDescent="0.25">
      <c r="C89" s="33" t="s">
        <v>40</v>
      </c>
      <c r="H89" s="68"/>
      <c r="I89" s="58"/>
      <c r="J89" s="111"/>
      <c r="K89" s="70" t="str">
        <f>+IFERROR(K88/K$78,"na")</f>
        <v>na</v>
      </c>
      <c r="L89" s="70">
        <f t="shared" ref="L89:W89" si="90">+IFERROR(L88/L$78,"na")</f>
        <v>0.67908689248895437</v>
      </c>
      <c r="M89" s="70">
        <f t="shared" si="90"/>
        <v>0.87370082053439935</v>
      </c>
      <c r="N89" s="70">
        <f t="shared" si="90"/>
        <v>0.86620776169051727</v>
      </c>
      <c r="O89" s="70">
        <f t="shared" si="90"/>
        <v>0.81312176163949801</v>
      </c>
      <c r="P89" s="70">
        <f t="shared" si="90"/>
        <v>0.86571846814182429</v>
      </c>
      <c r="Q89" s="70">
        <f t="shared" si="90"/>
        <v>0.88584360459905409</v>
      </c>
      <c r="R89" s="70">
        <f t="shared" si="90"/>
        <v>0.89101466716980371</v>
      </c>
      <c r="S89" s="70">
        <f t="shared" si="90"/>
        <v>0.85799971671904085</v>
      </c>
      <c r="T89" s="70">
        <f t="shared" si="90"/>
        <v>0.88140165563040129</v>
      </c>
      <c r="U89" s="70">
        <f t="shared" si="90"/>
        <v>0.89165522422053678</v>
      </c>
      <c r="V89" s="70">
        <f t="shared" si="90"/>
        <v>0.89396435113565187</v>
      </c>
      <c r="W89" s="70">
        <f t="shared" si="90"/>
        <v>0.89495463417543397</v>
      </c>
    </row>
    <row r="90" spans="3:23" s="5" customFormat="1" ht="4.95" customHeight="1" x14ac:dyDescent="0.25">
      <c r="C90" s="33"/>
      <c r="H90" s="68"/>
      <c r="I90" s="58"/>
      <c r="J90" s="111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</row>
    <row r="91" spans="3:23" s="5" customFormat="1" x14ac:dyDescent="0.25">
      <c r="C91" s="27" t="s">
        <v>80</v>
      </c>
      <c r="H91" s="68"/>
      <c r="I91" s="58"/>
      <c r="J91" s="98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</row>
    <row r="92" spans="3:23" s="5" customFormat="1" x14ac:dyDescent="0.25">
      <c r="C92" s="27" t="s">
        <v>79</v>
      </c>
      <c r="H92" s="68"/>
      <c r="I92" s="58"/>
      <c r="J92" s="98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</row>
    <row r="93" spans="3:23" s="5" customFormat="1" x14ac:dyDescent="0.25">
      <c r="C93" s="27" t="s">
        <v>86</v>
      </c>
      <c r="H93" s="68"/>
      <c r="I93" s="58"/>
      <c r="J93" s="98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</row>
    <row r="94" spans="3:23" s="5" customFormat="1" x14ac:dyDescent="0.25">
      <c r="C94" s="27" t="s">
        <v>85</v>
      </c>
      <c r="H94" s="68"/>
      <c r="I94" s="58"/>
      <c r="J94" s="98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</row>
    <row r="95" spans="3:23" s="5" customFormat="1" ht="4.95" customHeight="1" x14ac:dyDescent="0.25">
      <c r="C95" s="33"/>
      <c r="H95" s="68"/>
      <c r="I95" s="58"/>
      <c r="J95" s="111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</row>
    <row r="96" spans="3:23" s="5" customFormat="1" x14ac:dyDescent="0.25">
      <c r="C96" s="27" t="s">
        <v>91</v>
      </c>
      <c r="H96" s="68"/>
      <c r="I96" s="58"/>
      <c r="J96" s="98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</row>
    <row r="97" spans="3:23" s="5" customFormat="1" x14ac:dyDescent="0.25">
      <c r="C97" s="27" t="s">
        <v>90</v>
      </c>
      <c r="H97" s="68"/>
      <c r="I97" s="58"/>
      <c r="J97" s="98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</row>
    <row r="98" spans="3:23" s="5" customFormat="1" x14ac:dyDescent="0.25">
      <c r="C98" s="27" t="s">
        <v>89</v>
      </c>
      <c r="H98" s="68"/>
      <c r="I98" s="58"/>
      <c r="J98" s="98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</row>
    <row r="99" spans="3:23" s="5" customFormat="1" x14ac:dyDescent="0.25">
      <c r="C99" s="27" t="s">
        <v>88</v>
      </c>
      <c r="H99" s="68"/>
      <c r="I99" s="58"/>
      <c r="J99" s="98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</row>
    <row r="100" spans="3:23" ht="4.95" customHeight="1" x14ac:dyDescent="0.25">
      <c r="C100" s="27"/>
      <c r="H100" s="39"/>
      <c r="I100" s="34"/>
      <c r="J100" s="112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</row>
    <row r="101" spans="3:23" ht="13.6" customHeight="1" x14ac:dyDescent="0.25">
      <c r="C101" s="27" t="s">
        <v>81</v>
      </c>
      <c r="J101" s="98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</row>
    <row r="102" spans="3:23" ht="13.6" customHeight="1" x14ac:dyDescent="0.25">
      <c r="C102" s="27" t="s">
        <v>87</v>
      </c>
      <c r="H102" s="39"/>
      <c r="I102" s="34"/>
      <c r="J102" s="98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</row>
    <row r="103" spans="3:23" x14ac:dyDescent="0.25">
      <c r="C103" s="27" t="s">
        <v>82</v>
      </c>
      <c r="J103" s="98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</row>
    <row r="104" spans="3:23" x14ac:dyDescent="0.25">
      <c r="C104" s="27" t="s">
        <v>84</v>
      </c>
      <c r="J104" s="98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</row>
    <row r="105" spans="3:23" x14ac:dyDescent="0.25">
      <c r="C105" s="27" t="s">
        <v>83</v>
      </c>
      <c r="J105" s="98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</row>
    <row r="106" spans="3:23" x14ac:dyDescent="0.25">
      <c r="C106" s="1" t="s">
        <v>103</v>
      </c>
      <c r="J106" s="98"/>
      <c r="K106" s="21">
        <f>+SUM(K91:K94,K96:K99,K101:K105)</f>
        <v>0</v>
      </c>
      <c r="L106" s="21">
        <f>+SUM(L91:L94,L96:L99,L101:L105)</f>
        <v>0</v>
      </c>
      <c r="M106" s="21">
        <f>+SUM(M91:M94,M96:M99,M101:M105)</f>
        <v>0</v>
      </c>
      <c r="N106" s="21">
        <f>+SUM(N91:N94,N96:N99,N101:N105)</f>
        <v>0</v>
      </c>
      <c r="O106" s="21">
        <f>+SUM(O91:O94,O96:O99,O101:O105)</f>
        <v>0</v>
      </c>
      <c r="P106" s="21">
        <f>+SUM(P91:P94,P96:P99,P101:P105)</f>
        <v>0</v>
      </c>
      <c r="Q106" s="21">
        <f>+SUM(Q91:Q94,Q96:Q99,Q101:Q105)</f>
        <v>0</v>
      </c>
      <c r="R106" s="21">
        <f>+SUM(R91:R94,R96:R99,R101:R105)</f>
        <v>0</v>
      </c>
      <c r="S106" s="21">
        <f>+SUM(S91:S94,S96:S99,S101:S105)</f>
        <v>0</v>
      </c>
      <c r="T106" s="21">
        <f>+SUM(T91:T94,T96:T99,T101:T105)</f>
        <v>0</v>
      </c>
      <c r="U106" s="21">
        <f>+SUM(U91:U94,U96:U99,U101:U105)</f>
        <v>0</v>
      </c>
      <c r="V106" s="21">
        <f>+SUM(V91:V94,V96:V99,V101:V105)</f>
        <v>0</v>
      </c>
      <c r="W106" s="21">
        <f>+SUM(W91:W94,W96:W99,W101:W105)</f>
        <v>0</v>
      </c>
    </row>
    <row r="107" spans="3:23" ht="4.95" customHeight="1" x14ac:dyDescent="0.25">
      <c r="J107" s="98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3:23" x14ac:dyDescent="0.25">
      <c r="C108" s="27" t="s">
        <v>99</v>
      </c>
      <c r="J108" s="98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</row>
    <row r="109" spans="3:23" x14ac:dyDescent="0.25">
      <c r="C109" s="27" t="s">
        <v>98</v>
      </c>
      <c r="J109" s="98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</row>
    <row r="110" spans="3:23" x14ac:dyDescent="0.25">
      <c r="C110" s="27" t="s">
        <v>100</v>
      </c>
      <c r="J110" s="98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</row>
    <row r="111" spans="3:23" x14ac:dyDescent="0.25">
      <c r="C111" s="1" t="s">
        <v>102</v>
      </c>
      <c r="J111" s="98"/>
      <c r="K111" s="21">
        <f t="shared" ref="K111:W111" si="91">+K108+K109+K110</f>
        <v>0</v>
      </c>
      <c r="L111" s="21">
        <f t="shared" si="91"/>
        <v>0</v>
      </c>
      <c r="M111" s="21">
        <f t="shared" si="91"/>
        <v>0</v>
      </c>
      <c r="N111" s="21">
        <f t="shared" si="91"/>
        <v>0</v>
      </c>
      <c r="O111" s="21">
        <f t="shared" si="91"/>
        <v>0</v>
      </c>
      <c r="P111" s="21">
        <f t="shared" si="91"/>
        <v>0</v>
      </c>
      <c r="Q111" s="21">
        <f t="shared" si="91"/>
        <v>0</v>
      </c>
      <c r="R111" s="21">
        <f t="shared" si="91"/>
        <v>0</v>
      </c>
      <c r="S111" s="21">
        <f t="shared" si="91"/>
        <v>0</v>
      </c>
      <c r="T111" s="21">
        <f t="shared" si="91"/>
        <v>0</v>
      </c>
      <c r="U111" s="21">
        <f t="shared" si="91"/>
        <v>0</v>
      </c>
      <c r="V111" s="21">
        <f t="shared" si="91"/>
        <v>0</v>
      </c>
      <c r="W111" s="21">
        <f t="shared" si="91"/>
        <v>0</v>
      </c>
    </row>
    <row r="112" spans="3:23" hidden="1" x14ac:dyDescent="0.25">
      <c r="D112" s="1" t="s">
        <v>19</v>
      </c>
      <c r="J112" s="98"/>
      <c r="K112" s="21">
        <v>1500</v>
      </c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3:23" ht="4.95" customHeight="1" x14ac:dyDescent="0.25">
      <c r="J113" s="98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 spans="3:23" x14ac:dyDescent="0.25">
      <c r="C114" s="27" t="s">
        <v>104</v>
      </c>
      <c r="J114" s="98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</row>
    <row r="115" spans="3:23" x14ac:dyDescent="0.25">
      <c r="C115" s="27" t="s">
        <v>105</v>
      </c>
      <c r="J115" s="98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</row>
    <row r="116" spans="3:23" x14ac:dyDescent="0.25">
      <c r="C116" s="27" t="s">
        <v>97</v>
      </c>
      <c r="J116" s="98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</row>
    <row r="117" spans="3:23" x14ac:dyDescent="0.25">
      <c r="C117" s="1" t="s">
        <v>101</v>
      </c>
      <c r="J117" s="98"/>
      <c r="K117" s="21">
        <f t="shared" ref="K117:W117" si="92">+K114+K115+K116</f>
        <v>0</v>
      </c>
      <c r="L117" s="21">
        <f t="shared" si="92"/>
        <v>0</v>
      </c>
      <c r="M117" s="21">
        <f t="shared" si="92"/>
        <v>0</v>
      </c>
      <c r="N117" s="21">
        <f t="shared" si="92"/>
        <v>0</v>
      </c>
      <c r="O117" s="21">
        <f t="shared" si="92"/>
        <v>0</v>
      </c>
      <c r="P117" s="21">
        <f t="shared" si="92"/>
        <v>0</v>
      </c>
      <c r="Q117" s="21">
        <f t="shared" si="92"/>
        <v>0</v>
      </c>
      <c r="R117" s="21">
        <f t="shared" si="92"/>
        <v>0</v>
      </c>
      <c r="S117" s="21">
        <f t="shared" si="92"/>
        <v>0</v>
      </c>
      <c r="T117" s="21">
        <f t="shared" si="92"/>
        <v>0</v>
      </c>
      <c r="U117" s="21">
        <f t="shared" si="92"/>
        <v>0</v>
      </c>
      <c r="V117" s="21">
        <f t="shared" si="92"/>
        <v>0</v>
      </c>
      <c r="W117" s="21">
        <f t="shared" si="92"/>
        <v>0</v>
      </c>
    </row>
    <row r="118" spans="3:23" ht="4.95" customHeight="1" x14ac:dyDescent="0.25">
      <c r="J118" s="98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3:23" x14ac:dyDescent="0.25">
      <c r="C119" s="27" t="s">
        <v>107</v>
      </c>
      <c r="J119" s="98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</row>
    <row r="120" spans="3:23" x14ac:dyDescent="0.25">
      <c r="C120" s="27" t="s">
        <v>108</v>
      </c>
      <c r="J120" s="98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</row>
    <row r="121" spans="3:23" x14ac:dyDescent="0.25">
      <c r="C121" s="1" t="s">
        <v>106</v>
      </c>
      <c r="J121" s="98"/>
      <c r="K121" s="21">
        <f t="shared" ref="K121:W121" si="93">+K119+K120</f>
        <v>0</v>
      </c>
      <c r="L121" s="21">
        <f t="shared" si="93"/>
        <v>0</v>
      </c>
      <c r="M121" s="21">
        <f t="shared" si="93"/>
        <v>0</v>
      </c>
      <c r="N121" s="21">
        <f t="shared" si="93"/>
        <v>0</v>
      </c>
      <c r="O121" s="21">
        <f t="shared" si="93"/>
        <v>0</v>
      </c>
      <c r="P121" s="21">
        <f t="shared" si="93"/>
        <v>0</v>
      </c>
      <c r="Q121" s="21">
        <f t="shared" si="93"/>
        <v>0</v>
      </c>
      <c r="R121" s="21">
        <f t="shared" si="93"/>
        <v>0</v>
      </c>
      <c r="S121" s="21">
        <f t="shared" si="93"/>
        <v>0</v>
      </c>
      <c r="T121" s="21">
        <f t="shared" si="93"/>
        <v>0</v>
      </c>
      <c r="U121" s="21">
        <f t="shared" si="93"/>
        <v>0</v>
      </c>
      <c r="V121" s="21">
        <f t="shared" si="93"/>
        <v>0</v>
      </c>
      <c r="W121" s="21">
        <f t="shared" si="93"/>
        <v>0</v>
      </c>
    </row>
    <row r="122" spans="3:23" ht="4.95" customHeight="1" x14ac:dyDescent="0.25">
      <c r="J122" s="98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 spans="3:23" x14ac:dyDescent="0.25">
      <c r="C123" s="1" t="s">
        <v>128</v>
      </c>
      <c r="J123" s="98"/>
      <c r="K123" s="21">
        <f t="shared" ref="K123" si="94">+K120+K121</f>
        <v>0</v>
      </c>
      <c r="L123" s="21">
        <f t="shared" ref="L123" si="95">+L120+L121</f>
        <v>0</v>
      </c>
      <c r="M123" s="21">
        <f t="shared" ref="M123" si="96">+M120+M121</f>
        <v>0</v>
      </c>
      <c r="N123" s="21">
        <f t="shared" ref="N123" si="97">+N120+N121</f>
        <v>0</v>
      </c>
      <c r="O123" s="21">
        <f t="shared" ref="O123" si="98">+O120+O121</f>
        <v>0</v>
      </c>
      <c r="P123" s="21">
        <f t="shared" ref="P123" si="99">+P120+P121</f>
        <v>0</v>
      </c>
      <c r="Q123" s="21">
        <f t="shared" ref="Q123" si="100">+Q120+Q121</f>
        <v>0</v>
      </c>
      <c r="R123" s="21">
        <f t="shared" ref="R123" si="101">+R120+R121</f>
        <v>0</v>
      </c>
      <c r="S123" s="21">
        <f t="shared" ref="S123" si="102">+S120+S121</f>
        <v>0</v>
      </c>
      <c r="T123" s="21">
        <f t="shared" ref="T123" si="103">+T120+T121</f>
        <v>0</v>
      </c>
      <c r="U123" s="21">
        <f t="shared" ref="U123" si="104">+U120+U121</f>
        <v>0</v>
      </c>
      <c r="V123" s="21">
        <f t="shared" ref="V123" si="105">+V120+V121</f>
        <v>0</v>
      </c>
      <c r="W123" s="21">
        <f t="shared" ref="W123" si="106">+W120+W121</f>
        <v>0</v>
      </c>
    </row>
    <row r="124" spans="3:23" ht="4.95" customHeight="1" x14ac:dyDescent="0.25">
      <c r="J124" s="98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 spans="3:23" x14ac:dyDescent="0.25">
      <c r="C125" s="9" t="s">
        <v>92</v>
      </c>
      <c r="D125" s="9"/>
      <c r="E125" s="9"/>
      <c r="F125" s="9"/>
      <c r="G125" s="9"/>
      <c r="H125" s="9"/>
      <c r="I125" s="9"/>
      <c r="J125" s="113"/>
      <c r="K125" s="101">
        <f>+K106+K111+K117+K121</f>
        <v>0</v>
      </c>
      <c r="L125" s="101">
        <f>+L106+L111+L117+L121</f>
        <v>0</v>
      </c>
      <c r="M125" s="101">
        <f>+M106+M111+M117+M121</f>
        <v>0</v>
      </c>
      <c r="N125" s="101">
        <f>+N106+N111+N117+N121</f>
        <v>0</v>
      </c>
      <c r="O125" s="101">
        <f>+O106+O111+O117+O121</f>
        <v>0</v>
      </c>
      <c r="P125" s="101">
        <f>+P106+P111+P117+P121</f>
        <v>0</v>
      </c>
      <c r="Q125" s="101">
        <f>+Q106+Q111+Q117+Q121</f>
        <v>0</v>
      </c>
      <c r="R125" s="101">
        <f>+R106+R111+R117+R121</f>
        <v>0</v>
      </c>
      <c r="S125" s="101">
        <f>+S106+S111+S117+S121</f>
        <v>0</v>
      </c>
      <c r="T125" s="101">
        <f>+T106+T111+T117+T121</f>
        <v>0</v>
      </c>
      <c r="U125" s="101">
        <f>+U106+U111+U117+U121</f>
        <v>0</v>
      </c>
      <c r="V125" s="101">
        <f>+V106+V111+V117+V121</f>
        <v>0</v>
      </c>
      <c r="W125" s="101">
        <f>+W106+W111+W117+W121</f>
        <v>0</v>
      </c>
    </row>
    <row r="126" spans="3:23" s="35" customFormat="1" ht="4.95" customHeight="1" x14ac:dyDescent="0.25">
      <c r="J126" s="114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</row>
    <row r="127" spans="3:23" s="35" customFormat="1" x14ac:dyDescent="0.25">
      <c r="C127" s="9" t="s">
        <v>123</v>
      </c>
      <c r="D127" s="9"/>
      <c r="E127" s="9"/>
      <c r="F127" s="9"/>
      <c r="G127" s="9"/>
      <c r="H127" s="63"/>
      <c r="I127" s="64"/>
      <c r="J127" s="108"/>
      <c r="K127" s="72">
        <f>+K88+K125</f>
        <v>0</v>
      </c>
      <c r="L127" s="72">
        <f>+L88+L125</f>
        <v>10.6053</v>
      </c>
      <c r="M127" s="72">
        <f>+M88+M125</f>
        <v>35.817037500000005</v>
      </c>
      <c r="N127" s="72">
        <f>+N88+N125</f>
        <v>152.74263435</v>
      </c>
      <c r="O127" s="72">
        <f>+O88+O125</f>
        <v>32.607307087499997</v>
      </c>
      <c r="P127" s="72">
        <f>+P88+P125</f>
        <v>87.980579399999996</v>
      </c>
      <c r="Q127" s="72">
        <f>+Q88+Q125</f>
        <v>218.00915175</v>
      </c>
      <c r="R127" s="72">
        <f>+R88+R125</f>
        <v>393.91504139100005</v>
      </c>
      <c r="S127" s="72">
        <f>+S88+S125</f>
        <v>72.594789788250011</v>
      </c>
      <c r="T127" s="72">
        <f>+T88+T125</f>
        <v>168.41086410600002</v>
      </c>
      <c r="U127" s="72">
        <f>+U88+U125</f>
        <v>379.71068102099997</v>
      </c>
      <c r="V127" s="72">
        <f>+V88+V125</f>
        <v>642.24131265990013</v>
      </c>
      <c r="W127" s="72">
        <f>+W88+W125</f>
        <v>642.95275118490008</v>
      </c>
    </row>
    <row r="128" spans="3:23" s="5" customFormat="1" x14ac:dyDescent="0.25">
      <c r="C128" s="33" t="s">
        <v>124</v>
      </c>
      <c r="J128" s="30"/>
      <c r="K128" s="70" t="str">
        <f>+IFERROR(K127/K$78,"na")</f>
        <v>na</v>
      </c>
      <c r="L128" s="70">
        <f t="shared" ref="L128" si="107">+IFERROR(L127/L$78,"na")</f>
        <v>0.67908689248895437</v>
      </c>
      <c r="M128" s="70">
        <f t="shared" ref="M128" si="108">+IFERROR(M127/M$78,"na")</f>
        <v>0.87370082053439935</v>
      </c>
      <c r="N128" s="70">
        <f t="shared" ref="N128" si="109">+IFERROR(N127/N$78,"na")</f>
        <v>0.86620776169051727</v>
      </c>
      <c r="O128" s="70">
        <f t="shared" ref="O128" si="110">+IFERROR(O127/O$78,"na")</f>
        <v>0.81312176163949801</v>
      </c>
      <c r="P128" s="70">
        <f t="shared" ref="P128" si="111">+IFERROR(P127/P$78,"na")</f>
        <v>0.86571846814182429</v>
      </c>
      <c r="Q128" s="70">
        <f t="shared" ref="Q128" si="112">+IFERROR(Q127/Q$78,"na")</f>
        <v>0.88584360459905409</v>
      </c>
      <c r="R128" s="70">
        <f t="shared" ref="R128" si="113">+IFERROR(R127/R$78,"na")</f>
        <v>0.89101466716980371</v>
      </c>
      <c r="S128" s="70">
        <f t="shared" ref="S128" si="114">+IFERROR(S127/S$78,"na")</f>
        <v>0.85799971671904085</v>
      </c>
      <c r="T128" s="70">
        <f t="shared" ref="T128" si="115">+IFERROR(T127/T$78,"na")</f>
        <v>0.88140165563040129</v>
      </c>
      <c r="U128" s="70">
        <f t="shared" ref="U128" si="116">+IFERROR(U127/U$78,"na")</f>
        <v>0.89165522422053678</v>
      </c>
      <c r="V128" s="70">
        <f t="shared" ref="V128" si="117">+IFERROR(V127/V$78,"na")</f>
        <v>0.89396435113565187</v>
      </c>
      <c r="W128" s="70">
        <f t="shared" ref="W128" si="118">+IFERROR(W127/W$78,"na")</f>
        <v>0.89495463417543397</v>
      </c>
    </row>
    <row r="129" spans="3:23" ht="4.95" customHeight="1" x14ac:dyDescent="0.25"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pans="3:23" x14ac:dyDescent="0.25">
      <c r="C130" s="1" t="s">
        <v>125</v>
      </c>
      <c r="J130" s="21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</row>
    <row r="131" spans="3:23" x14ac:dyDescent="0.25">
      <c r="C131" s="1" t="s">
        <v>126</v>
      </c>
      <c r="J131" s="21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</row>
    <row r="132" spans="3:23" s="35" customFormat="1" ht="4.95" customHeight="1" x14ac:dyDescent="0.25">
      <c r="J132" s="114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</row>
    <row r="133" spans="3:23" s="35" customFormat="1" x14ac:dyDescent="0.25">
      <c r="C133" s="11" t="s">
        <v>127</v>
      </c>
      <c r="D133" s="11"/>
      <c r="E133" s="11"/>
      <c r="F133" s="11"/>
      <c r="G133" s="11"/>
      <c r="H133" s="115"/>
      <c r="I133" s="116"/>
      <c r="J133" s="110"/>
      <c r="K133" s="73">
        <f>+K127+K130+K131</f>
        <v>0</v>
      </c>
      <c r="L133" s="73">
        <f t="shared" ref="L133:W133" si="119">+L127+L130+L131</f>
        <v>10.6053</v>
      </c>
      <c r="M133" s="73">
        <f t="shared" si="119"/>
        <v>35.817037500000005</v>
      </c>
      <c r="N133" s="73">
        <f t="shared" si="119"/>
        <v>152.74263435</v>
      </c>
      <c r="O133" s="73">
        <f t="shared" si="119"/>
        <v>32.607307087499997</v>
      </c>
      <c r="P133" s="73">
        <f t="shared" si="119"/>
        <v>87.980579399999996</v>
      </c>
      <c r="Q133" s="73">
        <f t="shared" si="119"/>
        <v>218.00915175</v>
      </c>
      <c r="R133" s="73">
        <f t="shared" si="119"/>
        <v>393.91504139100005</v>
      </c>
      <c r="S133" s="73">
        <f t="shared" si="119"/>
        <v>72.594789788250011</v>
      </c>
      <c r="T133" s="73">
        <f t="shared" si="119"/>
        <v>168.41086410600002</v>
      </c>
      <c r="U133" s="73">
        <f t="shared" si="119"/>
        <v>379.71068102099997</v>
      </c>
      <c r="V133" s="73">
        <f t="shared" si="119"/>
        <v>642.24131265990013</v>
      </c>
      <c r="W133" s="73">
        <f t="shared" si="119"/>
        <v>642.95275118490008</v>
      </c>
    </row>
    <row r="134" spans="3:23" x14ac:dyDescent="0.25"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 spans="3:23" x14ac:dyDescent="0.25"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6" spans="3:23" x14ac:dyDescent="0.25"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</row>
    <row r="137" spans="3:23" x14ac:dyDescent="0.25"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</row>
    <row r="138" spans="3:23" x14ac:dyDescent="0.25"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 spans="3:23" x14ac:dyDescent="0.25"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</row>
    <row r="140" spans="3:23" x14ac:dyDescent="0.25"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 spans="3:23" x14ac:dyDescent="0.25"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</row>
    <row r="142" spans="3:23" x14ac:dyDescent="0.25"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 spans="3:23" s="5" customFormat="1" x14ac:dyDescent="0.25">
      <c r="C143" s="80" t="s">
        <v>27</v>
      </c>
      <c r="D143" s="81"/>
      <c r="E143" s="82"/>
      <c r="F143" s="82"/>
      <c r="G143" s="82"/>
      <c r="H143" s="82"/>
      <c r="I143" s="82"/>
      <c r="J143" s="83"/>
      <c r="K143" s="83">
        <f>+IF(K$52=4,SUM(H$78:K$78),0)</f>
        <v>0</v>
      </c>
      <c r="L143" s="83">
        <f>+IF(L$52=4,SUM(I$78:L$78),0)</f>
        <v>0</v>
      </c>
      <c r="M143" s="83">
        <f>+IF(M$52=4,SUM(J$78:M$78),0)</f>
        <v>0</v>
      </c>
      <c r="N143" s="83">
        <f>+IF(N$52=4,SUM(K$78:N$78),0)</f>
        <v>0</v>
      </c>
      <c r="O143" s="83">
        <f>+IF(O$52=4,SUM(L$78:O$78),0)</f>
        <v>273.04787937500004</v>
      </c>
      <c r="P143" s="83">
        <f>+IF(P$52=4,SUM(M$78:P$78),0)</f>
        <v>0</v>
      </c>
      <c r="Q143" s="83">
        <f>+IF(Q$52=4,SUM(N$78:Q$78),0)</f>
        <v>0</v>
      </c>
      <c r="R143" s="83">
        <f>+IF(R$52=4,SUM(O$78:R$78),0)</f>
        <v>0</v>
      </c>
      <c r="S143" s="83">
        <f>+IF(S$52=4,SUM(P$78:S$78),0)</f>
        <v>874.4371595325</v>
      </c>
      <c r="T143" s="83">
        <f>+IF(T$52=4,SUM(Q$78:T$78),0)</f>
        <v>0</v>
      </c>
      <c r="U143" s="83">
        <f>+IF(U$52=4,SUM(R$78:U$78),0)</f>
        <v>0</v>
      </c>
      <c r="V143" s="83">
        <f>+IF(V$52=4,SUM(S$78:V$78),0)</f>
        <v>0</v>
      </c>
      <c r="W143" s="84">
        <f>+IF(W$52=4,SUM(T$78:W$78),0)</f>
        <v>2053.7596190520003</v>
      </c>
    </row>
    <row r="144" spans="3:23" s="5" customFormat="1" x14ac:dyDescent="0.25">
      <c r="C144" s="85" t="s">
        <v>71</v>
      </c>
      <c r="D144" s="86"/>
      <c r="E144" s="75"/>
      <c r="F144" s="75"/>
      <c r="G144" s="75"/>
      <c r="H144" s="75"/>
      <c r="I144" s="75"/>
      <c r="J144" s="75"/>
      <c r="K144" s="66" t="str">
        <f>+IFERROR(IF(K$52=4,K143/G143,"na"),"na")</f>
        <v>na</v>
      </c>
      <c r="L144" s="66" t="str">
        <f>+IFERROR(IF(L$52=4,L143/H143,"na"),"na")</f>
        <v>na</v>
      </c>
      <c r="M144" s="66" t="str">
        <f>+IFERROR(IF(M$52=4,M143/I143,"na"),"na")</f>
        <v>na</v>
      </c>
      <c r="N144" s="66" t="str">
        <f>+IFERROR(IF(N$52=4,N143/J143,"na"),"na")</f>
        <v>na</v>
      </c>
      <c r="O144" s="66" t="str">
        <f>+IFERROR(IF(O$52=4,O143/K143,"na"),"na")</f>
        <v>na</v>
      </c>
      <c r="P144" s="66" t="str">
        <f>+IFERROR(IF(P$52=4,P143/L143,"na"),"na")</f>
        <v>na</v>
      </c>
      <c r="Q144" s="66" t="str">
        <f>+IFERROR(IF(Q$52=4,Q143/M143,"na"),"na")</f>
        <v>na</v>
      </c>
      <c r="R144" s="66" t="str">
        <f>+IFERROR(IF(R$52=4,R143/N143,"na"),"na")</f>
        <v>na</v>
      </c>
      <c r="S144" s="66">
        <f>+IFERROR(IF(S$52=4,S143/O143,"na"),"na")</f>
        <v>3.2025048556834261</v>
      </c>
      <c r="T144" s="66" t="str">
        <f>+IFERROR(IF(T$52=4,T143/P143,"na"),"na")</f>
        <v>na</v>
      </c>
      <c r="U144" s="66" t="str">
        <f>+IFERROR(IF(U$52=4,U143/Q143,"na"),"na")</f>
        <v>na</v>
      </c>
      <c r="V144" s="66" t="str">
        <f>+IFERROR(IF(V$52=4,V143/R143,"na"),"na")</f>
        <v>na</v>
      </c>
      <c r="W144" s="87">
        <f>+IFERROR(IF(W$52=4,W143/S143,"na"),"na")</f>
        <v>2.3486646200511436</v>
      </c>
    </row>
    <row r="145" spans="3:23" s="75" customFormat="1" x14ac:dyDescent="0.25">
      <c r="C145" s="85" t="s">
        <v>65</v>
      </c>
      <c r="D145" s="76"/>
      <c r="H145" s="68"/>
      <c r="I145" s="67"/>
      <c r="J145" s="74"/>
      <c r="K145" s="74">
        <f>+K58+K82+K83</f>
        <v>0</v>
      </c>
      <c r="L145" s="74">
        <f>+L58+L82+L83</f>
        <v>10.605299999999998</v>
      </c>
      <c r="M145" s="74">
        <f>+M58+M82+M83</f>
        <v>35.817037500000005</v>
      </c>
      <c r="N145" s="74">
        <f>+N58+N82+N83</f>
        <v>68.699729250000019</v>
      </c>
      <c r="O145" s="74">
        <f>+O58+O82+O83</f>
        <v>12.788705812499998</v>
      </c>
      <c r="P145" s="74">
        <f>+P58+P82+P83</f>
        <v>31.157225999999998</v>
      </c>
      <c r="Q145" s="74">
        <f>+Q58+Q82+Q83</f>
        <v>72.374393249999997</v>
      </c>
      <c r="R145" s="74">
        <f>+R58+R82+R83</f>
        <v>124.82250178499999</v>
      </c>
      <c r="S145" s="74">
        <f>+S58+S82+S83</f>
        <v>22.183938753749999</v>
      </c>
      <c r="T145" s="74">
        <f>+T58+T82+T83</f>
        <v>50.059288170000002</v>
      </c>
      <c r="U145" s="74">
        <f>+U58+U82+U83</f>
        <v>110.37971641500002</v>
      </c>
      <c r="V145" s="74">
        <f>+V58+V82+V83</f>
        <v>183.16270532970003</v>
      </c>
      <c r="W145" s="88">
        <f>+W58+W82+W83</f>
        <v>183.43639555470003</v>
      </c>
    </row>
    <row r="146" spans="3:23" s="75" customFormat="1" x14ac:dyDescent="0.25">
      <c r="C146" s="85" t="s">
        <v>67</v>
      </c>
      <c r="D146" s="76"/>
      <c r="H146" s="68"/>
      <c r="I146" s="67"/>
      <c r="J146" s="74"/>
      <c r="K146" s="74">
        <f>+K63+K84+K85</f>
        <v>0</v>
      </c>
      <c r="L146" s="74">
        <f>+L63+L84+L85</f>
        <v>0</v>
      </c>
      <c r="M146" s="74">
        <f>+M63+M84+M85</f>
        <v>0</v>
      </c>
      <c r="N146" s="74">
        <f>+N63+N84+N85</f>
        <v>84.042905099999999</v>
      </c>
      <c r="O146" s="74">
        <f>+O63+O84+O85</f>
        <v>19.818601274999999</v>
      </c>
      <c r="P146" s="74">
        <f>+P63+P84+P85</f>
        <v>56.823353399999995</v>
      </c>
      <c r="Q146" s="74">
        <f>+Q63+Q84+Q85</f>
        <v>145.63475849999998</v>
      </c>
      <c r="R146" s="74">
        <f>+R63+R84+R85</f>
        <v>269.092539606</v>
      </c>
      <c r="S146" s="74">
        <f>+S63+S84+S85</f>
        <v>50.410851034500013</v>
      </c>
      <c r="T146" s="74">
        <f>+T63+T84+T85</f>
        <v>118.35157593599999</v>
      </c>
      <c r="U146" s="74">
        <f>+U63+U84+U85</f>
        <v>269.33096460599995</v>
      </c>
      <c r="V146" s="74">
        <f>+V63+V84+V85</f>
        <v>459.07860733020004</v>
      </c>
      <c r="W146" s="88">
        <f>+W63+W84+W85</f>
        <v>459.51635563020011</v>
      </c>
    </row>
    <row r="147" spans="3:23" s="5" customFormat="1" x14ac:dyDescent="0.25">
      <c r="C147" s="85" t="s">
        <v>66</v>
      </c>
      <c r="D147" s="76"/>
      <c r="E147" s="75"/>
      <c r="F147" s="75"/>
      <c r="G147" s="75"/>
      <c r="H147" s="68"/>
      <c r="I147" s="67"/>
      <c r="J147" s="69"/>
      <c r="K147" s="70" t="str">
        <f>+IFERROR(K145/K58,"na")</f>
        <v>na</v>
      </c>
      <c r="L147" s="70">
        <f>+IFERROR(L145/L58,"na")</f>
        <v>0.67908689248895426</v>
      </c>
      <c r="M147" s="70">
        <f>+IFERROR(M145/M58,"na")</f>
        <v>0.87370082053439935</v>
      </c>
      <c r="N147" s="70">
        <f>+IFERROR(N145/N58,"na")</f>
        <v>0.88467269540647342</v>
      </c>
      <c r="O147" s="70">
        <f>+IFERROR(O145/O58,"na")</f>
        <v>0.82873770725450147</v>
      </c>
      <c r="P147" s="70">
        <f>+IFERROR(P145/P58,"na")</f>
        <v>0.86931762395679923</v>
      </c>
      <c r="Q147" s="70">
        <f>+IFERROR(Q145/Q58,"na")</f>
        <v>0.88652968856639969</v>
      </c>
      <c r="R147" s="70">
        <f>+IFERROR(R145/R58,"na")</f>
        <v>0.89070896848205883</v>
      </c>
      <c r="S147" s="70">
        <f>+IFERROR(S145/S58,"na")</f>
        <v>0.85668370440959885</v>
      </c>
      <c r="T147" s="70">
        <f>+IFERROR(T145/T58,"na")</f>
        <v>0.88027561540079946</v>
      </c>
      <c r="U147" s="70">
        <f>+IFERROR(U145/U58,"na")</f>
        <v>0.89094618411839976</v>
      </c>
      <c r="V147" s="70">
        <f>+IFERROR(V145/V58,"na")</f>
        <v>0.89308689423910759</v>
      </c>
      <c r="W147" s="89">
        <f>+IFERROR(W145/W58,"na")</f>
        <v>0.89442138617396338</v>
      </c>
    </row>
    <row r="148" spans="3:23" s="5" customFormat="1" x14ac:dyDescent="0.25">
      <c r="C148" s="90" t="s">
        <v>68</v>
      </c>
      <c r="D148" s="91"/>
      <c r="E148" s="92"/>
      <c r="F148" s="92"/>
      <c r="G148" s="92"/>
      <c r="H148" s="93"/>
      <c r="I148" s="94"/>
      <c r="J148" s="95"/>
      <c r="K148" s="96" t="str">
        <f>+IFERROR(K146/K63,"na")</f>
        <v>na</v>
      </c>
      <c r="L148" s="96" t="str">
        <f>+IFERROR(L146/L63,"na")</f>
        <v>na</v>
      </c>
      <c r="M148" s="96" t="str">
        <f>+IFERROR(M146/M63,"na")</f>
        <v>na</v>
      </c>
      <c r="N148" s="96">
        <f>+IFERROR(N146/N63,"na")</f>
        <v>0.85167681453561417</v>
      </c>
      <c r="O148" s="96">
        <f>+IFERROR(O146/O63,"na")</f>
        <v>0.80335362907122831</v>
      </c>
      <c r="P148" s="96">
        <f>+IFERROR(P146/P63,"na")</f>
        <v>0.86375761090171055</v>
      </c>
      <c r="Q148" s="96">
        <f>+IFERROR(Q146/Q63,"na")</f>
        <v>0.88550304436068417</v>
      </c>
      <c r="R148" s="96">
        <f>+IFERROR(R146/R63,"na")</f>
        <v>0.89115654122220378</v>
      </c>
      <c r="S148" s="96">
        <f>+IFERROR(S146/S63,"na")</f>
        <v>0.8585801267448121</v>
      </c>
      <c r="T148" s="96">
        <f>+IFERROR(T146/T63,"na")</f>
        <v>0.88187880545085517</v>
      </c>
      <c r="U148" s="96">
        <f>+IFERROR(U146/U63,"na")</f>
        <v>0.89194613575593562</v>
      </c>
      <c r="V148" s="96">
        <f>+IFERROR(V146/V63,"na")</f>
        <v>0.89431491935713103</v>
      </c>
      <c r="W148" s="97">
        <f>+IFERROR(W146/W63,"na")</f>
        <v>0.89516768145356151</v>
      </c>
    </row>
    <row r="149" spans="3:23" x14ac:dyDescent="0.25"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 spans="3:23" x14ac:dyDescent="0.25"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3:23" x14ac:dyDescent="0.25">
      <c r="C151" s="1" t="s">
        <v>29</v>
      </c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 spans="3:23" x14ac:dyDescent="0.25"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 spans="3:23" x14ac:dyDescent="0.25">
      <c r="C153" s="1" t="s">
        <v>18</v>
      </c>
      <c r="J153" s="24">
        <f>+'Startup Expenses'!$E$13</f>
        <v>412.75</v>
      </c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 spans="3:23" x14ac:dyDescent="0.25"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1C4D-9D48-4EA0-82FF-A91E4E1243C2}">
  <dimension ref="C3:J15"/>
  <sheetViews>
    <sheetView showGridLines="0" zoomScale="116" zoomScaleNormal="125" workbookViewId="0">
      <selection activeCell="E9" sqref="E9"/>
    </sheetView>
  </sheetViews>
  <sheetFormatPr defaultRowHeight="13.6" x14ac:dyDescent="0.25"/>
  <cols>
    <col min="1" max="2" width="2.625" style="1" customWidth="1"/>
    <col min="3" max="10" width="10.625" style="1" customWidth="1"/>
    <col min="11" max="16384" width="9" style="1"/>
  </cols>
  <sheetData>
    <row r="3" spans="3:10" s="4" customFormat="1" x14ac:dyDescent="0.25">
      <c r="C3" s="2" t="s">
        <v>16</v>
      </c>
      <c r="D3" s="3"/>
      <c r="E3" s="3"/>
      <c r="F3" s="3"/>
      <c r="G3" s="3"/>
      <c r="H3" s="3"/>
      <c r="I3" s="3"/>
      <c r="J3" s="3"/>
    </row>
    <row r="4" spans="3:10" s="4" customFormat="1" x14ac:dyDescent="0.25">
      <c r="C4" s="4" t="s">
        <v>5</v>
      </c>
      <c r="E4" s="13" t="s">
        <v>7</v>
      </c>
      <c r="F4" s="13" t="s">
        <v>8</v>
      </c>
      <c r="G4" s="14" t="s">
        <v>6</v>
      </c>
      <c r="I4" s="13" t="s">
        <v>7</v>
      </c>
      <c r="J4" s="13" t="s">
        <v>8</v>
      </c>
    </row>
    <row r="5" spans="3:10" x14ac:dyDescent="0.25">
      <c r="C5" s="9" t="s">
        <v>14</v>
      </c>
      <c r="D5" s="9"/>
      <c r="E5" s="20">
        <f>21.64*3</f>
        <v>64.92</v>
      </c>
      <c r="F5" s="15">
        <f>+E5/E$13</f>
        <v>0.15728649303452452</v>
      </c>
      <c r="G5" s="10" t="s">
        <v>10</v>
      </c>
      <c r="H5" s="9"/>
      <c r="I5" s="20">
        <f>+$I$13/2</f>
        <v>206.375</v>
      </c>
      <c r="J5" s="15">
        <f>+I5/I$13</f>
        <v>0.5</v>
      </c>
    </row>
    <row r="6" spans="3:10" x14ac:dyDescent="0.25">
      <c r="C6" s="1" t="s">
        <v>12</v>
      </c>
      <c r="E6" s="18">
        <v>30</v>
      </c>
      <c r="F6" s="16">
        <f t="shared" ref="F6:F13" si="0">+E6/E$13</f>
        <v>7.2683222289521496E-2</v>
      </c>
      <c r="G6" s="8" t="s">
        <v>11</v>
      </c>
      <c r="I6" s="18">
        <f>+$I$13/2</f>
        <v>206.375</v>
      </c>
      <c r="J6" s="16">
        <f t="shared" ref="J6:J13" si="1">+I6/I$13</f>
        <v>0.5</v>
      </c>
    </row>
    <row r="7" spans="3:10" x14ac:dyDescent="0.25">
      <c r="C7" s="1" t="s">
        <v>13</v>
      </c>
      <c r="E7" s="18">
        <f>14.4*3</f>
        <v>43.2</v>
      </c>
      <c r="F7" s="16">
        <f t="shared" si="0"/>
        <v>0.10466384009691097</v>
      </c>
      <c r="G7" s="8"/>
      <c r="I7" s="18"/>
      <c r="J7" s="16">
        <f t="shared" si="1"/>
        <v>0</v>
      </c>
    </row>
    <row r="8" spans="3:10" x14ac:dyDescent="0.25">
      <c r="C8" s="1" t="s">
        <v>15</v>
      </c>
      <c r="E8" s="18">
        <v>124.63</v>
      </c>
      <c r="F8" s="16">
        <f t="shared" si="0"/>
        <v>0.30195033313143549</v>
      </c>
      <c r="G8" s="8"/>
      <c r="I8" s="18"/>
      <c r="J8" s="16">
        <f t="shared" si="1"/>
        <v>0</v>
      </c>
    </row>
    <row r="9" spans="3:10" x14ac:dyDescent="0.25">
      <c r="C9" s="1" t="s">
        <v>23</v>
      </c>
      <c r="E9" s="18">
        <f>50*3</f>
        <v>150</v>
      </c>
      <c r="F9" s="16">
        <f t="shared" si="0"/>
        <v>0.36341611144760749</v>
      </c>
      <c r="G9" s="8"/>
      <c r="I9" s="18"/>
      <c r="J9" s="16">
        <f t="shared" si="1"/>
        <v>0</v>
      </c>
    </row>
    <row r="10" spans="3:10" x14ac:dyDescent="0.25">
      <c r="E10" s="18"/>
      <c r="F10" s="16">
        <f t="shared" si="0"/>
        <v>0</v>
      </c>
      <c r="G10" s="8"/>
      <c r="I10" s="18"/>
      <c r="J10" s="16">
        <f t="shared" si="1"/>
        <v>0</v>
      </c>
    </row>
    <row r="11" spans="3:10" x14ac:dyDescent="0.25">
      <c r="E11" s="18"/>
      <c r="F11" s="16">
        <f t="shared" si="0"/>
        <v>0</v>
      </c>
      <c r="G11" s="8"/>
      <c r="I11" s="18"/>
      <c r="J11" s="16">
        <f t="shared" si="1"/>
        <v>0</v>
      </c>
    </row>
    <row r="12" spans="3:10" x14ac:dyDescent="0.25">
      <c r="E12" s="18"/>
      <c r="F12" s="16">
        <f t="shared" si="0"/>
        <v>0</v>
      </c>
      <c r="G12" s="8"/>
      <c r="I12" s="18"/>
      <c r="J12" s="16">
        <f t="shared" si="1"/>
        <v>0</v>
      </c>
    </row>
    <row r="13" spans="3:10" x14ac:dyDescent="0.25">
      <c r="C13" s="11" t="s">
        <v>9</v>
      </c>
      <c r="D13" s="11"/>
      <c r="E13" s="19">
        <f>SUM(E5:E10)</f>
        <v>412.75</v>
      </c>
      <c r="F13" s="17">
        <f t="shared" si="0"/>
        <v>1</v>
      </c>
      <c r="G13" s="12" t="s">
        <v>9</v>
      </c>
      <c r="H13" s="11"/>
      <c r="I13" s="19">
        <f>+E13</f>
        <v>412.75</v>
      </c>
      <c r="J13" s="17">
        <f t="shared" si="1"/>
        <v>1</v>
      </c>
    </row>
    <row r="15" spans="3:10" s="5" customFormat="1" x14ac:dyDescent="0.25">
      <c r="C1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Operating Model</vt:lpstr>
      <vt:lpstr>Startup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LinDon Harris</dc:creator>
  <cp:lastModifiedBy>LinDon Harris</cp:lastModifiedBy>
  <cp:lastPrinted>2023-08-30T18:14:57Z</cp:lastPrinted>
  <dcterms:created xsi:type="dcterms:W3CDTF">2023-08-26T00:17:49Z</dcterms:created>
  <dcterms:modified xsi:type="dcterms:W3CDTF">2023-09-01T20:53:14Z</dcterms:modified>
</cp:coreProperties>
</file>