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mc:AlternateContent xmlns:mc="http://schemas.openxmlformats.org/markup-compatibility/2006">
    <mc:Choice Requires="x15">
      <x15ac:absPath xmlns:x15ac="http://schemas.microsoft.com/office/spreadsheetml/2010/11/ac" url="https://d.docs.live.net/acec9ca1bdbfb259/Excels/Arctos Case Study/"/>
    </mc:Choice>
  </mc:AlternateContent>
  <xr:revisionPtr revIDLastSave="0" documentId="8_{A5CD010F-468B-4FAB-83EE-A281E6B8501B}" xr6:coauthVersionLast="46" xr6:coauthVersionMax="46" xr10:uidLastSave="{00000000-0000-0000-0000-000000000000}"/>
  <bookViews>
    <workbookView xWindow="-120" yWindow="-120" windowWidth="29040" windowHeight="15840" xr2:uid="{00000000-000D-0000-FFFF-FFFF00000000}"/>
  </bookViews>
  <sheets>
    <sheet name="LBO" sheetId="7" r:id="rId1"/>
  </sheets>
  <calcPr calcId="191029" calcMode="autoNoTable" iterate="1"/>
</workbook>
</file>

<file path=xl/calcChain.xml><?xml version="1.0" encoding="utf-8"?>
<calcChain xmlns="http://schemas.openxmlformats.org/spreadsheetml/2006/main">
  <c r="I39" i="7" l="1"/>
  <c r="P36" i="7"/>
  <c r="K77" i="7" s="1"/>
  <c r="I123" i="7"/>
  <c r="J123" i="7"/>
  <c r="K123" i="7"/>
  <c r="L123" i="7"/>
  <c r="H123" i="7"/>
  <c r="I79" i="7"/>
  <c r="P39" i="7"/>
  <c r="P38" i="7"/>
  <c r="H79" i="7" s="1"/>
  <c r="G80" i="7"/>
  <c r="I77" i="7"/>
  <c r="J77" i="7"/>
  <c r="L77" i="7"/>
  <c r="H77" i="7"/>
  <c r="P35" i="7"/>
  <c r="G76" i="7"/>
  <c r="E41" i="7"/>
  <c r="H44" i="7"/>
  <c r="L59" i="7"/>
  <c r="C197" i="7"/>
  <c r="E143" i="7" l="1"/>
  <c r="G185" i="7"/>
  <c r="L58" i="7"/>
  <c r="K110" i="7"/>
  <c r="C59" i="7"/>
  <c r="H110" i="7"/>
  <c r="I91" i="7"/>
  <c r="I109" i="7" s="1"/>
  <c r="J91" i="7"/>
  <c r="J109" i="7" s="1"/>
  <c r="K91" i="7"/>
  <c r="K109" i="7" s="1"/>
  <c r="L91" i="7"/>
  <c r="L109" i="7" s="1"/>
  <c r="E74" i="7"/>
  <c r="G92" i="7"/>
  <c r="H71" i="7"/>
  <c r="I71" i="7" s="1"/>
  <c r="J71" i="7" s="1"/>
  <c r="K71" i="7" s="1"/>
  <c r="L71" i="7" s="1"/>
  <c r="H183" i="7" l="1"/>
  <c r="H45" i="7"/>
  <c r="J110" i="7"/>
  <c r="I110" i="7"/>
  <c r="L110" i="7"/>
  <c r="H91" i="7" l="1"/>
  <c r="G91" i="7"/>
  <c r="H92" i="7"/>
  <c r="I92" i="7" s="1"/>
  <c r="J92" i="7" s="1"/>
  <c r="K92" i="7" s="1"/>
  <c r="L92" i="7" s="1"/>
  <c r="G150" i="7"/>
  <c r="E145" i="7"/>
  <c r="B140" i="7"/>
  <c r="E138" i="7"/>
  <c r="B134" i="7"/>
  <c r="I132" i="7"/>
  <c r="J132" i="7" s="1"/>
  <c r="G121" i="7"/>
  <c r="H119" i="7" s="1"/>
  <c r="E115" i="7"/>
  <c r="F82" i="7"/>
  <c r="F89" i="7" s="1"/>
  <c r="E82" i="7"/>
  <c r="E89" i="7" s="1"/>
  <c r="D82" i="7"/>
  <c r="D85" i="7" s="1"/>
  <c r="D86" i="7" s="1"/>
  <c r="F80" i="7"/>
  <c r="E80" i="7"/>
  <c r="P40" i="7" s="1"/>
  <c r="F77" i="7"/>
  <c r="E77" i="7"/>
  <c r="F74" i="7"/>
  <c r="P34" i="7" s="1"/>
  <c r="E70" i="7"/>
  <c r="F70" i="7" s="1"/>
  <c r="G70" i="7" s="1"/>
  <c r="H70" i="7" s="1"/>
  <c r="I70" i="7" s="1"/>
  <c r="J70" i="7" s="1"/>
  <c r="K70" i="7" s="1"/>
  <c r="L70" i="7" s="1"/>
  <c r="H69" i="7"/>
  <c r="E40" i="7"/>
  <c r="E42" i="7" s="1"/>
  <c r="E38" i="7"/>
  <c r="G74" i="7" l="1"/>
  <c r="G73" i="7" s="1"/>
  <c r="K114" i="7"/>
  <c r="J114" i="7"/>
  <c r="I114" i="7"/>
  <c r="L114" i="7"/>
  <c r="H114" i="7"/>
  <c r="J80" i="7"/>
  <c r="L80" i="7"/>
  <c r="K80" i="7"/>
  <c r="E44" i="7"/>
  <c r="L74" i="7"/>
  <c r="H74" i="7"/>
  <c r="I74" i="7"/>
  <c r="K74" i="7"/>
  <c r="J74" i="7"/>
  <c r="H150" i="7"/>
  <c r="H109" i="7"/>
  <c r="K132" i="7"/>
  <c r="E83" i="7"/>
  <c r="F83" i="7"/>
  <c r="E85" i="7"/>
  <c r="E86" i="7" s="1"/>
  <c r="D89" i="7"/>
  <c r="F85" i="7"/>
  <c r="F86" i="7" s="1"/>
  <c r="H107" i="7"/>
  <c r="I69" i="7"/>
  <c r="H131" i="7"/>
  <c r="I86" i="7" l="1"/>
  <c r="C58" i="7"/>
  <c r="E46" i="7"/>
  <c r="E48" i="7" s="1"/>
  <c r="J86" i="7"/>
  <c r="L86" i="7"/>
  <c r="H86" i="7"/>
  <c r="G86" i="7"/>
  <c r="K86" i="7"/>
  <c r="H73" i="7"/>
  <c r="I73" i="7" s="1"/>
  <c r="I131" i="7"/>
  <c r="I107" i="7"/>
  <c r="J69" i="7"/>
  <c r="I150" i="7"/>
  <c r="L132" i="7"/>
  <c r="E49" i="7" l="1"/>
  <c r="J73" i="7"/>
  <c r="J131" i="7"/>
  <c r="J107" i="7"/>
  <c r="J150" i="7"/>
  <c r="K69" i="7"/>
  <c r="K73" i="7" l="1"/>
  <c r="K107" i="7"/>
  <c r="K150" i="7"/>
  <c r="K131" i="7"/>
  <c r="L69" i="7"/>
  <c r="L73" i="7" l="1"/>
  <c r="L131" i="7"/>
  <c r="L150" i="7"/>
  <c r="L107" i="7"/>
  <c r="G79" i="7"/>
  <c r="H80" i="7" s="1"/>
  <c r="N73" i="7" l="1"/>
  <c r="H76" i="7" l="1"/>
  <c r="I76" i="7" s="1"/>
  <c r="G77" i="7"/>
  <c r="G82" i="7"/>
  <c r="G85" i="7" s="1"/>
  <c r="G88" i="7" s="1"/>
  <c r="G125" i="7" l="1"/>
  <c r="G83" i="7"/>
  <c r="J76" i="7"/>
  <c r="J59" i="7"/>
  <c r="G89" i="7"/>
  <c r="J58" i="7"/>
  <c r="E50" i="7"/>
  <c r="J184" i="7" l="1"/>
  <c r="J93" i="7"/>
  <c r="H93" i="7"/>
  <c r="K93" i="7"/>
  <c r="C61" i="7"/>
  <c r="I93" i="7"/>
  <c r="L93" i="7"/>
  <c r="G137" i="7"/>
  <c r="K76" i="7"/>
  <c r="G144" i="7"/>
  <c r="K184" i="7" l="1"/>
  <c r="L184" i="7" s="1"/>
  <c r="I184" i="7"/>
  <c r="H184" i="7" s="1"/>
  <c r="C63" i="7"/>
  <c r="D61" i="7" s="1"/>
  <c r="H141" i="7"/>
  <c r="H142" i="7" s="1"/>
  <c r="G170" i="7"/>
  <c r="H135" i="7"/>
  <c r="G151" i="7"/>
  <c r="G169" i="7"/>
  <c r="L76" i="7"/>
  <c r="H111" i="7" l="1"/>
  <c r="N76" i="7"/>
  <c r="G154" i="7"/>
  <c r="G152" i="7"/>
  <c r="H177" i="7"/>
  <c r="H176" i="7"/>
  <c r="D58" i="7"/>
  <c r="J63" i="7"/>
  <c r="D59" i="7"/>
  <c r="D62" i="7"/>
  <c r="D60" i="7"/>
  <c r="D63" i="7" l="1"/>
  <c r="J61" i="7"/>
  <c r="K63" i="7"/>
  <c r="K58" i="7"/>
  <c r="K59" i="7"/>
  <c r="K61" i="7" l="1"/>
  <c r="G171" i="7"/>
  <c r="H178" i="7" l="1"/>
  <c r="J178" i="7" l="1"/>
  <c r="J179" i="7" s="1"/>
  <c r="H179" i="7"/>
  <c r="I178" i="7" s="1"/>
  <c r="I179" i="7" l="1"/>
  <c r="I176" i="7"/>
  <c r="I177" i="7"/>
  <c r="H82" i="7"/>
  <c r="H83" i="7" s="1"/>
  <c r="H85" i="7" l="1"/>
  <c r="H88" i="7" s="1"/>
  <c r="H89" i="7" s="1"/>
  <c r="H125" i="7"/>
  <c r="H128" i="7" s="1"/>
  <c r="H112" i="7" s="1"/>
  <c r="J79" i="7"/>
  <c r="J82" i="7" s="1"/>
  <c r="I80" i="7"/>
  <c r="I82" i="7"/>
  <c r="I83" i="7" s="1"/>
  <c r="I125" i="7" l="1"/>
  <c r="H95" i="7"/>
  <c r="K79" i="7"/>
  <c r="L79" i="7" s="1"/>
  <c r="L82" i="7" s="1"/>
  <c r="N79" i="7"/>
  <c r="J125" i="7"/>
  <c r="J83" i="7"/>
  <c r="J85" i="7"/>
  <c r="J95" i="7" s="1"/>
  <c r="J128" i="7"/>
  <c r="J112" i="7" s="1"/>
  <c r="I128" i="7"/>
  <c r="I112" i="7" s="1"/>
  <c r="K82" i="7"/>
  <c r="I85" i="7"/>
  <c r="I95" i="7" s="1"/>
  <c r="J88" i="7" l="1"/>
  <c r="K125" i="7"/>
  <c r="K83" i="7"/>
  <c r="K85" i="7"/>
  <c r="K95" i="7" s="1"/>
  <c r="I88" i="7"/>
  <c r="K128" i="7"/>
  <c r="K112" i="7" s="1"/>
  <c r="I185" i="7"/>
  <c r="I186" i="7" s="1"/>
  <c r="L83" i="7"/>
  <c r="L185" i="7"/>
  <c r="L186" i="7" s="1"/>
  <c r="J185" i="7"/>
  <c r="J186" i="7" s="1"/>
  <c r="L85" i="7"/>
  <c r="L95" i="7" s="1"/>
  <c r="L125" i="7"/>
  <c r="K185" i="7"/>
  <c r="K186" i="7" s="1"/>
  <c r="N82" i="7"/>
  <c r="H185" i="7"/>
  <c r="H186" i="7" s="1"/>
  <c r="J89" i="7"/>
  <c r="K88" i="7" l="1"/>
  <c r="K89" i="7" s="1"/>
  <c r="I89" i="7"/>
  <c r="L88" i="7"/>
  <c r="L128" i="7"/>
  <c r="L112" i="7" s="1"/>
  <c r="L89" i="7" l="1"/>
  <c r="H97" i="7"/>
  <c r="I97" i="7"/>
  <c r="J97" i="7"/>
  <c r="K97" i="7"/>
  <c r="L97" i="7"/>
  <c r="H99" i="7"/>
  <c r="I99" i="7"/>
  <c r="J99" i="7"/>
  <c r="K99" i="7"/>
  <c r="L99" i="7"/>
  <c r="H101" i="7"/>
  <c r="I101" i="7"/>
  <c r="J101" i="7"/>
  <c r="K101" i="7"/>
  <c r="L101" i="7"/>
  <c r="H103" i="7"/>
  <c r="I103" i="7"/>
  <c r="J103" i="7"/>
  <c r="K103" i="7"/>
  <c r="L103" i="7"/>
  <c r="H108" i="7"/>
  <c r="I108" i="7"/>
  <c r="J108" i="7"/>
  <c r="K108" i="7"/>
  <c r="L108" i="7"/>
  <c r="I111" i="7"/>
  <c r="J111" i="7"/>
  <c r="K111" i="7"/>
  <c r="L111" i="7"/>
  <c r="H113" i="7"/>
  <c r="I113" i="7"/>
  <c r="J113" i="7"/>
  <c r="K113" i="7"/>
  <c r="L113" i="7"/>
  <c r="H115" i="7"/>
  <c r="I115" i="7"/>
  <c r="J115" i="7"/>
  <c r="K115" i="7"/>
  <c r="L115" i="7"/>
  <c r="H116" i="7"/>
  <c r="I116" i="7"/>
  <c r="J116" i="7"/>
  <c r="K116" i="7"/>
  <c r="L116" i="7"/>
  <c r="H117" i="7"/>
  <c r="I117" i="7"/>
  <c r="J117" i="7"/>
  <c r="K117" i="7"/>
  <c r="L117" i="7"/>
  <c r="I119" i="7"/>
  <c r="J119" i="7"/>
  <c r="K119" i="7"/>
  <c r="L119" i="7"/>
  <c r="H120" i="7"/>
  <c r="I120" i="7"/>
  <c r="J120" i="7"/>
  <c r="K120" i="7"/>
  <c r="L120" i="7"/>
  <c r="H121" i="7"/>
  <c r="I121" i="7"/>
  <c r="J121" i="7"/>
  <c r="K121" i="7"/>
  <c r="L121" i="7"/>
  <c r="I135" i="7"/>
  <c r="J135" i="7"/>
  <c r="K135" i="7"/>
  <c r="L135" i="7"/>
  <c r="H136" i="7"/>
  <c r="I136" i="7"/>
  <c r="J136" i="7"/>
  <c r="K136" i="7"/>
  <c r="L136" i="7"/>
  <c r="H137" i="7"/>
  <c r="I137" i="7"/>
  <c r="J137" i="7"/>
  <c r="K137" i="7"/>
  <c r="L137" i="7"/>
  <c r="H138" i="7"/>
  <c r="I138" i="7"/>
  <c r="J138" i="7"/>
  <c r="K138" i="7"/>
  <c r="L138" i="7"/>
  <c r="I141" i="7"/>
  <c r="J141" i="7"/>
  <c r="K141" i="7"/>
  <c r="L141" i="7"/>
  <c r="I142" i="7"/>
  <c r="J142" i="7"/>
  <c r="K142" i="7"/>
  <c r="L142" i="7"/>
  <c r="H143" i="7"/>
  <c r="I143" i="7"/>
  <c r="J143" i="7"/>
  <c r="K143" i="7"/>
  <c r="L143" i="7"/>
  <c r="H144" i="7"/>
  <c r="I144" i="7"/>
  <c r="J144" i="7"/>
  <c r="K144" i="7"/>
  <c r="L144" i="7"/>
  <c r="H145" i="7"/>
  <c r="I145" i="7"/>
  <c r="J145" i="7"/>
  <c r="K145" i="7"/>
  <c r="L145" i="7"/>
  <c r="H147" i="7"/>
  <c r="I147" i="7"/>
  <c r="J147" i="7"/>
  <c r="K147" i="7"/>
  <c r="L147" i="7"/>
  <c r="H151" i="7"/>
  <c r="I151" i="7"/>
  <c r="J151" i="7"/>
  <c r="K151" i="7"/>
  <c r="L151" i="7"/>
  <c r="H152" i="7"/>
  <c r="I152" i="7"/>
  <c r="J152" i="7"/>
  <c r="K152" i="7"/>
  <c r="L152" i="7"/>
  <c r="H154" i="7"/>
  <c r="I154" i="7"/>
  <c r="J154" i="7"/>
  <c r="K154" i="7"/>
  <c r="L154" i="7"/>
  <c r="H156" i="7"/>
  <c r="I156" i="7"/>
  <c r="J156" i="7"/>
  <c r="K156" i="7"/>
  <c r="L156" i="7"/>
  <c r="H158" i="7"/>
  <c r="I158" i="7"/>
  <c r="J158" i="7"/>
  <c r="K158" i="7"/>
  <c r="L158" i="7"/>
  <c r="H159" i="7"/>
  <c r="I159" i="7"/>
  <c r="J159" i="7"/>
  <c r="K159" i="7"/>
  <c r="L159" i="7"/>
  <c r="E169" i="7"/>
  <c r="F169" i="7"/>
  <c r="H169" i="7"/>
  <c r="I169" i="7"/>
  <c r="J169" i="7"/>
  <c r="K169" i="7"/>
  <c r="L169" i="7"/>
  <c r="E170" i="7"/>
  <c r="F170" i="7"/>
  <c r="H170" i="7"/>
  <c r="I170" i="7"/>
  <c r="J170" i="7"/>
  <c r="K170" i="7"/>
  <c r="L170" i="7"/>
  <c r="E171" i="7"/>
  <c r="F171" i="7"/>
  <c r="L171" i="7"/>
  <c r="K176" i="7"/>
  <c r="L176" i="7"/>
  <c r="K177" i="7"/>
  <c r="L177" i="7"/>
  <c r="K178" i="7"/>
  <c r="L178" i="7"/>
  <c r="H188" i="7"/>
  <c r="I188" i="7"/>
  <c r="J188" i="7"/>
  <c r="K188" i="7"/>
  <c r="L188" i="7"/>
  <c r="H189" i="7"/>
  <c r="I189" i="7"/>
  <c r="J189" i="7"/>
  <c r="K189" i="7"/>
  <c r="L189" i="7"/>
  <c r="H190" i="7"/>
  <c r="I190" i="7"/>
  <c r="J190" i="7"/>
  <c r="K190" i="7"/>
  <c r="L190" i="7"/>
  <c r="H191" i="7"/>
  <c r="I191" i="7"/>
  <c r="J191" i="7"/>
  <c r="K191" i="7"/>
  <c r="L191" i="7"/>
  <c r="H192" i="7"/>
  <c r="I192" i="7"/>
  <c r="J192" i="7"/>
  <c r="K192" i="7"/>
  <c r="L192" i="7"/>
  <c r="G199" i="7"/>
  <c r="G208"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Tanner Houston</author>
  </authors>
  <commentList>
    <comment ref="L57" authorId="0" shapeId="0" xr:uid="{D57A1ADB-73D7-4411-AF40-3D241EF53A17}">
      <text>
        <r>
          <rPr>
            <b/>
            <sz val="9"/>
            <color rgb="FF000000"/>
            <rFont val="Tahoma"/>
            <family val="2"/>
          </rPr>
          <t>Tanner Houston:</t>
        </r>
        <r>
          <rPr>
            <sz val="9"/>
            <color rgb="FF000000"/>
            <rFont val="Tahoma"/>
            <family val="2"/>
          </rPr>
          <t xml:space="preserve">
</t>
        </r>
        <r>
          <rPr>
            <sz val="9"/>
            <color rgb="FF000000"/>
            <rFont val="Tahoma"/>
            <family val="2"/>
          </rPr>
          <t>Leverage at close. Multiple of EBITDA</t>
        </r>
      </text>
    </comment>
  </commentList>
</comments>
</file>

<file path=xl/sharedStrings.xml><?xml version="1.0" encoding="utf-8"?>
<sst xmlns="http://schemas.openxmlformats.org/spreadsheetml/2006/main" count="216" uniqueCount="177">
  <si>
    <t>Sources &amp; Uses</t>
  </si>
  <si>
    <t>Uses</t>
  </si>
  <si>
    <t>%</t>
  </si>
  <si>
    <t>Equity Purchase Price</t>
  </si>
  <si>
    <t>Financing Fees</t>
  </si>
  <si>
    <t>Transaction Costs</t>
  </si>
  <si>
    <t>Total Uses</t>
  </si>
  <si>
    <t>Equity</t>
  </si>
  <si>
    <t>Sources</t>
  </si>
  <si>
    <t>Revolver</t>
  </si>
  <si>
    <t>Total Sources</t>
  </si>
  <si>
    <t>Cost</t>
  </si>
  <si>
    <t>LTM Lev</t>
  </si>
  <si>
    <t>Income Statement</t>
  </si>
  <si>
    <t>% Growth</t>
  </si>
  <si>
    <t>COGS/Operating Expenses</t>
  </si>
  <si>
    <t>% of Revenue</t>
  </si>
  <si>
    <t>Cash Interest</t>
  </si>
  <si>
    <t>EBT</t>
  </si>
  <si>
    <t>Cash Taxes</t>
  </si>
  <si>
    <t>Net Income</t>
  </si>
  <si>
    <t>BOY Cash</t>
  </si>
  <si>
    <t>EOY Cash</t>
  </si>
  <si>
    <t>Debt Paydown Schedule</t>
  </si>
  <si>
    <t>LIBOR (Max Floor or Actual)</t>
  </si>
  <si>
    <t>BOY</t>
  </si>
  <si>
    <t>Additions/Paydown</t>
  </si>
  <si>
    <t>EOY</t>
  </si>
  <si>
    <t>Cash Interest Expense</t>
  </si>
  <si>
    <t>Mandatory Paydown</t>
  </si>
  <si>
    <t>Total Cash Interest</t>
  </si>
  <si>
    <t>CIRC</t>
  </si>
  <si>
    <t>Min Cash</t>
  </si>
  <si>
    <t>Credit Statistics</t>
  </si>
  <si>
    <t>Total Debt/EBITDA</t>
  </si>
  <si>
    <t>EBITDA/Interest</t>
  </si>
  <si>
    <t>(EBITDA - Cap Ex)/Interest</t>
  </si>
  <si>
    <t>Ticker</t>
  </si>
  <si>
    <t>Name</t>
  </si>
  <si>
    <t>Share Count</t>
  </si>
  <si>
    <t xml:space="preserve">     Basic Shares Outstanding</t>
  </si>
  <si>
    <t xml:space="preserve">     Dilutive Effect of Options</t>
  </si>
  <si>
    <t>Total Shares</t>
  </si>
  <si>
    <t>Current Share Price</t>
  </si>
  <si>
    <t>MANU</t>
  </si>
  <si>
    <t>Manchester United</t>
  </si>
  <si>
    <t>Implied Premium/(Discount)</t>
  </si>
  <si>
    <t>Offer Price</t>
  </si>
  <si>
    <t>Fully Diluted Equity Value</t>
  </si>
  <si>
    <t>(£ in millions)</t>
  </si>
  <si>
    <t>Arctos Sports Partners</t>
  </si>
  <si>
    <t>Existing Net Debt</t>
  </si>
  <si>
    <t>Refinanced Net Debt</t>
  </si>
  <si>
    <t>Minimum Cash</t>
  </si>
  <si>
    <t>Offer TEV</t>
  </si>
  <si>
    <t>Entry Valuation</t>
  </si>
  <si>
    <t>x</t>
  </si>
  <si>
    <t>Growth %</t>
  </si>
  <si>
    <t>Total Revenue</t>
  </si>
  <si>
    <t>Matchday Revenue</t>
  </si>
  <si>
    <t>Historical</t>
  </si>
  <si>
    <t>Projections</t>
  </si>
  <si>
    <t>2022-2026</t>
  </si>
  <si>
    <t>CAGR</t>
  </si>
  <si>
    <t>Commercial</t>
  </si>
  <si>
    <t>Broadcasting</t>
  </si>
  <si>
    <t>Exception Expenses</t>
  </si>
  <si>
    <t>Facility Capex</t>
  </si>
  <si>
    <t>Int. Rate</t>
  </si>
  <si>
    <t>Commit</t>
  </si>
  <si>
    <t>n/a</t>
  </si>
  <si>
    <t>Operating Income</t>
  </si>
  <si>
    <t>Financing fees</t>
  </si>
  <si>
    <t>Amortize over 5 years</t>
  </si>
  <si>
    <t>Free Cash Flow</t>
  </si>
  <si>
    <t>(+) Depreciation &amp; Amortization</t>
  </si>
  <si>
    <t>(-) Facility Capex</t>
  </si>
  <si>
    <t>(-) Mandatory Amortization</t>
  </si>
  <si>
    <t>Free Cash Flow Available for Debt Repayment</t>
  </si>
  <si>
    <t>(+) Revolver Drawdown / (Paydown)</t>
  </si>
  <si>
    <t>Excess Cash Flow</t>
  </si>
  <si>
    <t>Net Change in Cash</t>
  </si>
  <si>
    <t>Fixed Charge Coverage Ratio</t>
  </si>
  <si>
    <t>Implied Revenue Multiple</t>
  </si>
  <si>
    <t>2019A</t>
  </si>
  <si>
    <t>2020A</t>
  </si>
  <si>
    <t>2021E</t>
  </si>
  <si>
    <t>Term Loan</t>
  </si>
  <si>
    <t>Net Operating Losses</t>
  </si>
  <si>
    <t>Goodwill / Tax Step-Up</t>
  </si>
  <si>
    <t>Ignore; 338(h)(10) election unavailable because MANU is not a US domiciled S-corp</t>
  </si>
  <si>
    <t>Please build a returns analysis and sensitivity tables</t>
  </si>
  <si>
    <t>Please provide support for selected multiple, i.e., create a separate comps table and include in the presentation</t>
  </si>
  <si>
    <t>Straight-line; keep flat and ignore additional capex (i.e., it's not necessary to build PP&amp;E / depreciation schedules)</t>
  </si>
  <si>
    <t>Ignore deferred tax assets and carry over losses</t>
  </si>
  <si>
    <t>FYE June 30th</t>
  </si>
  <si>
    <t>Associate Case Study</t>
  </si>
  <si>
    <t>Instructions &amp; Other Assumptions</t>
  </si>
  <si>
    <t>No management options</t>
  </si>
  <si>
    <t>Sponsor funds 100% of the equity</t>
  </si>
  <si>
    <t>Single term loan and a revolver to fund any cash needs</t>
  </si>
  <si>
    <t>Important Note:</t>
  </si>
  <si>
    <t>Depreciation &amp; Amortization</t>
  </si>
  <si>
    <t>Net Working Capital</t>
  </si>
  <si>
    <t>% of revenue</t>
  </si>
  <si>
    <t>Change in Net Working Capital</t>
  </si>
  <si>
    <t>(+/-) Change in NWC</t>
  </si>
  <si>
    <t>We have provided you with a pre-populated, simplified set of financials for the target. We encourage you to use all available resources to compile your written investment recommendation, but do not include any actual financial information other than the pre-populated financial information in this workbook.</t>
  </si>
  <si>
    <t>Total Debt</t>
  </si>
  <si>
    <t>Net Debt</t>
  </si>
  <si>
    <t>Player Spend</t>
  </si>
  <si>
    <t>We have removed player spend, amortization of transfer fees, and gains/losses from player trading to facilitate this exercise</t>
  </si>
  <si>
    <t>Forecast NWC to be 3% of revenue per year</t>
  </si>
  <si>
    <t>EBITDA (excluding player trading)</t>
  </si>
  <si>
    <t>Please assume whatever capital structure that you feel is appropriate at entry</t>
  </si>
  <si>
    <t>Fiscal Year end date</t>
  </si>
  <si>
    <t>Term</t>
  </si>
  <si>
    <t>Financing</t>
  </si>
  <si>
    <t>Step</t>
  </si>
  <si>
    <t>Margin</t>
  </si>
  <si>
    <t>(-) Min Cash</t>
  </si>
  <si>
    <t>(-) Discretionary Debt Repayment</t>
  </si>
  <si>
    <t>Cash Sweep</t>
  </si>
  <si>
    <t>% available cash used</t>
  </si>
  <si>
    <t>£</t>
  </si>
  <si>
    <t>Enterprise Value</t>
  </si>
  <si>
    <t>Equity value</t>
  </si>
  <si>
    <t>as of 3/26/21</t>
  </si>
  <si>
    <t>IRR</t>
  </si>
  <si>
    <t>Initial</t>
  </si>
  <si>
    <t>MOIC</t>
  </si>
  <si>
    <t>Term Loan B</t>
  </si>
  <si>
    <t>Returns</t>
  </si>
  <si>
    <t>Sponsor's Equity</t>
  </si>
  <si>
    <t>Cash</t>
  </si>
  <si>
    <t>% Equity</t>
  </si>
  <si>
    <t>% Capital</t>
  </si>
  <si>
    <t>Total</t>
  </si>
  <si>
    <t>Leverage</t>
  </si>
  <si>
    <t>Returns &amp; Sensitivity Analysis</t>
  </si>
  <si>
    <t>Hurdle Rate</t>
  </si>
  <si>
    <t>Exit Multiple Sensitivity</t>
  </si>
  <si>
    <t xml:space="preserve">TLB / </t>
  </si>
  <si>
    <t>EBITDA</t>
  </si>
  <si>
    <t>Ratio</t>
  </si>
  <si>
    <t>Summary Output @ Base Case TLB Leverage &amp; Exit Multiple</t>
  </si>
  <si>
    <t>Sensitivity Tables</t>
  </si>
  <si>
    <t>Cash Sweep %</t>
  </si>
  <si>
    <t>Exit EV/Revenue Multiple</t>
  </si>
  <si>
    <t>Final Year Revenue</t>
  </si>
  <si>
    <t>Exit Rev. Multiple Step</t>
  </si>
  <si>
    <t>IRR At Various Leverages and Exit Revenue Multiples</t>
  </si>
  <si>
    <t>MOIC At Various Leverages and Exit Revenue Multiples</t>
  </si>
  <si>
    <t>Estimated Hurdle Rate</t>
  </si>
  <si>
    <t>flatline to 2021E</t>
  </si>
  <si>
    <t>Implied Premium</t>
  </si>
  <si>
    <t>Modeling Assumptions - LTH</t>
  </si>
  <si>
    <t>TLB Lev. Multiple Step</t>
  </si>
  <si>
    <t>View</t>
  </si>
  <si>
    <t>Commercial Growth 2021E-2026E</t>
  </si>
  <si>
    <t>Broadcasting Revenue 2021E</t>
  </si>
  <si>
    <t>The ~100M deficit in FY2020 is largely due to the halting of Premier League games from March through mid-June due to the COVID-19 coronavirus pandemic. Broadcasting revenues will likely return to 2019 levels or greater due to the heavier schedule given the 3 month backlog and increased viewership with more fans at home during global lockdowns.</t>
  </si>
  <si>
    <t>Broadcasting Growth 2022E-2026E</t>
  </si>
  <si>
    <t>Commercial sales (sponsorship, retail, merchandising, product licensing) are undisrupted by COVID-19 and proceed at the 2019-2020 average growth rate.</t>
  </si>
  <si>
    <t>Revenue Growth Assumptions</t>
  </si>
  <si>
    <t>With games at Old Trafford closed to the public for the entirety of the 2020-2021 season, Matchday revenue will be decimated in FY2021. The UK will allow some spectators into stadia beginning May 17 2021, two days after the final match of the Premier League season.</t>
  </si>
  <si>
    <t>Matchday Growth 2021E</t>
  </si>
  <si>
    <t>Matchday Revenue 2022E</t>
  </si>
  <si>
    <t>Matchday revenue will revive with some concession for lingering COVID-19 precautions.</t>
  </si>
  <si>
    <t>Growth normalization based on FY2019.</t>
  </si>
  <si>
    <t>Revenues finally return to pre-COVID levels with full utilization of the stadium.</t>
  </si>
  <si>
    <t>Matchday Revenue 2023E</t>
  </si>
  <si>
    <t>Matchday Revenue 2024E-2026E</t>
  </si>
  <si>
    <t>Transaction Close Date</t>
  </si>
  <si>
    <t>Investment Exit Date</t>
  </si>
  <si>
    <t>Debt Financing</t>
  </si>
  <si>
    <t>Broadcasting revenue growth stabilizes to pre-pandemic 18.2%, reflecting continued growth of both media rights income and expansion of of D2C content distribution via digital platforms. The continuation of this trend is assured under Arctos 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</si>
</sst>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3" formatCode="_(* #,##0.00_);_(* \(#,##0.00\);_(* &quot;-&quot;??_);_(@_)"/>
    <numFmt numFmtId="164" formatCode="&quot;$&quot;#,##0_);\(&quot;$&quot;#,##0\);\-_)"/>
    <numFmt numFmtId="165" formatCode="#,##0_);\(#,##0\);\-_)"/>
    <numFmt numFmtId="166" formatCode="#,##0.0\x_);\(#,##0.0\x\);\-_)"/>
    <numFmt numFmtId="167" formatCode="#,##0.0%_);\(#,##0.0%\);\-_)"/>
    <numFmt numFmtId="168" formatCode="\L\ \+\ #,##0.0%_);\(\L\ \+\ #,##0.0%\);\-_)"/>
    <numFmt numFmtId="169" formatCode="#,##0_);\ \(#,##0\);\ &quot;--&quot;_);@_)"/>
    <numFmt numFmtId="170" formatCode="#,##0.0_);\ \(#,##0.0\);\ &quot;--&quot;_);@_)"/>
    <numFmt numFmtId="171" formatCode="[$£-809]#,##0.00;\-[$£-809]#,##0.00"/>
    <numFmt numFmtId="172" formatCode="#,##0.0%_);\ \(#,##0.0%\);\ &quot;--&quot;_);@_)"/>
    <numFmt numFmtId="173" formatCode="0&quot;A&quot;"/>
    <numFmt numFmtId="174" formatCode="General&quot;E&quot;"/>
    <numFmt numFmtId="175" formatCode="#,##0.0&quot;x&quot;_);\ \(#,##0.0&quot;x&quot;\);\ &quot;--&quot;_x_);@_x_)"/>
    <numFmt numFmtId="176" formatCode="0\ &quot; yrs&quot;"/>
    <numFmt numFmtId="177" formatCode="0.0%"/>
    <numFmt numFmtId="178" formatCode="[$£-809]#,##0;\([$£-809]#,##0\)"/>
    <numFmt numFmtId="179" formatCode="#,##0.00&quot;x&quot;_);\ \(#,##0.00&quot;x&quot;\);\ &quot;--&quot;_x_);@_x_)"/>
    <numFmt numFmtId="180" formatCode="#,##0.0_);\(#,##0.0\)"/>
    <numFmt numFmtId="181" formatCode="0.0"/>
    <numFmt numFmtId="182" formatCode="&quot;Assumed Exit on&quot;\ mmmm\ dd\,\ yyyy"/>
    <numFmt numFmtId="183" formatCode="#,##0.0_);\ \(#,##0.0\);@_)"/>
    <numFmt numFmtId="184" formatCode="_(* #,##0.0_);_(* \(#,##0.0\);_(* &quot;-&quot;??_);_(@_)"/>
    <numFmt numFmtId="185" formatCode="#,##0.00\x_);\(#,##0.00\x\);\-_)"/>
    <numFmt numFmtId="186" formatCode="#,##0.00%_);\ \(#,##0.00%\);\ &quot;--&quot;_);@_)"/>
  </numFmts>
  <fonts count="31" x14ac:knownFonts="1">
    <font>
      <sz val="11"/>
      <color theme="1"/>
      <name val="Calibri"/>
      <family val="2"/>
      <scheme val="minor"/>
    </font>
    <font>
      <sz val="10"/>
      <color theme="1"/>
      <name val="Arial"/>
      <family val="2"/>
    </font>
    <font>
      <b/>
      <sz val="10"/>
      <color theme="1"/>
      <name val="Arial"/>
      <family val="2"/>
    </font>
    <font>
      <sz val="10"/>
      <color rgb="FF0000FF"/>
      <name val="Arial"/>
      <family val="2"/>
    </font>
    <font>
      <sz val="10"/>
      <color rgb="FF7030A0"/>
      <name val="Arial"/>
      <family val="2"/>
    </font>
    <font>
      <sz val="10"/>
      <name val="Arial"/>
      <family val="2"/>
    </font>
    <font>
      <i/>
      <sz val="10"/>
      <color theme="1"/>
      <name val="Arial"/>
      <family val="2"/>
    </font>
    <font>
      <sz val="11"/>
      <color theme="1"/>
      <name val="Calibri"/>
      <family val="2"/>
      <scheme val="minor"/>
    </font>
    <font>
      <sz val="10"/>
      <color rgb="FFFF0000"/>
      <name val="Arial"/>
      <family val="2"/>
    </font>
    <font>
      <sz val="10"/>
      <color indexed="12"/>
      <name val="Arial"/>
      <family val="2"/>
    </font>
    <font>
      <sz val="10"/>
      <color theme="0"/>
      <name val="Arial"/>
      <family val="2"/>
    </font>
    <font>
      <b/>
      <sz val="10"/>
      <color theme="0"/>
      <name val="Arial"/>
      <family val="2"/>
    </font>
    <font>
      <sz val="10"/>
      <color rgb="FF000000"/>
      <name val="Arial"/>
      <family val="2"/>
    </font>
    <font>
      <i/>
      <sz val="10"/>
      <color rgb="FF000000"/>
      <name val="Arial"/>
      <family val="2"/>
    </font>
    <font>
      <b/>
      <sz val="10"/>
      <color rgb="FF000000"/>
      <name val="Arial"/>
      <family val="2"/>
    </font>
    <font>
      <b/>
      <sz val="10"/>
      <color rgb="FFFFFFFF"/>
      <name val="Arial"/>
      <family val="2"/>
    </font>
    <font>
      <b/>
      <sz val="10"/>
      <name val="Arial"/>
      <family val="2"/>
    </font>
    <font>
      <b/>
      <sz val="10"/>
      <color theme="3"/>
      <name val="Arial"/>
      <family val="2"/>
    </font>
    <font>
      <sz val="10"/>
      <color rgb="FF800080"/>
      <name val="Arial"/>
      <family val="2"/>
    </font>
    <font>
      <sz val="8"/>
      <color rgb="FF0000FF"/>
      <name val="Trebuchet MS"/>
      <family val="2"/>
    </font>
    <font>
      <b/>
      <sz val="10"/>
      <color rgb="FFFF0000"/>
      <name val="Arial"/>
      <family val="2"/>
    </font>
    <font>
      <b/>
      <sz val="10"/>
      <color rgb="FF0000FF"/>
      <name val="Arial"/>
      <family val="2"/>
    </font>
    <font>
      <b/>
      <i/>
      <sz val="16"/>
      <color theme="4"/>
      <name val="Arial"/>
      <family val="2"/>
    </font>
    <font>
      <b/>
      <sz val="10"/>
      <color theme="4"/>
      <name val="Arial"/>
      <family val="2"/>
    </font>
    <font>
      <b/>
      <i/>
      <sz val="10"/>
      <color theme="1"/>
      <name val="Arial"/>
      <family val="2"/>
    </font>
    <font>
      <i/>
      <sz val="10"/>
      <color rgb="FF0000FF"/>
      <name val="Arial"/>
      <family val="2"/>
    </font>
    <font>
      <b/>
      <sz val="9"/>
      <color rgb="FF000000"/>
      <name val="Tahoma"/>
      <family val="2"/>
    </font>
    <font>
      <sz val="9"/>
      <color rgb="FF000000"/>
      <name val="Tahoma"/>
      <family val="2"/>
    </font>
    <font>
      <i/>
      <sz val="10"/>
      <name val="Arial"/>
      <family val="2"/>
    </font>
    <font>
      <u/>
      <sz val="10"/>
      <color theme="1"/>
      <name val="Arial"/>
      <family val="2"/>
    </font>
    <font>
      <sz val="10"/>
      <color rgb="FF00B050"/>
      <name val="Arial"/>
      <family val="2"/>
    </font>
  </fonts>
  <fills count="10">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theme="5"/>
        <bgColor indexed="64"/>
      </patternFill>
    </fill>
    <fill>
      <patternFill patternType="solid">
        <fgColor theme="0" tint="-0.14999847407452621"/>
        <bgColor indexed="64"/>
      </patternFill>
    </fill>
    <fill>
      <patternFill patternType="lightUp">
        <fgColor theme="0" tint="-0.24994659260841701"/>
        <bgColor indexed="65"/>
      </patternFill>
    </fill>
    <fill>
      <patternFill patternType="solid">
        <fgColor theme="0"/>
        <bgColor indexed="64"/>
      </patternFill>
    </fill>
    <fill>
      <patternFill patternType="solid">
        <fgColor theme="6"/>
        <bgColor indexed="64"/>
      </patternFill>
    </fill>
    <fill>
      <patternFill patternType="solid">
        <fgColor theme="0" tint="-4.9989318521683403E-2"/>
        <bgColor indexed="64"/>
      </patternFill>
    </fill>
  </fills>
  <borders count="7">
    <border>
      <left/>
      <right/>
      <top/>
      <bottom/>
      <diagonal/>
    </border>
    <border>
      <left/>
      <right/>
      <top/>
      <bottom style="thin">
        <color auto="1"/>
      </bottom>
      <diagonal/>
    </border>
    <border>
      <left/>
      <right/>
      <top style="thin">
        <color auto="1"/>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right/>
      <top style="thick">
        <color theme="5"/>
      </top>
      <bottom/>
      <diagonal/>
    </border>
    <border>
      <left/>
      <right/>
      <top style="thin">
        <color auto="1"/>
      </top>
      <bottom style="thin">
        <color indexed="64"/>
      </bottom>
      <diagonal/>
    </border>
  </borders>
  <cellStyleXfs count="5">
    <xf numFmtId="0" fontId="0" fillId="0" borderId="0"/>
    <xf numFmtId="9" fontId="7" fillId="0" borderId="0" applyFont="0" applyFill="0" applyBorder="0" applyAlignment="0" applyProtection="0"/>
    <xf numFmtId="0" fontId="5" fillId="0" borderId="0"/>
    <xf numFmtId="0" fontId="5" fillId="0" borderId="0"/>
    <xf numFmtId="43" fontId="7" fillId="0" borderId="0" applyFont="0" applyFill="0" applyBorder="0" applyAlignment="0" applyProtection="0"/>
  </cellStyleXfs>
  <cellXfs count="213">
    <xf numFmtId="0" fontId="0" fillId="0" borderId="0" xfId="0"/>
    <xf numFmtId="164" fontId="1" fillId="0" borderId="0" xfId="0" applyNumberFormat="1" applyFont="1"/>
    <xf numFmtId="0" fontId="1" fillId="0" borderId="0" xfId="0" applyFont="1"/>
    <xf numFmtId="164" fontId="4" fillId="0" borderId="0" xfId="0" applyNumberFormat="1" applyFont="1"/>
    <xf numFmtId="0" fontId="1" fillId="0" borderId="0" xfId="0" applyFont="1" applyBorder="1"/>
    <xf numFmtId="164" fontId="1" fillId="0" borderId="0" xfId="0" applyNumberFormat="1" applyFont="1" applyBorder="1"/>
    <xf numFmtId="167" fontId="3" fillId="0" borderId="0" xfId="0" applyNumberFormat="1" applyFont="1"/>
    <xf numFmtId="166" fontId="3" fillId="0" borderId="0" xfId="0" applyNumberFormat="1" applyFont="1"/>
    <xf numFmtId="167" fontId="5" fillId="0" borderId="0" xfId="0" applyNumberFormat="1" applyFont="1"/>
    <xf numFmtId="167" fontId="5" fillId="0" borderId="2" xfId="0" applyNumberFormat="1" applyFont="1" applyBorder="1"/>
    <xf numFmtId="164" fontId="3" fillId="0" borderId="0" xfId="0" applyNumberFormat="1" applyFont="1"/>
    <xf numFmtId="167" fontId="1" fillId="0" borderId="0" xfId="0" applyNumberFormat="1" applyFont="1"/>
    <xf numFmtId="168" fontId="4" fillId="0" borderId="0" xfId="0" applyNumberFormat="1" applyFont="1"/>
    <xf numFmtId="166" fontId="5" fillId="0" borderId="0" xfId="0" applyNumberFormat="1" applyFont="1" applyBorder="1"/>
    <xf numFmtId="0" fontId="6" fillId="0" borderId="0" xfId="0" applyFont="1"/>
    <xf numFmtId="15" fontId="1" fillId="0" borderId="0" xfId="0" applyNumberFormat="1" applyFont="1"/>
    <xf numFmtId="9" fontId="1" fillId="0" borderId="0" xfId="1" applyNumberFormat="1" applyFont="1"/>
    <xf numFmtId="0" fontId="8" fillId="0" borderId="0" xfId="0" applyFont="1"/>
    <xf numFmtId="164" fontId="8" fillId="0" borderId="0" xfId="0" applyNumberFormat="1" applyFont="1"/>
    <xf numFmtId="15" fontId="8" fillId="0" borderId="0" xfId="0" applyNumberFormat="1" applyFont="1"/>
    <xf numFmtId="0" fontId="5" fillId="0" borderId="0" xfId="2"/>
    <xf numFmtId="0" fontId="5" fillId="0" borderId="0" xfId="2" applyAlignment="1">
      <alignment horizontal="left"/>
    </xf>
    <xf numFmtId="0" fontId="9" fillId="0" borderId="0" xfId="2" applyFont="1" applyAlignment="1">
      <alignment horizontal="right"/>
    </xf>
    <xf numFmtId="0" fontId="9" fillId="0" borderId="0" xfId="2" applyFont="1" applyAlignment="1">
      <alignment horizontal="left"/>
    </xf>
    <xf numFmtId="169" fontId="1" fillId="0" borderId="0" xfId="0" applyNumberFormat="1" applyFont="1"/>
    <xf numFmtId="170" fontId="1" fillId="0" borderId="0" xfId="0" applyNumberFormat="1" applyFont="1"/>
    <xf numFmtId="170" fontId="3" fillId="0" borderId="0" xfId="0" applyNumberFormat="1" applyFont="1"/>
    <xf numFmtId="172" fontId="1" fillId="0" borderId="0" xfId="0" applyNumberFormat="1" applyFont="1"/>
    <xf numFmtId="171" fontId="3" fillId="0" borderId="0" xfId="0" applyNumberFormat="1" applyFont="1" applyAlignment="1">
      <alignment horizontal="right"/>
    </xf>
    <xf numFmtId="171" fontId="5" fillId="0" borderId="0" xfId="0" applyNumberFormat="1" applyFont="1" applyAlignment="1">
      <alignment horizontal="right"/>
    </xf>
    <xf numFmtId="169" fontId="5" fillId="0" borderId="0" xfId="0" applyNumberFormat="1" applyFont="1" applyAlignment="1">
      <alignment horizontal="right"/>
    </xf>
    <xf numFmtId="0" fontId="11" fillId="3" borderId="0" xfId="0" applyFont="1" applyFill="1" applyBorder="1"/>
    <xf numFmtId="0" fontId="1" fillId="0" borderId="2" xfId="0" applyFont="1" applyBorder="1"/>
    <xf numFmtId="0" fontId="14" fillId="0" borderId="0" xfId="2" applyFont="1" applyAlignment="1">
      <alignment horizontal="center"/>
    </xf>
    <xf numFmtId="173" fontId="14" fillId="0" borderId="0" xfId="3" applyNumberFormat="1" applyFont="1" applyBorder="1" applyAlignment="1">
      <alignment horizontal="center"/>
    </xf>
    <xf numFmtId="174" fontId="14" fillId="0" borderId="0" xfId="3" applyNumberFormat="1" applyFont="1" applyBorder="1" applyAlignment="1">
      <alignment horizontal="center"/>
    </xf>
    <xf numFmtId="0" fontId="13" fillId="0" borderId="0" xfId="2" applyFont="1"/>
    <xf numFmtId="0" fontId="14" fillId="0" borderId="0" xfId="2" applyFont="1" applyBorder="1" applyAlignment="1">
      <alignment horizontal="centerContinuous"/>
    </xf>
    <xf numFmtId="0" fontId="12" fillId="0" borderId="0" xfId="2" applyFont="1" applyBorder="1"/>
    <xf numFmtId="165" fontId="16" fillId="0" borderId="0" xfId="0" applyNumberFormat="1" applyFont="1" applyBorder="1" applyAlignment="1">
      <alignment horizontal="center"/>
    </xf>
    <xf numFmtId="0" fontId="1" fillId="0" borderId="0" xfId="0" applyFont="1" applyAlignment="1">
      <alignment horizontal="right"/>
    </xf>
    <xf numFmtId="165" fontId="5" fillId="0" borderId="0" xfId="0" applyNumberFormat="1" applyFont="1" applyBorder="1" applyAlignment="1">
      <alignment horizontal="right"/>
    </xf>
    <xf numFmtId="169" fontId="1" fillId="0" borderId="2" xfId="0" applyNumberFormat="1" applyFont="1" applyBorder="1"/>
    <xf numFmtId="169" fontId="3" fillId="0" borderId="0" xfId="0" applyNumberFormat="1" applyFont="1"/>
    <xf numFmtId="0" fontId="17" fillId="5" borderId="0" xfId="2" applyFont="1" applyFill="1" applyAlignment="1">
      <alignment horizontal="centerContinuous"/>
    </xf>
    <xf numFmtId="0" fontId="15" fillId="5" borderId="0" xfId="2" applyFont="1" applyFill="1" applyAlignment="1">
      <alignment horizontal="centerContinuous"/>
    </xf>
    <xf numFmtId="0" fontId="5" fillId="0" borderId="0" xfId="0" applyFont="1"/>
    <xf numFmtId="164" fontId="18" fillId="0" borderId="0" xfId="0" applyNumberFormat="1" applyFont="1"/>
    <xf numFmtId="167" fontId="3" fillId="0" borderId="0" xfId="0" applyNumberFormat="1" applyFont="1" applyAlignment="1">
      <alignment horizontal="center"/>
    </xf>
    <xf numFmtId="0" fontId="3" fillId="0" borderId="0" xfId="0" applyFont="1" applyAlignment="1">
      <alignment horizontal="center"/>
    </xf>
    <xf numFmtId="0" fontId="8" fillId="0" borderId="0" xfId="0" applyFont="1" applyBorder="1"/>
    <xf numFmtId="169" fontId="5" fillId="0" borderId="0" xfId="0" applyNumberFormat="1" applyFont="1" applyBorder="1"/>
    <xf numFmtId="164" fontId="6" fillId="0" borderId="0" xfId="0" applyNumberFormat="1" applyFont="1" applyBorder="1"/>
    <xf numFmtId="0" fontId="1" fillId="0" borderId="0" xfId="0" applyFont="1" applyFill="1"/>
    <xf numFmtId="0" fontId="8" fillId="0" borderId="0" xfId="0" applyFont="1" applyFill="1"/>
    <xf numFmtId="0" fontId="1" fillId="0" borderId="0" xfId="0" applyFont="1" applyFill="1" applyBorder="1"/>
    <xf numFmtId="164" fontId="4" fillId="0" borderId="0" xfId="0" applyNumberFormat="1" applyFont="1" applyFill="1" applyBorder="1"/>
    <xf numFmtId="166" fontId="3" fillId="0" borderId="0" xfId="0" applyNumberFormat="1" applyFont="1" applyFill="1" applyBorder="1"/>
    <xf numFmtId="164" fontId="5" fillId="0" borderId="0" xfId="0" applyNumberFormat="1" applyFont="1" applyFill="1" applyBorder="1"/>
    <xf numFmtId="166" fontId="1" fillId="0" borderId="0" xfId="0" applyNumberFormat="1" applyFont="1" applyFill="1" applyBorder="1"/>
    <xf numFmtId="166" fontId="4" fillId="0" borderId="0" xfId="0" applyNumberFormat="1" applyFont="1" applyFill="1" applyBorder="1"/>
    <xf numFmtId="167" fontId="3" fillId="0" borderId="0" xfId="0" applyNumberFormat="1" applyFont="1" applyFill="1" applyBorder="1"/>
    <xf numFmtId="167" fontId="1" fillId="0" borderId="0" xfId="0" applyNumberFormat="1" applyFont="1" applyFill="1" applyBorder="1"/>
    <xf numFmtId="166" fontId="5" fillId="0" borderId="0" xfId="0" applyNumberFormat="1" applyFont="1" applyFill="1" applyBorder="1"/>
    <xf numFmtId="167" fontId="4" fillId="0" borderId="0" xfId="0" applyNumberFormat="1" applyFont="1" applyFill="1" applyBorder="1"/>
    <xf numFmtId="169" fontId="4" fillId="0" borderId="0" xfId="0" applyNumberFormat="1" applyFont="1"/>
    <xf numFmtId="0" fontId="1" fillId="0" borderId="0" xfId="0" applyFont="1" applyAlignment="1">
      <alignment horizontal="left" vertical="center" indent="1"/>
    </xf>
    <xf numFmtId="0" fontId="2" fillId="0" borderId="0" xfId="0" applyFont="1" applyBorder="1" applyAlignment="1">
      <alignment vertical="center"/>
    </xf>
    <xf numFmtId="170" fontId="1" fillId="0" borderId="0" xfId="0" applyNumberFormat="1" applyFont="1" applyBorder="1"/>
    <xf numFmtId="165" fontId="1" fillId="0" borderId="0" xfId="0" applyNumberFormat="1" applyFont="1" applyAlignment="1">
      <alignment horizontal="center"/>
    </xf>
    <xf numFmtId="172" fontId="3" fillId="0" borderId="0" xfId="0" applyNumberFormat="1" applyFont="1"/>
    <xf numFmtId="169" fontId="1" fillId="0" borderId="0" xfId="0" applyNumberFormat="1" applyFont="1" applyBorder="1"/>
    <xf numFmtId="169" fontId="3" fillId="0" borderId="0" xfId="0" applyNumberFormat="1" applyFont="1" applyAlignment="1">
      <alignment horizontal="right"/>
    </xf>
    <xf numFmtId="169" fontId="3" fillId="0" borderId="0" xfId="0" applyNumberFormat="1" applyFont="1" applyBorder="1" applyAlignment="1">
      <alignment horizontal="right"/>
    </xf>
    <xf numFmtId="169" fontId="19" fillId="6" borderId="0" xfId="0" applyNumberFormat="1" applyFont="1" applyFill="1" applyAlignment="1">
      <alignment vertical="center"/>
    </xf>
    <xf numFmtId="164" fontId="2" fillId="0" borderId="0" xfId="0" applyNumberFormat="1" applyFont="1"/>
    <xf numFmtId="0" fontId="2" fillId="0" borderId="0" xfId="0" applyFont="1"/>
    <xf numFmtId="165" fontId="2" fillId="0" borderId="1" xfId="0" applyNumberFormat="1" applyFont="1" applyBorder="1" applyAlignment="1">
      <alignment horizontal="center"/>
    </xf>
    <xf numFmtId="0" fontId="20" fillId="0" borderId="0" xfId="0" applyFont="1"/>
    <xf numFmtId="0" fontId="11" fillId="4" borderId="0" xfId="0" applyFont="1" applyFill="1" applyBorder="1"/>
    <xf numFmtId="0" fontId="11" fillId="4" borderId="0" xfId="0" applyFont="1" applyFill="1" applyBorder="1" applyAlignment="1">
      <alignment horizontal="center"/>
    </xf>
    <xf numFmtId="0" fontId="11" fillId="4" borderId="0" xfId="2" applyFont="1" applyFill="1" applyAlignment="1">
      <alignment horizontal="centerContinuous"/>
    </xf>
    <xf numFmtId="0" fontId="10" fillId="4" borderId="0" xfId="2" applyFont="1" applyFill="1" applyAlignment="1">
      <alignment horizontal="centerContinuous"/>
    </xf>
    <xf numFmtId="0" fontId="12" fillId="0" borderId="0" xfId="2" applyFont="1" applyBorder="1" applyAlignment="1">
      <alignment horizontal="left"/>
    </xf>
    <xf numFmtId="173" fontId="14" fillId="0" borderId="2" xfId="3" applyNumberFormat="1" applyFont="1" applyBorder="1" applyAlignment="1">
      <alignment horizontal="center"/>
    </xf>
    <xf numFmtId="174" fontId="14" fillId="0" borderId="2" xfId="3" applyNumberFormat="1" applyFont="1" applyBorder="1" applyAlignment="1">
      <alignment horizontal="center"/>
    </xf>
    <xf numFmtId="0" fontId="14" fillId="0" borderId="0" xfId="2" applyFont="1" applyBorder="1" applyAlignment="1">
      <alignment horizontal="center"/>
    </xf>
    <xf numFmtId="0" fontId="2" fillId="0" borderId="0" xfId="0" applyFont="1" applyBorder="1"/>
    <xf numFmtId="169" fontId="2" fillId="0" borderId="2" xfId="0" applyNumberFormat="1" applyFont="1" applyBorder="1"/>
    <xf numFmtId="169" fontId="21" fillId="0" borderId="2" xfId="0" applyNumberFormat="1" applyFont="1" applyBorder="1"/>
    <xf numFmtId="170" fontId="2" fillId="0" borderId="0" xfId="0" applyNumberFormat="1" applyFont="1" applyBorder="1"/>
    <xf numFmtId="165" fontId="1" fillId="0" borderId="0" xfId="0" applyNumberFormat="1" applyFont="1" applyFill="1" applyAlignment="1">
      <alignment horizontal="center"/>
    </xf>
    <xf numFmtId="0" fontId="11" fillId="0" borderId="0" xfId="0" applyFont="1" applyFill="1" applyBorder="1"/>
    <xf numFmtId="0" fontId="1" fillId="0" borderId="5" xfId="0" applyFont="1" applyBorder="1"/>
    <xf numFmtId="0" fontId="22" fillId="0" borderId="0" xfId="0" applyFont="1" applyBorder="1"/>
    <xf numFmtId="0" fontId="23" fillId="0" borderId="5" xfId="0" applyFont="1" applyBorder="1"/>
    <xf numFmtId="0" fontId="24" fillId="2" borderId="0" xfId="0" applyFont="1" applyFill="1"/>
    <xf numFmtId="0" fontId="2" fillId="2" borderId="0" xfId="0" applyFont="1" applyFill="1" applyBorder="1"/>
    <xf numFmtId="0" fontId="1" fillId="2" borderId="0" xfId="0" applyFont="1" applyFill="1" applyBorder="1"/>
    <xf numFmtId="165" fontId="1" fillId="2" borderId="0" xfId="0" applyNumberFormat="1" applyFont="1" applyFill="1" applyBorder="1" applyAlignment="1">
      <alignment horizontal="center"/>
    </xf>
    <xf numFmtId="0" fontId="8" fillId="0" borderId="0" xfId="0" applyFont="1" applyFill="1" applyBorder="1"/>
    <xf numFmtId="169" fontId="1" fillId="0" borderId="0" xfId="0" applyNumberFormat="1" applyFont="1" applyFill="1"/>
    <xf numFmtId="0" fontId="1" fillId="0" borderId="0" xfId="0" applyFont="1" applyFill="1" applyAlignment="1">
      <alignment horizontal="center"/>
    </xf>
    <xf numFmtId="165" fontId="2" fillId="0" borderId="0" xfId="0" applyNumberFormat="1" applyFont="1" applyBorder="1" applyAlignment="1">
      <alignment horizontal="center"/>
    </xf>
    <xf numFmtId="169" fontId="1" fillId="0" borderId="0" xfId="0" applyNumberFormat="1" applyFont="1" applyBorder="1" applyAlignment="1">
      <alignment horizontal="right"/>
    </xf>
    <xf numFmtId="172" fontId="1" fillId="0" borderId="0" xfId="0" applyNumberFormat="1" applyFont="1" applyFill="1" applyBorder="1"/>
    <xf numFmtId="0" fontId="1" fillId="0" borderId="0" xfId="0" applyFont="1" applyAlignment="1">
      <alignment horizontal="center"/>
    </xf>
    <xf numFmtId="0" fontId="6" fillId="0" borderId="0" xfId="0" quotePrefix="1" applyFont="1"/>
    <xf numFmtId="169" fontId="12" fillId="7" borderId="0" xfId="0" applyNumberFormat="1" applyFont="1" applyFill="1" applyBorder="1" applyAlignment="1"/>
    <xf numFmtId="175" fontId="1" fillId="7" borderId="0" xfId="0" applyNumberFormat="1" applyFont="1" applyFill="1"/>
    <xf numFmtId="0" fontId="1" fillId="0" borderId="0" xfId="0" applyFont="1" applyAlignment="1">
      <alignment horizontal="left" indent="1"/>
    </xf>
    <xf numFmtId="14" fontId="6" fillId="0" borderId="0" xfId="3" applyNumberFormat="1" applyFont="1" applyBorder="1" applyAlignment="1">
      <alignment horizontal="center"/>
    </xf>
    <xf numFmtId="169" fontId="5" fillId="7" borderId="0" xfId="0" applyNumberFormat="1" applyFont="1" applyFill="1" applyBorder="1" applyAlignment="1">
      <alignment horizontal="right"/>
    </xf>
    <xf numFmtId="169" fontId="1" fillId="7" borderId="0" xfId="0" applyNumberFormat="1" applyFont="1" applyFill="1" applyBorder="1" applyAlignment="1">
      <alignment horizontal="right"/>
    </xf>
    <xf numFmtId="0" fontId="6" fillId="0" borderId="0" xfId="0" applyFont="1" applyBorder="1"/>
    <xf numFmtId="169" fontId="3" fillId="0" borderId="0" xfId="0" applyNumberFormat="1" applyFont="1" applyFill="1" applyBorder="1" applyAlignment="1">
      <alignment horizontal="right"/>
    </xf>
    <xf numFmtId="169" fontId="1" fillId="0" borderId="0" xfId="0" applyNumberFormat="1" applyFont="1" applyFill="1" applyBorder="1" applyAlignment="1">
      <alignment horizontal="right"/>
    </xf>
    <xf numFmtId="172" fontId="1" fillId="0" borderId="0" xfId="0" applyNumberFormat="1" applyFont="1" applyFill="1"/>
    <xf numFmtId="165" fontId="1" fillId="0" borderId="0" xfId="0" applyNumberFormat="1" applyFont="1" applyFill="1" applyBorder="1" applyAlignment="1">
      <alignment horizontal="right"/>
    </xf>
    <xf numFmtId="165" fontId="5" fillId="0" borderId="0" xfId="0" applyNumberFormat="1" applyFont="1" applyFill="1" applyBorder="1" applyAlignment="1">
      <alignment horizontal="right"/>
    </xf>
    <xf numFmtId="0" fontId="2" fillId="0" borderId="0" xfId="0" applyFont="1" applyFill="1"/>
    <xf numFmtId="0" fontId="6" fillId="0" borderId="0" xfId="0" applyFont="1" applyAlignment="1">
      <alignment horizontal="right"/>
    </xf>
    <xf numFmtId="172" fontId="6" fillId="0" borderId="0" xfId="0" applyNumberFormat="1" applyFont="1"/>
    <xf numFmtId="172" fontId="6" fillId="0" borderId="0" xfId="0" applyNumberFormat="1" applyFont="1" applyFill="1"/>
    <xf numFmtId="177" fontId="28" fillId="0" borderId="0" xfId="1" applyNumberFormat="1" applyFont="1" applyAlignment="1">
      <alignment horizontal="right"/>
    </xf>
    <xf numFmtId="169" fontId="5" fillId="0" borderId="0" xfId="0" applyNumberFormat="1" applyFont="1" applyFill="1" applyBorder="1" applyAlignment="1">
      <alignment horizontal="right"/>
    </xf>
    <xf numFmtId="169" fontId="4" fillId="0" borderId="0" xfId="0" applyNumberFormat="1" applyFont="1" applyFill="1"/>
    <xf numFmtId="169" fontId="1" fillId="0" borderId="2" xfId="0" applyNumberFormat="1" applyFont="1" applyFill="1" applyBorder="1"/>
    <xf numFmtId="169" fontId="5" fillId="0" borderId="0" xfId="0" applyNumberFormat="1" applyFont="1" applyFill="1"/>
    <xf numFmtId="169" fontId="4" fillId="0" borderId="2" xfId="0" applyNumberFormat="1" applyFont="1" applyFill="1" applyBorder="1"/>
    <xf numFmtId="169" fontId="5" fillId="0" borderId="0" xfId="0" applyNumberFormat="1" applyFont="1" applyFill="1" applyBorder="1"/>
    <xf numFmtId="169" fontId="3" fillId="0" borderId="0" xfId="0" applyNumberFormat="1" applyFont="1" applyFill="1" applyBorder="1" applyAlignment="1"/>
    <xf numFmtId="164" fontId="4" fillId="0" borderId="2" xfId="0" applyNumberFormat="1" applyFont="1" applyFill="1" applyBorder="1"/>
    <xf numFmtId="178" fontId="3" fillId="0" borderId="0" xfId="0" applyNumberFormat="1" applyFont="1"/>
    <xf numFmtId="178" fontId="5" fillId="0" borderId="0" xfId="0" applyNumberFormat="1" applyFont="1" applyFill="1"/>
    <xf numFmtId="178" fontId="1" fillId="0" borderId="2" xfId="0" applyNumberFormat="1" applyFont="1" applyBorder="1"/>
    <xf numFmtId="178" fontId="3" fillId="0" borderId="0" xfId="0" applyNumberFormat="1" applyFont="1" applyAlignment="1">
      <alignment horizontal="center"/>
    </xf>
    <xf numFmtId="164" fontId="1" fillId="0" borderId="2" xfId="0" applyNumberFormat="1" applyFont="1" applyFill="1" applyBorder="1"/>
    <xf numFmtId="0" fontId="2" fillId="0" borderId="0" xfId="0" applyFont="1" applyFill="1" applyAlignment="1">
      <alignment horizontal="center"/>
    </xf>
    <xf numFmtId="0" fontId="2" fillId="0" borderId="0" xfId="0" applyFont="1" applyFill="1" applyAlignment="1">
      <alignment horizontal="right"/>
    </xf>
    <xf numFmtId="166" fontId="3" fillId="0" borderId="0" xfId="0" applyNumberFormat="1" applyFont="1" applyFill="1" applyAlignment="1">
      <alignment horizontal="center"/>
    </xf>
    <xf numFmtId="178" fontId="5" fillId="0" borderId="0" xfId="0" applyNumberFormat="1" applyFont="1" applyFill="1" applyAlignment="1">
      <alignment horizontal="center"/>
    </xf>
    <xf numFmtId="167" fontId="5" fillId="0" borderId="0" xfId="0" applyNumberFormat="1" applyFont="1" applyAlignment="1">
      <alignment horizontal="center"/>
    </xf>
    <xf numFmtId="169" fontId="19" fillId="6" borderId="0" xfId="0" applyNumberFormat="1" applyFont="1" applyFill="1" applyAlignment="1">
      <alignment horizontal="center" vertical="center"/>
    </xf>
    <xf numFmtId="178" fontId="5" fillId="0" borderId="0" xfId="0" applyNumberFormat="1" applyFont="1" applyAlignment="1">
      <alignment horizontal="center"/>
    </xf>
    <xf numFmtId="167" fontId="5" fillId="0" borderId="2" xfId="0" applyNumberFormat="1" applyFont="1" applyBorder="1" applyAlignment="1">
      <alignment horizontal="center"/>
    </xf>
    <xf numFmtId="0" fontId="11" fillId="8" borderId="0" xfId="0" applyFont="1" applyFill="1" applyBorder="1" applyAlignment="1">
      <alignment horizontal="left"/>
    </xf>
    <xf numFmtId="0" fontId="3" fillId="0" borderId="4" xfId="0" applyFont="1" applyBorder="1" applyAlignment="1">
      <alignment horizontal="center"/>
    </xf>
    <xf numFmtId="173" fontId="14" fillId="0" borderId="1" xfId="3" applyNumberFormat="1" applyFont="1" applyBorder="1" applyAlignment="1">
      <alignment horizontal="center"/>
    </xf>
    <xf numFmtId="174" fontId="14" fillId="0" borderId="1" xfId="3" applyNumberFormat="1" applyFont="1" applyBorder="1" applyAlignment="1">
      <alignment horizontal="center"/>
    </xf>
    <xf numFmtId="0" fontId="2" fillId="0" borderId="0" xfId="0" applyFont="1" applyFill="1" applyBorder="1"/>
    <xf numFmtId="0" fontId="2" fillId="0" borderId="1" xfId="0" applyFont="1" applyFill="1" applyBorder="1"/>
    <xf numFmtId="172" fontId="1" fillId="0" borderId="2" xfId="0" applyNumberFormat="1" applyFont="1" applyBorder="1" applyAlignment="1">
      <alignment horizontal="center"/>
    </xf>
    <xf numFmtId="172" fontId="1" fillId="0" borderId="2" xfId="0" applyNumberFormat="1" applyFont="1" applyBorder="1" applyAlignment="1">
      <alignment horizontal="right"/>
    </xf>
    <xf numFmtId="175" fontId="1" fillId="7" borderId="0" xfId="0" applyNumberFormat="1" applyFont="1" applyFill="1" applyAlignment="1">
      <alignment horizontal="center"/>
    </xf>
    <xf numFmtId="0" fontId="6" fillId="0" borderId="0" xfId="0" applyFont="1" applyFill="1" applyBorder="1"/>
    <xf numFmtId="180" fontId="1" fillId="0" borderId="0" xfId="0" applyNumberFormat="1" applyFont="1" applyFill="1" applyBorder="1"/>
    <xf numFmtId="180" fontId="5" fillId="0" borderId="0" xfId="0" applyNumberFormat="1" applyFont="1" applyFill="1" applyBorder="1"/>
    <xf numFmtId="180" fontId="30" fillId="0" borderId="0" xfId="0" applyNumberFormat="1" applyFont="1" applyFill="1" applyBorder="1"/>
    <xf numFmtId="179" fontId="1" fillId="7" borderId="0" xfId="0" applyNumberFormat="1" applyFont="1" applyFill="1" applyAlignment="1">
      <alignment horizontal="right"/>
    </xf>
    <xf numFmtId="175" fontId="1" fillId="7" borderId="0" xfId="0" applyNumberFormat="1" applyFont="1" applyFill="1" applyAlignment="1">
      <alignment horizontal="right"/>
    </xf>
    <xf numFmtId="175" fontId="3" fillId="7" borderId="0" xfId="0" applyNumberFormat="1" applyFont="1" applyFill="1" applyAlignment="1">
      <alignment horizontal="right"/>
    </xf>
    <xf numFmtId="0" fontId="29" fillId="0" borderId="0" xfId="0" applyFont="1" applyFill="1" applyBorder="1" applyAlignment="1">
      <alignment horizontal="right"/>
    </xf>
    <xf numFmtId="181" fontId="2" fillId="0" borderId="0" xfId="0" applyNumberFormat="1" applyFont="1" applyFill="1" applyBorder="1"/>
    <xf numFmtId="175" fontId="2" fillId="0" borderId="0" xfId="0" applyNumberFormat="1" applyFont="1" applyFill="1" applyBorder="1"/>
    <xf numFmtId="0" fontId="1" fillId="0" borderId="0" xfId="0" applyFont="1" applyFill="1" applyBorder="1" applyAlignment="1">
      <alignment horizontal="left" indent="1"/>
    </xf>
    <xf numFmtId="175" fontId="21" fillId="0" borderId="0" xfId="0" applyNumberFormat="1" applyFont="1" applyFill="1" applyBorder="1"/>
    <xf numFmtId="170" fontId="1" fillId="0" borderId="0" xfId="0" applyNumberFormat="1" applyFont="1" applyFill="1" applyBorder="1"/>
    <xf numFmtId="183" fontId="1" fillId="0" borderId="0" xfId="0" applyNumberFormat="1" applyFont="1" applyFill="1" applyBorder="1"/>
    <xf numFmtId="183" fontId="2" fillId="0" borderId="0" xfId="0" applyNumberFormat="1" applyFont="1" applyFill="1" applyBorder="1"/>
    <xf numFmtId="184" fontId="2" fillId="0" borderId="0" xfId="4" applyNumberFormat="1" applyFont="1" applyFill="1" applyBorder="1"/>
    <xf numFmtId="179" fontId="2" fillId="7" borderId="0" xfId="0" applyNumberFormat="1" applyFont="1" applyFill="1" applyAlignment="1">
      <alignment horizontal="center"/>
    </xf>
    <xf numFmtId="172" fontId="2" fillId="0" borderId="0" xfId="0" applyNumberFormat="1" applyFont="1" applyBorder="1" applyAlignment="1">
      <alignment horizontal="center"/>
    </xf>
    <xf numFmtId="176" fontId="3" fillId="0" borderId="0" xfId="0" applyNumberFormat="1" applyFont="1" applyAlignment="1">
      <alignment horizontal="right"/>
    </xf>
    <xf numFmtId="183" fontId="2" fillId="0" borderId="1" xfId="0" applyNumberFormat="1" applyFont="1" applyFill="1" applyBorder="1" applyAlignment="1">
      <alignment horizontal="right"/>
    </xf>
    <xf numFmtId="183" fontId="1" fillId="0" borderId="0" xfId="0" applyNumberFormat="1" applyFont="1" applyFill="1" applyBorder="1" applyAlignment="1">
      <alignment horizontal="right"/>
    </xf>
    <xf numFmtId="177" fontId="1" fillId="0" borderId="0" xfId="1" applyNumberFormat="1" applyFont="1" applyFill="1" applyBorder="1" applyAlignment="1">
      <alignment horizontal="right"/>
    </xf>
    <xf numFmtId="172" fontId="1" fillId="0" borderId="0" xfId="0" applyNumberFormat="1" applyFont="1" applyBorder="1" applyAlignment="1">
      <alignment horizontal="right"/>
    </xf>
    <xf numFmtId="183" fontId="2" fillId="0" borderId="0" xfId="0" applyNumberFormat="1" applyFont="1" applyFill="1" applyBorder="1" applyAlignment="1">
      <alignment horizontal="right"/>
    </xf>
    <xf numFmtId="177" fontId="2" fillId="0" borderId="0" xfId="1" applyNumberFormat="1" applyFont="1" applyFill="1" applyBorder="1" applyAlignment="1">
      <alignment horizontal="right"/>
    </xf>
    <xf numFmtId="14" fontId="25" fillId="0" borderId="0" xfId="3" applyNumberFormat="1" applyFont="1" applyFill="1" applyBorder="1" applyAlignment="1">
      <alignment horizontal="center"/>
    </xf>
    <xf numFmtId="9" fontId="1" fillId="0" borderId="0" xfId="0" applyNumberFormat="1" applyFont="1" applyFill="1" applyBorder="1" applyAlignment="1">
      <alignment horizontal="left"/>
    </xf>
    <xf numFmtId="185" fontId="3" fillId="0" borderId="0" xfId="0" applyNumberFormat="1" applyFont="1" applyFill="1" applyAlignment="1">
      <alignment horizontal="right"/>
    </xf>
    <xf numFmtId="185" fontId="3" fillId="7" borderId="0" xfId="0" applyNumberFormat="1" applyFont="1" applyFill="1" applyAlignment="1">
      <alignment horizontal="right"/>
    </xf>
    <xf numFmtId="185" fontId="21" fillId="7" borderId="0" xfId="0" applyNumberFormat="1" applyFont="1" applyFill="1" applyAlignment="1">
      <alignment horizontal="right"/>
    </xf>
    <xf numFmtId="185" fontId="2" fillId="7" borderId="0" xfId="0" applyNumberFormat="1" applyFont="1" applyFill="1" applyAlignment="1">
      <alignment horizontal="right"/>
    </xf>
    <xf numFmtId="0" fontId="2" fillId="0" borderId="0" xfId="0" applyFont="1" applyFill="1" applyBorder="1" applyAlignment="1">
      <alignment horizontal="right" vertical="center" wrapText="1"/>
    </xf>
    <xf numFmtId="185" fontId="2" fillId="0" borderId="0" xfId="0" applyNumberFormat="1" applyFont="1" applyFill="1" applyBorder="1"/>
    <xf numFmtId="185" fontId="21" fillId="0" borderId="0" xfId="0" applyNumberFormat="1" applyFont="1" applyFill="1" applyBorder="1"/>
    <xf numFmtId="0" fontId="2" fillId="0" borderId="0" xfId="0" applyFont="1" applyFill="1" applyBorder="1" applyAlignment="1">
      <alignment horizontal="left"/>
    </xf>
    <xf numFmtId="10" fontId="3" fillId="0" borderId="0" xfId="1" applyNumberFormat="1" applyFont="1" applyAlignment="1">
      <alignment horizontal="right"/>
    </xf>
    <xf numFmtId="172" fontId="6" fillId="9" borderId="0" xfId="0" applyNumberFormat="1" applyFont="1" applyFill="1" applyBorder="1"/>
    <xf numFmtId="179" fontId="6" fillId="9" borderId="0" xfId="0" applyNumberFormat="1" applyFont="1" applyFill="1" applyAlignment="1">
      <alignment horizontal="right"/>
    </xf>
    <xf numFmtId="172" fontId="3" fillId="0" borderId="0" xfId="0" applyNumberFormat="1" applyFont="1" applyBorder="1" applyAlignment="1">
      <alignment horizontal="right"/>
    </xf>
    <xf numFmtId="179" fontId="1" fillId="7" borderId="0" xfId="0" applyNumberFormat="1" applyFont="1" applyFill="1" applyBorder="1" applyAlignment="1">
      <alignment horizontal="right"/>
    </xf>
    <xf numFmtId="9" fontId="21" fillId="0" borderId="4" xfId="0" applyNumberFormat="1" applyFont="1" applyFill="1" applyBorder="1"/>
    <xf numFmtId="186" fontId="1" fillId="0" borderId="4" xfId="0" applyNumberFormat="1" applyFont="1" applyBorder="1" applyAlignment="1">
      <alignment horizontal="center"/>
    </xf>
    <xf numFmtId="186" fontId="1" fillId="0" borderId="0" xfId="0" applyNumberFormat="1" applyFont="1" applyAlignment="1">
      <alignment horizontal="center"/>
    </xf>
    <xf numFmtId="14" fontId="3" fillId="0" borderId="0" xfId="0" applyNumberFormat="1" applyFont="1"/>
    <xf numFmtId="178" fontId="1" fillId="7" borderId="0" xfId="0" applyNumberFormat="1" applyFont="1" applyFill="1" applyBorder="1"/>
    <xf numFmtId="178" fontId="1" fillId="0" borderId="0" xfId="0" applyNumberFormat="1" applyFont="1" applyFill="1" applyBorder="1" applyAlignment="1"/>
    <xf numFmtId="178" fontId="1" fillId="0" borderId="3" xfId="0" applyNumberFormat="1" applyFont="1" applyFill="1" applyBorder="1" applyAlignment="1">
      <alignment horizontal="center"/>
    </xf>
    <xf numFmtId="0" fontId="29" fillId="0" borderId="0" xfId="0" applyFont="1" applyFill="1" applyAlignment="1">
      <alignment horizontal="right"/>
    </xf>
    <xf numFmtId="0" fontId="29" fillId="0" borderId="0" xfId="0" applyFont="1"/>
    <xf numFmtId="0" fontId="1" fillId="0" borderId="0" xfId="0" applyFont="1" applyAlignment="1">
      <alignment horizontal="left"/>
    </xf>
    <xf numFmtId="1" fontId="3" fillId="0" borderId="0" xfId="0" applyNumberFormat="1" applyFont="1" applyBorder="1" applyAlignment="1">
      <alignment horizontal="right"/>
    </xf>
    <xf numFmtId="169" fontId="1" fillId="0" borderId="0" xfId="0" applyNumberFormat="1" applyFont="1" applyAlignment="1">
      <alignment horizontal="right"/>
    </xf>
    <xf numFmtId="0" fontId="24" fillId="0" borderId="0" xfId="0" applyFont="1" applyFill="1" applyAlignment="1">
      <alignment horizontal="left"/>
    </xf>
    <xf numFmtId="172" fontId="3" fillId="0" borderId="0" xfId="0" applyNumberFormat="1" applyFont="1" applyAlignment="1">
      <alignment horizontal="right"/>
    </xf>
    <xf numFmtId="0" fontId="1" fillId="0" borderId="0" xfId="0" applyFont="1" applyAlignment="1">
      <alignment horizontal="left" vertical="top" wrapText="1"/>
    </xf>
    <xf numFmtId="164" fontId="1" fillId="0" borderId="0" xfId="0" applyNumberFormat="1" applyFont="1" applyBorder="1" applyAlignment="1">
      <alignment horizontal="left" vertical="top" wrapText="1"/>
    </xf>
    <xf numFmtId="0" fontId="24" fillId="0" borderId="6" xfId="0" applyFont="1" applyBorder="1" applyAlignment="1">
      <alignment horizontal="center"/>
    </xf>
    <xf numFmtId="182" fontId="2" fillId="0" borderId="1" xfId="0" applyNumberFormat="1" applyFont="1" applyBorder="1" applyAlignment="1">
      <alignment horizontal="center"/>
    </xf>
  </cellXfs>
  <cellStyles count="5">
    <cellStyle name="Comma" xfId="4" builtinId="3"/>
    <cellStyle name="Normal" xfId="0" builtinId="0"/>
    <cellStyle name="Normal 2" xfId="2" xr:uid="{7928F1BC-EC53-4BE4-B38A-A89E59781E7E}"/>
    <cellStyle name="Normal_Standalone Model v2" xfId="3" xr:uid="{35B41654-C3F4-424F-9738-41B22AF63392}"/>
    <cellStyle name="Percent" xfId="1" builtinId="5"/>
  </cellStyles>
  <dxfs count="1">
    <dxf>
      <font>
        <color rgb="FF9C0006"/>
      </font>
      <fill>
        <patternFill>
          <bgColor rgb="FFFFC7CE"/>
        </patternFill>
      </fill>
    </dxf>
  </dxfs>
  <tableStyles count="0" defaultTableStyle="TableStyleMedium2" defaultPivotStyle="PivotStyleLight16"/>
  <colors>
    <mruColors>
      <color rgb="FF0000FF"/>
      <color rgb="FFFF7E79"/>
      <color rgb="FF73FB79"/>
      <color rgb="FFD5FC79"/>
      <color rgb="FFFFFD78"/>
      <color rgb="FFFFD579"/>
      <color rgb="FFFF9300"/>
      <color rgb="FFFFFC00"/>
      <color rgb="FFFF2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147411</xdr:colOff>
          <xdr:row>41</xdr:row>
          <xdr:rowOff>122746</xdr:rowOff>
        </xdr:from>
        <xdr:to>
          <xdr:col>20</xdr:col>
          <xdr:colOff>296943</xdr:colOff>
          <xdr:row>60</xdr:row>
          <xdr:rowOff>86630</xdr:rowOff>
        </xdr:to>
        <xdr:pic>
          <xdr:nvPicPr>
            <xdr:cNvPr id="9" name="Picture 8">
              <a:extLst>
                <a:ext uri="{FF2B5EF4-FFF2-40B4-BE49-F238E27FC236}">
                  <a16:creationId xmlns:a16="http://schemas.microsoft.com/office/drawing/2014/main" id="{19F1DE0F-633D-E348-86EE-3300219B555E}"/>
                </a:ext>
              </a:extLst>
            </xdr:cNvPr>
            <xdr:cNvPicPr>
              <a:picLocks noChangeAspect="1" noChangeArrowheads="1"/>
              <a:extLst>
                <a:ext uri="{84589F7E-364E-4C9E-8A38-B11213B215E9}">
                  <a14:cameraTool cellRange="$F$197:$L$213" spid="_x0000_s2701"/>
                </a:ext>
              </a:extLst>
            </xdr:cNvPicPr>
          </xdr:nvPicPr>
          <xdr:blipFill>
            <a:blip xmlns:r="http://schemas.openxmlformats.org/officeDocument/2006/relationships" r:embed="rId1"/>
            <a:srcRect/>
            <a:stretch>
              <a:fillRect/>
            </a:stretch>
          </xdr:blipFill>
          <xdr:spPr bwMode="auto">
            <a:xfrm>
              <a:off x="10366375" y="7103210"/>
              <a:ext cx="5483532" cy="3075158"/>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Custom 1">
      <a:dk1>
        <a:srgbClr val="000000"/>
      </a:dk1>
      <a:lt1>
        <a:srgbClr val="FFFFFF"/>
      </a:lt1>
      <a:dk2>
        <a:srgbClr val="3B383B"/>
      </a:dk2>
      <a:lt2>
        <a:srgbClr val="E7E6E6"/>
      </a:lt2>
      <a:accent1>
        <a:srgbClr val="243850"/>
      </a:accent1>
      <a:accent2>
        <a:srgbClr val="2790C7"/>
      </a:accent2>
      <a:accent3>
        <a:srgbClr val="36838B"/>
      </a:accent3>
      <a:accent4>
        <a:srgbClr val="757176"/>
      </a:accent4>
      <a:accent5>
        <a:srgbClr val="DE502C"/>
      </a:accent5>
      <a:accent6>
        <a:srgbClr val="780F0A"/>
      </a:accent6>
      <a:hlink>
        <a:srgbClr val="00BE99"/>
      </a:hlink>
      <a:folHlink>
        <a:srgbClr val="00937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F0D0D-8769-4ACC-8DAA-F257FAC91CB8}">
  <sheetPr>
    <tabColor theme="0" tint="-0.249977111117893"/>
  </sheetPr>
  <dimension ref="A2:AB297"/>
  <sheetViews>
    <sheetView showGridLines="0" tabSelected="1" topLeftCell="A65" zoomScale="140" zoomScaleNormal="140" workbookViewId="0">
      <selection activeCell="O86" sqref="O86"/>
    </sheetView>
  </sheetViews>
  <sheetFormatPr defaultColWidth="9.1328125" defaultRowHeight="12.75" x14ac:dyDescent="0.35"/>
  <cols>
    <col min="1" max="1" width="3.6640625" style="2" customWidth="1"/>
    <col min="2" max="2" width="22" style="2" customWidth="1"/>
    <col min="3" max="14" width="10.6640625" style="2" customWidth="1"/>
    <col min="15" max="15" width="10.6640625" style="17" customWidth="1"/>
    <col min="16" max="23" width="10.6640625" style="2" customWidth="1"/>
    <col min="24" max="16384" width="9.1328125" style="2"/>
  </cols>
  <sheetData>
    <row r="2" spans="1:15" ht="30" customHeight="1" thickBot="1" x14ac:dyDescent="0.6">
      <c r="A2" s="4"/>
      <c r="B2" s="94" t="s">
        <v>50</v>
      </c>
      <c r="C2" s="4"/>
      <c r="D2" s="4"/>
      <c r="E2" s="4"/>
      <c r="F2" s="4"/>
      <c r="G2" s="4"/>
      <c r="H2" s="4"/>
      <c r="I2" s="4"/>
      <c r="J2" s="4"/>
      <c r="K2" s="4"/>
      <c r="L2" s="4"/>
    </row>
    <row r="3" spans="1:15" s="4" customFormat="1" ht="16.05" customHeight="1" thickTop="1" x14ac:dyDescent="0.4">
      <c r="B3" s="95" t="s">
        <v>96</v>
      </c>
      <c r="C3" s="93"/>
      <c r="D3" s="93"/>
      <c r="E3" s="93"/>
      <c r="F3" s="93"/>
      <c r="G3" s="93"/>
      <c r="H3" s="93"/>
      <c r="I3" s="93"/>
      <c r="J3" s="93"/>
      <c r="K3" s="93"/>
      <c r="L3" s="93"/>
      <c r="N3" s="18"/>
      <c r="O3" s="50"/>
    </row>
    <row r="4" spans="1:15" x14ac:dyDescent="0.35">
      <c r="N4" s="17"/>
    </row>
    <row r="5" spans="1:15" ht="13.15" x14ac:dyDescent="0.4">
      <c r="A5" s="69" t="s">
        <v>56</v>
      </c>
      <c r="B5" s="31" t="s">
        <v>97</v>
      </c>
      <c r="C5" s="31"/>
      <c r="D5" s="31"/>
      <c r="E5" s="31"/>
      <c r="F5" s="31"/>
      <c r="G5" s="31"/>
      <c r="H5" s="31"/>
      <c r="I5" s="31"/>
      <c r="J5" s="31"/>
      <c r="K5" s="31"/>
      <c r="L5" s="31"/>
      <c r="N5" s="17"/>
    </row>
    <row r="6" spans="1:15" x14ac:dyDescent="0.35">
      <c r="A6" s="1"/>
    </row>
    <row r="7" spans="1:15" x14ac:dyDescent="0.35">
      <c r="A7" s="1"/>
      <c r="B7" s="96" t="s">
        <v>101</v>
      </c>
      <c r="D7" s="209" t="s">
        <v>107</v>
      </c>
      <c r="E7" s="209"/>
      <c r="F7" s="209"/>
      <c r="G7" s="209"/>
      <c r="H7" s="209"/>
      <c r="I7" s="209"/>
      <c r="J7" s="209"/>
      <c r="K7" s="209"/>
      <c r="L7" s="209"/>
    </row>
    <row r="8" spans="1:15" x14ac:dyDescent="0.35">
      <c r="A8" s="1"/>
      <c r="B8" s="14"/>
      <c r="D8" s="209"/>
      <c r="E8" s="209"/>
      <c r="F8" s="209"/>
      <c r="G8" s="209"/>
      <c r="H8" s="209"/>
      <c r="I8" s="209"/>
      <c r="J8" s="209"/>
      <c r="K8" s="209"/>
      <c r="L8" s="209"/>
    </row>
    <row r="9" spans="1:15" x14ac:dyDescent="0.35">
      <c r="A9" s="1"/>
      <c r="B9" s="14"/>
      <c r="D9" s="209"/>
      <c r="E9" s="209"/>
      <c r="F9" s="209"/>
      <c r="G9" s="209"/>
      <c r="H9" s="209"/>
      <c r="I9" s="209"/>
      <c r="J9" s="209"/>
      <c r="K9" s="209"/>
      <c r="L9" s="209"/>
    </row>
    <row r="10" spans="1:15" x14ac:dyDescent="0.35">
      <c r="A10" s="1"/>
      <c r="B10" s="14"/>
      <c r="D10" s="209"/>
      <c r="E10" s="209"/>
      <c r="F10" s="209"/>
      <c r="G10" s="209"/>
      <c r="H10" s="209"/>
      <c r="I10" s="209"/>
      <c r="J10" s="209"/>
      <c r="K10" s="209"/>
      <c r="L10" s="209"/>
    </row>
    <row r="11" spans="1:15" x14ac:dyDescent="0.35">
      <c r="A11" s="1"/>
      <c r="B11" s="14"/>
    </row>
    <row r="12" spans="1:15" x14ac:dyDescent="0.35">
      <c r="A12" s="1"/>
      <c r="B12" s="14" t="s">
        <v>0</v>
      </c>
      <c r="D12" s="2" t="s">
        <v>114</v>
      </c>
    </row>
    <row r="13" spans="1:15" x14ac:dyDescent="0.35">
      <c r="A13" s="1"/>
      <c r="B13" s="14"/>
      <c r="D13" s="2" t="s">
        <v>98</v>
      </c>
    </row>
    <row r="14" spans="1:15" x14ac:dyDescent="0.35">
      <c r="A14" s="1"/>
      <c r="B14" s="14"/>
      <c r="D14" s="2" t="s">
        <v>99</v>
      </c>
    </row>
    <row r="15" spans="1:15" x14ac:dyDescent="0.35">
      <c r="A15" s="1"/>
      <c r="B15" s="14"/>
      <c r="D15" s="2" t="s">
        <v>100</v>
      </c>
    </row>
    <row r="16" spans="1:15" x14ac:dyDescent="0.35">
      <c r="A16" s="1"/>
      <c r="B16" s="14"/>
    </row>
    <row r="17" spans="1:28" x14ac:dyDescent="0.35">
      <c r="A17" s="1"/>
      <c r="B17" s="14" t="s">
        <v>102</v>
      </c>
      <c r="D17" s="5" t="s">
        <v>93</v>
      </c>
    </row>
    <row r="18" spans="1:28" x14ac:dyDescent="0.35">
      <c r="A18" s="1"/>
      <c r="B18" s="14" t="s">
        <v>72</v>
      </c>
      <c r="D18" s="5" t="s">
        <v>73</v>
      </c>
    </row>
    <row r="19" spans="1:28" x14ac:dyDescent="0.35">
      <c r="A19" s="1"/>
      <c r="B19" s="14"/>
      <c r="D19" s="5"/>
    </row>
    <row r="20" spans="1:28" x14ac:dyDescent="0.35">
      <c r="A20" s="1"/>
      <c r="B20" s="14" t="s">
        <v>110</v>
      </c>
      <c r="D20" s="210" t="s">
        <v>111</v>
      </c>
      <c r="E20" s="210"/>
      <c r="F20" s="210"/>
      <c r="G20" s="210"/>
      <c r="H20" s="210"/>
      <c r="I20" s="210"/>
      <c r="J20" s="210"/>
      <c r="K20" s="210"/>
      <c r="L20" s="210"/>
    </row>
    <row r="21" spans="1:28" x14ac:dyDescent="0.35">
      <c r="A21" s="1"/>
      <c r="B21" s="14"/>
      <c r="D21" s="210"/>
      <c r="E21" s="210"/>
      <c r="F21" s="210"/>
      <c r="G21" s="210"/>
      <c r="H21" s="210"/>
      <c r="I21" s="210"/>
      <c r="J21" s="210"/>
      <c r="K21" s="210"/>
      <c r="L21" s="210"/>
    </row>
    <row r="22" spans="1:28" x14ac:dyDescent="0.35">
      <c r="A22" s="1"/>
      <c r="B22" s="14"/>
      <c r="D22" s="5"/>
    </row>
    <row r="23" spans="1:28" x14ac:dyDescent="0.35">
      <c r="A23" s="1"/>
      <c r="B23" s="14" t="s">
        <v>103</v>
      </c>
      <c r="D23" s="5" t="s">
        <v>112</v>
      </c>
    </row>
    <row r="24" spans="1:28" x14ac:dyDescent="0.35">
      <c r="A24" s="1"/>
      <c r="B24" s="14"/>
      <c r="D24" s="5"/>
    </row>
    <row r="25" spans="1:28" x14ac:dyDescent="0.35">
      <c r="A25" s="1"/>
      <c r="B25" s="14" t="s">
        <v>89</v>
      </c>
      <c r="D25" s="2" t="s">
        <v>90</v>
      </c>
    </row>
    <row r="26" spans="1:28" x14ac:dyDescent="0.35">
      <c r="A26" s="1"/>
      <c r="B26" s="14"/>
      <c r="D26" s="5"/>
    </row>
    <row r="27" spans="1:28" x14ac:dyDescent="0.35">
      <c r="A27" s="1"/>
      <c r="B27" s="14" t="s">
        <v>88</v>
      </c>
      <c r="D27" s="5" t="s">
        <v>94</v>
      </c>
    </row>
    <row r="28" spans="1:28" x14ac:dyDescent="0.35">
      <c r="A28" s="1"/>
      <c r="B28" s="14"/>
      <c r="D28" s="5"/>
      <c r="O28" s="2"/>
      <c r="Q28" s="17"/>
    </row>
    <row r="29" spans="1:28" x14ac:dyDescent="0.35">
      <c r="A29" s="1"/>
      <c r="D29" s="52"/>
      <c r="O29" s="2"/>
      <c r="Q29" s="17"/>
    </row>
    <row r="30" spans="1:28" ht="13.15" x14ac:dyDescent="0.4">
      <c r="A30" s="69" t="s">
        <v>56</v>
      </c>
      <c r="B30" s="31" t="s">
        <v>55</v>
      </c>
      <c r="C30" s="31"/>
      <c r="D30" s="31"/>
      <c r="E30" s="31"/>
      <c r="F30" s="31"/>
      <c r="G30" s="31"/>
      <c r="H30" s="31"/>
      <c r="I30" s="31"/>
      <c r="J30" s="31"/>
      <c r="K30" s="31"/>
      <c r="L30" s="31"/>
      <c r="O30" s="2"/>
    </row>
    <row r="31" spans="1:28" s="53" customFormat="1" ht="13.15" x14ac:dyDescent="0.4">
      <c r="A31" s="91"/>
      <c r="B31" s="2" t="s">
        <v>49</v>
      </c>
      <c r="C31" s="92"/>
      <c r="D31" s="92"/>
      <c r="E31" s="92"/>
      <c r="F31" s="92"/>
      <c r="G31" s="92"/>
      <c r="H31" s="92"/>
      <c r="I31" s="92"/>
      <c r="J31" s="92"/>
      <c r="K31" s="92"/>
      <c r="L31" s="92"/>
      <c r="P31" s="2"/>
      <c r="Q31" s="2"/>
      <c r="R31" s="2"/>
      <c r="S31" s="2"/>
      <c r="T31" s="2"/>
      <c r="U31" s="2"/>
      <c r="V31" s="2"/>
      <c r="W31" s="2"/>
      <c r="X31" s="2"/>
      <c r="Y31" s="2"/>
      <c r="Z31" s="2"/>
      <c r="AA31" s="2"/>
      <c r="AB31" s="2"/>
    </row>
    <row r="32" spans="1:28" ht="13.15" x14ac:dyDescent="0.4">
      <c r="G32" s="146" t="s">
        <v>156</v>
      </c>
      <c r="H32" s="146"/>
      <c r="I32" s="146"/>
      <c r="J32" s="146"/>
      <c r="K32" s="146"/>
      <c r="L32" s="146"/>
      <c r="M32" s="146"/>
      <c r="N32" s="146"/>
      <c r="O32" s="146"/>
      <c r="P32" s="146"/>
      <c r="Q32" s="146"/>
      <c r="R32" s="146"/>
    </row>
    <row r="33" spans="1:17" ht="13.15" x14ac:dyDescent="0.4">
      <c r="A33" s="1"/>
      <c r="B33" s="2" t="s">
        <v>37</v>
      </c>
      <c r="D33" s="23"/>
      <c r="E33" s="22" t="s">
        <v>44</v>
      </c>
      <c r="G33" s="120" t="s">
        <v>175</v>
      </c>
      <c r="H33" s="138"/>
      <c r="I33" s="139" t="s">
        <v>138</v>
      </c>
      <c r="J33" s="139" t="s">
        <v>116</v>
      </c>
      <c r="M33" s="189" t="s">
        <v>164</v>
      </c>
      <c r="N33" s="203"/>
      <c r="O33" s="203"/>
      <c r="P33" s="202"/>
      <c r="Q33" s="207" t="s">
        <v>158</v>
      </c>
    </row>
    <row r="34" spans="1:17" x14ac:dyDescent="0.35">
      <c r="A34" s="1"/>
      <c r="B34" s="2" t="s">
        <v>38</v>
      </c>
      <c r="D34" s="23"/>
      <c r="E34" s="22" t="s">
        <v>45</v>
      </c>
      <c r="G34" s="2" t="s">
        <v>9</v>
      </c>
      <c r="H34" s="141"/>
      <c r="I34" s="182">
        <v>0</v>
      </c>
      <c r="J34" s="173">
        <v>5</v>
      </c>
      <c r="M34" s="204" t="s">
        <v>159</v>
      </c>
      <c r="O34" s="2"/>
      <c r="P34" s="193">
        <f>+AVERAGE($E$74:$F$74)</f>
        <v>5.8362008309126856E-3</v>
      </c>
      <c r="Q34" s="14" t="s">
        <v>163</v>
      </c>
    </row>
    <row r="35" spans="1:17" x14ac:dyDescent="0.35">
      <c r="A35" s="1"/>
      <c r="B35" s="20" t="s">
        <v>39</v>
      </c>
      <c r="G35" s="2" t="s">
        <v>131</v>
      </c>
      <c r="H35" s="141"/>
      <c r="I35" s="182">
        <v>7</v>
      </c>
      <c r="J35" s="173">
        <v>5</v>
      </c>
      <c r="M35" s="204" t="s">
        <v>160</v>
      </c>
      <c r="O35" s="2"/>
      <c r="P35" s="72">
        <f>+$E$76*1.1</f>
        <v>265.33100000000002</v>
      </c>
      <c r="Q35" s="14" t="s">
        <v>161</v>
      </c>
    </row>
    <row r="36" spans="1:17" x14ac:dyDescent="0.35">
      <c r="A36" s="1"/>
      <c r="B36" s="20" t="s">
        <v>40</v>
      </c>
      <c r="E36" s="26">
        <v>162.93899999999999</v>
      </c>
      <c r="J36" s="40"/>
      <c r="M36" s="204" t="s">
        <v>162</v>
      </c>
      <c r="O36" s="2"/>
      <c r="P36" s="193">
        <f>+$E$77</f>
        <v>0.18160842963304069</v>
      </c>
      <c r="Q36" s="14" t="s">
        <v>176</v>
      </c>
    </row>
    <row r="37" spans="1:17" x14ac:dyDescent="0.35">
      <c r="A37" s="1"/>
      <c r="B37" s="20" t="s">
        <v>41</v>
      </c>
      <c r="E37" s="26">
        <v>0.44600000000000001</v>
      </c>
      <c r="G37" s="2" t="s">
        <v>147</v>
      </c>
      <c r="I37" s="190">
        <v>1</v>
      </c>
      <c r="J37" s="40"/>
      <c r="M37" s="204" t="s">
        <v>166</v>
      </c>
      <c r="O37" s="2"/>
      <c r="P37" s="193">
        <v>-0.95</v>
      </c>
      <c r="Q37" s="14" t="s">
        <v>165</v>
      </c>
    </row>
    <row r="38" spans="1:17" x14ac:dyDescent="0.35">
      <c r="A38" s="1"/>
      <c r="B38" s="21" t="s">
        <v>42</v>
      </c>
      <c r="E38" s="25">
        <f>+E37+E36</f>
        <v>163.38499999999999</v>
      </c>
      <c r="G38" s="2" t="s">
        <v>157</v>
      </c>
      <c r="I38" s="182">
        <v>1</v>
      </c>
      <c r="J38" s="40"/>
      <c r="M38" s="204" t="s">
        <v>167</v>
      </c>
      <c r="O38" s="2"/>
      <c r="P38" s="205">
        <f>+E79*0.75</f>
        <v>83.114249999999998</v>
      </c>
      <c r="Q38" s="14" t="s">
        <v>168</v>
      </c>
    </row>
    <row r="39" spans="1:17" x14ac:dyDescent="0.35">
      <c r="A39" s="1"/>
      <c r="G39" s="2" t="s">
        <v>148</v>
      </c>
      <c r="I39" s="183">
        <f>+$E$50</f>
        <v>4.8086794190162951</v>
      </c>
      <c r="J39" s="40"/>
      <c r="M39" s="204" t="s">
        <v>171</v>
      </c>
      <c r="O39" s="2"/>
      <c r="P39" s="205">
        <f>+E79</f>
        <v>110.819</v>
      </c>
      <c r="Q39" s="14" t="s">
        <v>170</v>
      </c>
    </row>
    <row r="40" spans="1:17" x14ac:dyDescent="0.35">
      <c r="A40" s="1"/>
      <c r="B40" s="2" t="s">
        <v>43</v>
      </c>
      <c r="E40" s="28">
        <f>16.48*0.73</f>
        <v>12.0304</v>
      </c>
      <c r="F40" s="2" t="s">
        <v>127</v>
      </c>
      <c r="G40" s="2" t="s">
        <v>150</v>
      </c>
      <c r="I40" s="183">
        <v>0.5</v>
      </c>
      <c r="J40" s="40"/>
      <c r="M40" s="204" t="s">
        <v>172</v>
      </c>
      <c r="O40" s="2"/>
      <c r="P40" s="193">
        <f>+$E$80</f>
        <v>9.4092142896180508E-3</v>
      </c>
      <c r="Q40" s="14" t="s">
        <v>169</v>
      </c>
    </row>
    <row r="41" spans="1:17" x14ac:dyDescent="0.35">
      <c r="A41" s="1"/>
      <c r="B41" s="2" t="s">
        <v>46</v>
      </c>
      <c r="E41" s="208">
        <f>+I42</f>
        <v>0.1</v>
      </c>
      <c r="G41" s="2" t="s">
        <v>140</v>
      </c>
      <c r="I41" s="190">
        <v>0.2</v>
      </c>
      <c r="J41" s="40"/>
    </row>
    <row r="42" spans="1:17" x14ac:dyDescent="0.35">
      <c r="A42" s="1"/>
      <c r="B42" s="2" t="s">
        <v>47</v>
      </c>
      <c r="E42" s="29">
        <f>+E40*(1+E41)</f>
        <v>13.233440000000002</v>
      </c>
      <c r="G42" s="2" t="s">
        <v>155</v>
      </c>
      <c r="I42" s="190">
        <v>0.1</v>
      </c>
      <c r="J42" s="40"/>
      <c r="O42" s="2"/>
    </row>
    <row r="43" spans="1:17" x14ac:dyDescent="0.35">
      <c r="A43" s="1"/>
      <c r="E43" s="28"/>
      <c r="O43" s="2"/>
    </row>
    <row r="44" spans="1:17" ht="12.75" customHeight="1" x14ac:dyDescent="0.35">
      <c r="A44" s="1"/>
      <c r="B44" s="2" t="s">
        <v>48</v>
      </c>
      <c r="E44" s="108">
        <f>+E38*E42</f>
        <v>2162.1455943999999</v>
      </c>
      <c r="F44" s="107"/>
      <c r="G44" s="2" t="s">
        <v>173</v>
      </c>
      <c r="H44" s="198">
        <f>+G71</f>
        <v>44377</v>
      </c>
      <c r="O44" s="2"/>
    </row>
    <row r="45" spans="1:17" ht="12.75" customHeight="1" x14ac:dyDescent="0.35">
      <c r="A45" s="1"/>
      <c r="B45" s="2" t="s">
        <v>51</v>
      </c>
      <c r="E45" s="131">
        <v>485</v>
      </c>
      <c r="G45" s="2" t="s">
        <v>174</v>
      </c>
      <c r="H45" s="198">
        <f>+L71</f>
        <v>46203</v>
      </c>
      <c r="O45" s="2"/>
    </row>
    <row r="46" spans="1:17" ht="12.75" customHeight="1" x14ac:dyDescent="0.35">
      <c r="A46" s="1"/>
      <c r="B46" s="2" t="s">
        <v>54</v>
      </c>
      <c r="E46" s="108">
        <f>+E44+E45</f>
        <v>2647.1455943999999</v>
      </c>
      <c r="O46" s="2"/>
    </row>
    <row r="47" spans="1:17" x14ac:dyDescent="0.35">
      <c r="A47" s="1"/>
      <c r="O47" s="2"/>
    </row>
    <row r="48" spans="1:17" x14ac:dyDescent="0.35">
      <c r="A48" s="1"/>
      <c r="B48" s="2" t="s">
        <v>83</v>
      </c>
      <c r="C48" s="2" t="s">
        <v>84</v>
      </c>
      <c r="E48" s="109">
        <f>+$E$46/E82</f>
        <v>4.2211014673380935</v>
      </c>
      <c r="O48" s="2"/>
      <c r="Q48" s="17"/>
    </row>
    <row r="49" spans="1:17" x14ac:dyDescent="0.35">
      <c r="A49" s="1"/>
      <c r="B49" s="2" t="s">
        <v>83</v>
      </c>
      <c r="C49" s="2" t="s">
        <v>85</v>
      </c>
      <c r="E49" s="109">
        <f>+$E$46/F82</f>
        <v>5.2002600859262813</v>
      </c>
      <c r="O49" s="2"/>
      <c r="Q49" s="17"/>
    </row>
    <row r="50" spans="1:17" x14ac:dyDescent="0.35">
      <c r="A50" s="1"/>
      <c r="B50" s="2" t="s">
        <v>83</v>
      </c>
      <c r="C50" s="2" t="s">
        <v>86</v>
      </c>
      <c r="E50" s="109">
        <f>+$E$46/G82</f>
        <v>4.8086794190162951</v>
      </c>
      <c r="O50" s="2"/>
      <c r="Q50" s="17"/>
    </row>
    <row r="51" spans="1:17" x14ac:dyDescent="0.35">
      <c r="A51" s="1"/>
      <c r="E51" s="109"/>
      <c r="O51" s="2"/>
      <c r="Q51" s="17"/>
    </row>
    <row r="52" spans="1:17" x14ac:dyDescent="0.35">
      <c r="A52" s="1"/>
      <c r="E52" s="109"/>
      <c r="O52" s="2"/>
      <c r="Q52" s="17"/>
    </row>
    <row r="53" spans="1:17" x14ac:dyDescent="0.35">
      <c r="A53" s="1"/>
      <c r="E53" s="109"/>
      <c r="O53" s="2"/>
      <c r="Q53" s="17"/>
    </row>
    <row r="54" spans="1:17" x14ac:dyDescent="0.35">
      <c r="A54" s="1"/>
      <c r="O54" s="2"/>
      <c r="Q54" s="17"/>
    </row>
    <row r="55" spans="1:17" ht="13.15" x14ac:dyDescent="0.4">
      <c r="A55" s="69" t="s">
        <v>56</v>
      </c>
      <c r="B55" s="31" t="s">
        <v>0</v>
      </c>
      <c r="C55" s="31"/>
      <c r="D55" s="31"/>
      <c r="E55" s="31"/>
      <c r="F55" s="31"/>
      <c r="G55" s="31"/>
      <c r="H55" s="31"/>
      <c r="I55" s="31"/>
      <c r="J55" s="31"/>
      <c r="K55" s="31"/>
      <c r="L55" s="31"/>
      <c r="O55" s="2"/>
    </row>
    <row r="56" spans="1:17" x14ac:dyDescent="0.35">
      <c r="A56" s="1"/>
      <c r="O56" s="2"/>
      <c r="Q56" s="17"/>
    </row>
    <row r="57" spans="1:17" ht="13.15" x14ac:dyDescent="0.4">
      <c r="A57" s="1"/>
      <c r="B57" s="79" t="s">
        <v>1</v>
      </c>
      <c r="C57" s="80" t="s">
        <v>124</v>
      </c>
      <c r="D57" s="80" t="s">
        <v>2</v>
      </c>
      <c r="F57" s="80" t="s">
        <v>8</v>
      </c>
      <c r="G57" s="80" t="s">
        <v>11</v>
      </c>
      <c r="H57" s="80" t="s">
        <v>69</v>
      </c>
      <c r="I57" s="80" t="s">
        <v>68</v>
      </c>
      <c r="J57" s="80" t="s">
        <v>124</v>
      </c>
      <c r="K57" s="80" t="s">
        <v>2</v>
      </c>
      <c r="L57" s="80" t="s">
        <v>12</v>
      </c>
      <c r="O57" s="2"/>
    </row>
    <row r="58" spans="1:17" x14ac:dyDescent="0.35">
      <c r="A58" s="1"/>
      <c r="B58" s="2" t="s">
        <v>3</v>
      </c>
      <c r="C58" s="199">
        <f>+E44</f>
        <v>2162.1455943999999</v>
      </c>
      <c r="D58" s="8">
        <f>C58/C$63</f>
        <v>0.79592175825197109</v>
      </c>
      <c r="F58" s="2" t="s">
        <v>9</v>
      </c>
      <c r="G58" s="48">
        <v>0.02</v>
      </c>
      <c r="H58" s="136">
        <v>20</v>
      </c>
      <c r="I58" s="48">
        <v>0.04</v>
      </c>
      <c r="J58" s="141">
        <f>+L58*$G$88</f>
        <v>0</v>
      </c>
      <c r="K58" s="142">
        <f>+J58/$J$63</f>
        <v>0</v>
      </c>
      <c r="L58" s="140">
        <f>+I34</f>
        <v>0</v>
      </c>
      <c r="M58" s="53"/>
      <c r="N58" s="53"/>
      <c r="O58" s="53"/>
    </row>
    <row r="59" spans="1:17" ht="12.75" customHeight="1" x14ac:dyDescent="0.35">
      <c r="A59" s="1"/>
      <c r="B59" s="2" t="s">
        <v>52</v>
      </c>
      <c r="C59" s="200">
        <f>+E45</f>
        <v>485</v>
      </c>
      <c r="D59" s="8">
        <f t="shared" ref="D59:D62" si="0">C59/C$63</f>
        <v>0.17853656745041166</v>
      </c>
      <c r="F59" s="2" t="s">
        <v>87</v>
      </c>
      <c r="G59" s="48">
        <v>0.02</v>
      </c>
      <c r="H59" s="49" t="s">
        <v>70</v>
      </c>
      <c r="I59" s="48">
        <v>0.04</v>
      </c>
      <c r="J59" s="141">
        <f>+L59*$G$88</f>
        <v>969.2366418955155</v>
      </c>
      <c r="K59" s="142">
        <f>+J59/$J$63</f>
        <v>0.35679213008492616</v>
      </c>
      <c r="L59" s="140">
        <f>+I35</f>
        <v>7</v>
      </c>
      <c r="M59" s="53"/>
      <c r="N59" s="53"/>
      <c r="O59" s="53"/>
    </row>
    <row r="60" spans="1:17" x14ac:dyDescent="0.35">
      <c r="A60" s="1"/>
      <c r="B60" s="2" t="s">
        <v>53</v>
      </c>
      <c r="C60" s="133">
        <v>15</v>
      </c>
      <c r="D60" s="8">
        <f t="shared" si="0"/>
        <v>5.5217495087756183E-3</v>
      </c>
      <c r="F60" s="74"/>
      <c r="G60" s="74"/>
      <c r="H60" s="74"/>
      <c r="I60" s="74"/>
      <c r="J60" s="143"/>
      <c r="K60" s="143"/>
      <c r="L60" s="74"/>
      <c r="M60" s="53"/>
      <c r="N60" s="53"/>
      <c r="O60" s="53"/>
    </row>
    <row r="61" spans="1:17" x14ac:dyDescent="0.35">
      <c r="A61" s="1"/>
      <c r="B61" s="46" t="s">
        <v>4</v>
      </c>
      <c r="C61" s="134">
        <f>+SUMPRODUCT(G58:G59,J58:J59)+H58</f>
        <v>39.384732837910306</v>
      </c>
      <c r="D61" s="8">
        <f t="shared" si="0"/>
        <v>1.4498175280066014E-2</v>
      </c>
      <c r="F61" s="2" t="s">
        <v>7</v>
      </c>
      <c r="G61" s="74"/>
      <c r="H61" s="74"/>
      <c r="I61" s="74"/>
      <c r="J61" s="144">
        <f>+MAX(J63-(SUM(J58:J59)),0)</f>
        <v>1747.2936853423946</v>
      </c>
      <c r="K61" s="142">
        <f>+J61/$J$63</f>
        <v>0.64320786991507384</v>
      </c>
      <c r="L61" s="74"/>
      <c r="M61" s="53"/>
      <c r="N61" s="53"/>
      <c r="O61" s="53"/>
      <c r="Q61" s="17"/>
    </row>
    <row r="62" spans="1:17" x14ac:dyDescent="0.35">
      <c r="A62" s="1"/>
      <c r="B62" s="2" t="s">
        <v>5</v>
      </c>
      <c r="C62" s="133">
        <v>15</v>
      </c>
      <c r="D62" s="8">
        <f t="shared" si="0"/>
        <v>5.5217495087756183E-3</v>
      </c>
      <c r="E62" s="102"/>
      <c r="F62" s="74"/>
      <c r="G62" s="74"/>
      <c r="H62" s="74"/>
      <c r="I62" s="74"/>
      <c r="J62" s="143"/>
      <c r="K62" s="143"/>
      <c r="L62" s="74"/>
      <c r="M62" s="53"/>
      <c r="N62" s="53"/>
      <c r="O62" s="53"/>
      <c r="Q62" s="17"/>
    </row>
    <row r="63" spans="1:17" ht="12.75" customHeight="1" x14ac:dyDescent="0.35">
      <c r="A63" s="1"/>
      <c r="B63" s="2" t="s">
        <v>6</v>
      </c>
      <c r="C63" s="135">
        <f>SUM(C58:C62)</f>
        <v>2716.5303272379101</v>
      </c>
      <c r="D63" s="9">
        <f>SUM(D58:D62)</f>
        <v>1</v>
      </c>
      <c r="F63" s="2" t="s">
        <v>10</v>
      </c>
      <c r="J63" s="201">
        <f>+C63</f>
        <v>2716.5303272379101</v>
      </c>
      <c r="K63" s="145">
        <f>+J63/$J$63</f>
        <v>1</v>
      </c>
      <c r="M63" s="53"/>
      <c r="N63" s="53"/>
      <c r="O63" s="53"/>
      <c r="Q63" s="17"/>
    </row>
    <row r="64" spans="1:17" x14ac:dyDescent="0.35">
      <c r="A64" s="1"/>
      <c r="C64" s="7"/>
      <c r="D64" s="3"/>
      <c r="K64" s="10"/>
      <c r="O64" s="2"/>
      <c r="Q64" s="17"/>
    </row>
    <row r="65" spans="1:17" x14ac:dyDescent="0.35">
      <c r="A65" s="1"/>
      <c r="C65" s="7"/>
      <c r="D65" s="3"/>
      <c r="K65" s="10"/>
      <c r="O65" s="2"/>
      <c r="Q65" s="17"/>
    </row>
    <row r="66" spans="1:17" ht="13.15" x14ac:dyDescent="0.4">
      <c r="A66" s="69" t="s">
        <v>56</v>
      </c>
      <c r="B66" s="31" t="s">
        <v>13</v>
      </c>
      <c r="C66" s="31"/>
      <c r="D66" s="31"/>
      <c r="E66" s="31"/>
      <c r="F66" s="31"/>
      <c r="G66" s="31"/>
      <c r="H66" s="31"/>
      <c r="I66" s="31"/>
      <c r="J66" s="31"/>
      <c r="K66" s="31"/>
      <c r="L66" s="31"/>
      <c r="O66" s="2"/>
    </row>
    <row r="67" spans="1:17" ht="13.15" x14ac:dyDescent="0.4">
      <c r="A67" s="1"/>
      <c r="D67" s="37"/>
      <c r="O67" s="2"/>
      <c r="Q67" s="17"/>
    </row>
    <row r="68" spans="1:17" ht="13.15" x14ac:dyDescent="0.4">
      <c r="A68" s="1"/>
      <c r="B68" s="83" t="s">
        <v>95</v>
      </c>
      <c r="D68" s="44" t="s">
        <v>60</v>
      </c>
      <c r="E68" s="45"/>
      <c r="F68" s="45"/>
      <c r="G68" s="81" t="s">
        <v>61</v>
      </c>
      <c r="H68" s="82"/>
      <c r="I68" s="82"/>
      <c r="J68" s="82"/>
      <c r="K68" s="82"/>
      <c r="L68" s="82"/>
      <c r="O68" s="2"/>
      <c r="Q68" s="17"/>
    </row>
    <row r="69" spans="1:17" ht="13.15" x14ac:dyDescent="0.4">
      <c r="A69" s="1"/>
      <c r="B69" s="36" t="s">
        <v>49</v>
      </c>
      <c r="D69" s="38"/>
      <c r="E69" s="38"/>
      <c r="F69" s="38"/>
      <c r="G69" s="39">
        <v>0</v>
      </c>
      <c r="H69" s="39">
        <f>G69+1</f>
        <v>1</v>
      </c>
      <c r="I69" s="39">
        <f t="shared" ref="I69:K69" si="1">H69+1</f>
        <v>2</v>
      </c>
      <c r="J69" s="39">
        <f t="shared" si="1"/>
        <v>3</v>
      </c>
      <c r="K69" s="39">
        <f t="shared" si="1"/>
        <v>4</v>
      </c>
      <c r="L69" s="39">
        <f>K69+1</f>
        <v>5</v>
      </c>
      <c r="N69" s="33" t="s">
        <v>62</v>
      </c>
      <c r="O69" s="2"/>
    </row>
    <row r="70" spans="1:17" ht="13.15" x14ac:dyDescent="0.4">
      <c r="A70" s="1"/>
      <c r="B70" s="36"/>
      <c r="D70" s="34">
        <v>2018</v>
      </c>
      <c r="E70" s="34">
        <f>+D70+1</f>
        <v>2019</v>
      </c>
      <c r="F70" s="34">
        <f>+E70+1</f>
        <v>2020</v>
      </c>
      <c r="G70" s="35">
        <f>+F70+1</f>
        <v>2021</v>
      </c>
      <c r="H70" s="35">
        <f>+G70+1</f>
        <v>2022</v>
      </c>
      <c r="I70" s="35">
        <f t="shared" ref="I70:K70" si="2">+H70+1</f>
        <v>2023</v>
      </c>
      <c r="J70" s="35">
        <f t="shared" si="2"/>
        <v>2024</v>
      </c>
      <c r="K70" s="35">
        <f t="shared" si="2"/>
        <v>2025</v>
      </c>
      <c r="L70" s="35">
        <f>+K70+1</f>
        <v>2026</v>
      </c>
      <c r="N70" s="86" t="s">
        <v>63</v>
      </c>
      <c r="O70" s="2"/>
    </row>
    <row r="71" spans="1:17" ht="13.15" x14ac:dyDescent="0.4">
      <c r="A71" s="1"/>
      <c r="B71" s="36" t="s">
        <v>115</v>
      </c>
      <c r="D71" s="180">
        <v>43281</v>
      </c>
      <c r="E71" s="180">
        <v>43646</v>
      </c>
      <c r="F71" s="180">
        <v>44012</v>
      </c>
      <c r="G71" s="111">
        <v>44377</v>
      </c>
      <c r="H71" s="111">
        <f>+EOMONTH(G71,12)</f>
        <v>44742</v>
      </c>
      <c r="I71" s="111">
        <f>+EOMONTH(H71,12)</f>
        <v>45107</v>
      </c>
      <c r="J71" s="111">
        <f>+EOMONTH(I71,12)</f>
        <v>45473</v>
      </c>
      <c r="K71" s="111">
        <f>+EOMONTH(J71,12)</f>
        <v>45838</v>
      </c>
      <c r="L71" s="111">
        <f>+EOMONTH(K71,12)</f>
        <v>46203</v>
      </c>
      <c r="N71" s="86"/>
      <c r="O71" s="2"/>
    </row>
    <row r="72" spans="1:17" ht="13.15" x14ac:dyDescent="0.4">
      <c r="A72" s="1"/>
      <c r="D72" s="84"/>
      <c r="E72" s="84"/>
      <c r="F72" s="84"/>
      <c r="G72" s="85"/>
      <c r="H72" s="85"/>
      <c r="I72" s="85"/>
      <c r="J72" s="85"/>
      <c r="K72" s="85"/>
      <c r="L72" s="85"/>
      <c r="N72" s="32"/>
      <c r="O72" s="2"/>
    </row>
    <row r="73" spans="1:17" x14ac:dyDescent="0.35">
      <c r="A73" s="1"/>
      <c r="B73" s="2" t="s">
        <v>64</v>
      </c>
      <c r="D73" s="72">
        <v>275.83499999999998</v>
      </c>
      <c r="E73" s="72">
        <v>275.09300000000002</v>
      </c>
      <c r="F73" s="72">
        <v>279.04399999999998</v>
      </c>
      <c r="G73" s="104">
        <f>+F73*(1+G74)</f>
        <v>280.67255682466117</v>
      </c>
      <c r="H73" s="104">
        <f>+G73*(1+H74)</f>
        <v>282.31061823401564</v>
      </c>
      <c r="I73" s="104">
        <f>+H73*(1+I74)</f>
        <v>283.95823969872851</v>
      </c>
      <c r="J73" s="104">
        <f t="shared" ref="J73:L73" si="3">+I73*(1+J74)</f>
        <v>285.61547701320274</v>
      </c>
      <c r="K73" s="104">
        <f t="shared" si="3"/>
        <v>287.28238629746875</v>
      </c>
      <c r="L73" s="104">
        <f t="shared" si="3"/>
        <v>288.95902399908465</v>
      </c>
      <c r="N73" s="196">
        <f>+(L73/H73)^(0.25)-1</f>
        <v>5.8362008309127411E-3</v>
      </c>
      <c r="O73" s="2"/>
    </row>
    <row r="74" spans="1:17" x14ac:dyDescent="0.35">
      <c r="A74" s="1"/>
      <c r="B74" s="14" t="s">
        <v>57</v>
      </c>
      <c r="D74" s="121"/>
      <c r="E74" s="122">
        <f t="shared" ref="E74:F74" si="4">IFERROR(E73/D73-1,"N/A")</f>
        <v>-2.6900139576194748E-3</v>
      </c>
      <c r="F74" s="122">
        <f t="shared" si="4"/>
        <v>1.4362415619444846E-2</v>
      </c>
      <c r="G74" s="123">
        <f>+AVERAGE($E$74:$F$74)</f>
        <v>5.8362008309126856E-3</v>
      </c>
      <c r="H74" s="123">
        <f t="shared" ref="H74:L74" si="5">+AVERAGE($E$74:$F$74)</f>
        <v>5.8362008309126856E-3</v>
      </c>
      <c r="I74" s="123">
        <f t="shared" si="5"/>
        <v>5.8362008309126856E-3</v>
      </c>
      <c r="J74" s="123">
        <f t="shared" si="5"/>
        <v>5.8362008309126856E-3</v>
      </c>
      <c r="K74" s="123">
        <f t="shared" si="5"/>
        <v>5.8362008309126856E-3</v>
      </c>
      <c r="L74" s="123">
        <f t="shared" si="5"/>
        <v>5.8362008309126856E-3</v>
      </c>
      <c r="N74" s="197"/>
      <c r="O74" s="2"/>
    </row>
    <row r="75" spans="1:17" x14ac:dyDescent="0.35">
      <c r="A75" s="1"/>
      <c r="D75" s="40"/>
      <c r="E75" s="40"/>
      <c r="F75" s="40"/>
      <c r="G75" s="118"/>
      <c r="H75" s="118"/>
      <c r="I75" s="119"/>
      <c r="J75" s="119"/>
      <c r="K75" s="119"/>
      <c r="L75" s="119"/>
      <c r="N75" s="197"/>
      <c r="O75" s="2"/>
    </row>
    <row r="76" spans="1:17" x14ac:dyDescent="0.35">
      <c r="A76" s="1"/>
      <c r="B76" s="2" t="s">
        <v>65</v>
      </c>
      <c r="D76" s="72">
        <v>204.137</v>
      </c>
      <c r="E76" s="72">
        <v>241.21</v>
      </c>
      <c r="F76" s="72">
        <v>140.203</v>
      </c>
      <c r="G76" s="206">
        <f>+P35</f>
        <v>265.33100000000002</v>
      </c>
      <c r="H76" s="116">
        <f>+G76*(1+H77)</f>
        <v>313.51734624296432</v>
      </c>
      <c r="I76" s="116">
        <f>+H76*(1+I77)</f>
        <v>370.45473915686739</v>
      </c>
      <c r="J76" s="116">
        <f t="shared" ref="J76:L76" si="6">+I76*(1+J77)</f>
        <v>437.73244258526381</v>
      </c>
      <c r="K76" s="116">
        <f t="shared" si="6"/>
        <v>517.22834408260871</v>
      </c>
      <c r="L76" s="116">
        <f t="shared" si="6"/>
        <v>611.16137141314937</v>
      </c>
      <c r="N76" s="196">
        <f>+(L76/H76)^(0.25)-1</f>
        <v>0.18160842963304069</v>
      </c>
      <c r="O76" s="2"/>
    </row>
    <row r="77" spans="1:17" x14ac:dyDescent="0.35">
      <c r="A77" s="1"/>
      <c r="B77" s="14" t="s">
        <v>57</v>
      </c>
      <c r="D77" s="121"/>
      <c r="E77" s="122">
        <f t="shared" ref="E77:G77" si="7">IFERROR(E76/D76-1,"N/A")</f>
        <v>0.18160842963304069</v>
      </c>
      <c r="F77" s="122">
        <f t="shared" si="7"/>
        <v>-0.41875129555159407</v>
      </c>
      <c r="G77" s="122">
        <f t="shared" si="7"/>
        <v>0.89247733643359983</v>
      </c>
      <c r="H77" s="123">
        <f>+$P$36</f>
        <v>0.18160842963304069</v>
      </c>
      <c r="I77" s="123">
        <f>+$P$36</f>
        <v>0.18160842963304069</v>
      </c>
      <c r="J77" s="123">
        <f>+$P$36</f>
        <v>0.18160842963304069</v>
      </c>
      <c r="K77" s="123">
        <f>+$P$36</f>
        <v>0.18160842963304069</v>
      </c>
      <c r="L77" s="123">
        <f>+$P$36</f>
        <v>0.18160842963304069</v>
      </c>
      <c r="N77" s="197"/>
      <c r="O77" s="2"/>
    </row>
    <row r="78" spans="1:17" x14ac:dyDescent="0.35">
      <c r="A78" s="1"/>
      <c r="D78" s="40"/>
      <c r="E78" s="40"/>
      <c r="F78" s="40"/>
      <c r="G78" s="118"/>
      <c r="H78" s="118"/>
      <c r="I78" s="119"/>
      <c r="J78" s="119"/>
      <c r="K78" s="119"/>
      <c r="L78" s="119"/>
      <c r="N78" s="197"/>
      <c r="O78" s="2"/>
    </row>
    <row r="79" spans="1:17" x14ac:dyDescent="0.35">
      <c r="A79" s="1"/>
      <c r="B79" s="2" t="s">
        <v>59</v>
      </c>
      <c r="D79" s="72">
        <v>109.786</v>
      </c>
      <c r="E79" s="72">
        <v>110.819</v>
      </c>
      <c r="F79" s="72">
        <v>89.793999999999997</v>
      </c>
      <c r="G79" s="116">
        <f>+F79*(1+G80)</f>
        <v>4.4897000000000036</v>
      </c>
      <c r="H79" s="116">
        <f>+$P$38</f>
        <v>83.114249999999998</v>
      </c>
      <c r="I79" s="116">
        <f>+P39</f>
        <v>110.819</v>
      </c>
      <c r="J79" s="116">
        <f t="shared" ref="J79:L79" si="8">+I79*(1+J80)</f>
        <v>111.86171971836119</v>
      </c>
      <c r="K79" s="116">
        <f t="shared" si="8"/>
        <v>112.91425060999644</v>
      </c>
      <c r="L79" s="116">
        <f t="shared" si="8"/>
        <v>113.97668499033753</v>
      </c>
      <c r="N79" s="196">
        <f>+(L79/H79)^(0.25)-1</f>
        <v>8.214419174615073E-2</v>
      </c>
      <c r="O79" s="2"/>
    </row>
    <row r="80" spans="1:17" x14ac:dyDescent="0.35">
      <c r="A80" s="1"/>
      <c r="B80" s="14" t="s">
        <v>57</v>
      </c>
      <c r="D80" s="121"/>
      <c r="E80" s="122">
        <f t="shared" ref="E80:F80" si="9">IFERROR(E79/D79-1,"N/A")</f>
        <v>9.4092142896180508E-3</v>
      </c>
      <c r="F80" s="122">
        <f t="shared" si="9"/>
        <v>-0.18972378382768307</v>
      </c>
      <c r="G80" s="123">
        <f>+P37</f>
        <v>-0.95</v>
      </c>
      <c r="H80" s="122">
        <f>IFERROR(H79/G79-1,"N/A")</f>
        <v>17.512205715303903</v>
      </c>
      <c r="I80" s="122">
        <f>IFERROR(I79/H79-1,"N/A")</f>
        <v>0.33333333333333348</v>
      </c>
      <c r="J80" s="123">
        <f>+$P$40</f>
        <v>9.4092142896180508E-3</v>
      </c>
      <c r="K80" s="123">
        <f>+$P$40</f>
        <v>9.4092142896180508E-3</v>
      </c>
      <c r="L80" s="123">
        <f>+$P$40</f>
        <v>9.4092142896180508E-3</v>
      </c>
      <c r="N80" s="197"/>
      <c r="O80" s="2"/>
    </row>
    <row r="81" spans="1:23" x14ac:dyDescent="0.35">
      <c r="A81" s="1"/>
      <c r="D81" s="40"/>
      <c r="E81" s="40"/>
      <c r="F81" s="40"/>
      <c r="G81" s="41"/>
      <c r="H81" s="41"/>
      <c r="I81" s="41"/>
      <c r="J81" s="41"/>
      <c r="K81" s="41"/>
      <c r="L81" s="41"/>
      <c r="N81" s="197"/>
      <c r="O81" s="2"/>
    </row>
    <row r="82" spans="1:23" ht="13.15" x14ac:dyDescent="0.4">
      <c r="A82" s="1"/>
      <c r="B82" s="87" t="s">
        <v>58</v>
      </c>
      <c r="C82" s="87"/>
      <c r="D82" s="88">
        <f>+D79+D76+D73</f>
        <v>589.75800000000004</v>
      </c>
      <c r="E82" s="88">
        <f t="shared" ref="E82:G82" si="10">+E79+E76+E73</f>
        <v>627.12200000000007</v>
      </c>
      <c r="F82" s="88">
        <f t="shared" si="10"/>
        <v>509.041</v>
      </c>
      <c r="G82" s="88">
        <f t="shared" si="10"/>
        <v>550.49325682466122</v>
      </c>
      <c r="H82" s="88">
        <f>+H79+H76+H73</f>
        <v>678.94221447697987</v>
      </c>
      <c r="I82" s="88">
        <f>+I79+I76+I73</f>
        <v>765.23197885559591</v>
      </c>
      <c r="J82" s="88">
        <f t="shared" ref="J82:L82" si="11">+J79+J76+J73</f>
        <v>835.20963931682775</v>
      </c>
      <c r="K82" s="88">
        <f t="shared" si="11"/>
        <v>917.42498099007389</v>
      </c>
      <c r="L82" s="88">
        <f t="shared" si="11"/>
        <v>1014.0970804025715</v>
      </c>
      <c r="N82" s="196">
        <f>+(L82/H82)^(0.25)-1</f>
        <v>0.10550746609540318</v>
      </c>
      <c r="O82" s="2"/>
    </row>
    <row r="83" spans="1:23" x14ac:dyDescent="0.35">
      <c r="A83" s="1"/>
      <c r="B83" s="14" t="s">
        <v>14</v>
      </c>
      <c r="D83" s="14"/>
      <c r="E83" s="122">
        <f t="shared" ref="E83:G83" si="12">IFERROR(E82/D82-1,"N/A")</f>
        <v>6.335479976532743E-2</v>
      </c>
      <c r="F83" s="122">
        <f t="shared" si="12"/>
        <v>-0.18829031671668361</v>
      </c>
      <c r="G83" s="122">
        <f t="shared" si="12"/>
        <v>8.1432059155669645E-2</v>
      </c>
      <c r="H83" s="122">
        <f>IFERROR(H82/G82-1,"N/A")</f>
        <v>0.23333429803161287</v>
      </c>
      <c r="I83" s="122">
        <f>IFERROR(I82/H82-1,"N/A")</f>
        <v>0.12709441619429862</v>
      </c>
      <c r="J83" s="122">
        <f t="shared" ref="J83:L83" si="13">IFERROR(J82/I82-1,"N/A")</f>
        <v>9.1446335744989948E-2</v>
      </c>
      <c r="K83" s="122">
        <f t="shared" si="13"/>
        <v>9.8436773000483369E-2</v>
      </c>
      <c r="L83" s="122">
        <f t="shared" si="13"/>
        <v>0.10537330181283067</v>
      </c>
    </row>
    <row r="84" spans="1:23" x14ac:dyDescent="0.35">
      <c r="A84" s="1"/>
    </row>
    <row r="85" spans="1:23" x14ac:dyDescent="0.35">
      <c r="A85" s="1"/>
      <c r="B85" s="2" t="s">
        <v>15</v>
      </c>
      <c r="D85" s="30">
        <f t="shared" ref="D85:F85" si="14">D88-D82</f>
        <v>-412.95400000000006</v>
      </c>
      <c r="E85" s="30">
        <f t="shared" si="14"/>
        <v>-441.33300000000008</v>
      </c>
      <c r="F85" s="30">
        <f t="shared" si="14"/>
        <v>-376.90499999999997</v>
      </c>
      <c r="G85" s="30">
        <f>+-G82*G86</f>
        <v>-393.48787941101614</v>
      </c>
      <c r="H85" s="30">
        <f t="shared" ref="H85:L85" si="15">+-H82*H86</f>
        <v>-485.30209753733351</v>
      </c>
      <c r="I85" s="30">
        <f t="shared" si="15"/>
        <v>-546.98128430170948</v>
      </c>
      <c r="J85" s="30">
        <f t="shared" si="15"/>
        <v>-597.00071847218931</v>
      </c>
      <c r="K85" s="30">
        <f t="shared" si="15"/>
        <v>-655.76754267756178</v>
      </c>
      <c r="L85" s="30">
        <f t="shared" si="15"/>
        <v>-724.8679338711828</v>
      </c>
      <c r="M85" s="24"/>
    </row>
    <row r="86" spans="1:23" x14ac:dyDescent="0.35">
      <c r="A86" s="1"/>
      <c r="B86" s="14" t="s">
        <v>119</v>
      </c>
      <c r="D86" s="124">
        <f>+-D85/D82</f>
        <v>0.70020923836556692</v>
      </c>
      <c r="E86" s="124">
        <f>+-E85/E82</f>
        <v>0.70374345023775287</v>
      </c>
      <c r="F86" s="124">
        <f>+-F85/F82</f>
        <v>0.74042169491259047</v>
      </c>
      <c r="G86" s="124">
        <f>+AVERAGE($D$86:$F$86)</f>
        <v>0.71479146117197001</v>
      </c>
      <c r="H86" s="124">
        <f t="shared" ref="H86:L86" si="16">+AVERAGE($D$86:$F$86)</f>
        <v>0.71479146117197001</v>
      </c>
      <c r="I86" s="124">
        <f t="shared" si="16"/>
        <v>0.71479146117197001</v>
      </c>
      <c r="J86" s="124">
        <f t="shared" si="16"/>
        <v>0.71479146117197001</v>
      </c>
      <c r="K86" s="124">
        <f t="shared" si="16"/>
        <v>0.71479146117197001</v>
      </c>
      <c r="L86" s="124">
        <f t="shared" si="16"/>
        <v>0.71479146117197001</v>
      </c>
      <c r="M86" s="24"/>
    </row>
    <row r="87" spans="1:23" x14ac:dyDescent="0.35">
      <c r="A87" s="1"/>
      <c r="O87" s="2"/>
    </row>
    <row r="88" spans="1:23" ht="13.15" x14ac:dyDescent="0.4">
      <c r="A88" s="1"/>
      <c r="B88" s="76" t="s">
        <v>113</v>
      </c>
      <c r="C88" s="76"/>
      <c r="D88" s="89">
        <v>176.804</v>
      </c>
      <c r="E88" s="89">
        <v>185.78899999999999</v>
      </c>
      <c r="F88" s="89">
        <v>132.136</v>
      </c>
      <c r="G88" s="88">
        <f>+G82+G85+G91</f>
        <v>138.46237741364507</v>
      </c>
      <c r="H88" s="88">
        <f t="shared" ref="H88:L88" si="17">+H82+H85+H91</f>
        <v>175.09711693964636</v>
      </c>
      <c r="I88" s="88">
        <f t="shared" si="17"/>
        <v>199.70769455388643</v>
      </c>
      <c r="J88" s="88">
        <f t="shared" si="17"/>
        <v>219.66592084463844</v>
      </c>
      <c r="K88" s="88">
        <f t="shared" si="17"/>
        <v>243.11443831251211</v>
      </c>
      <c r="L88" s="88">
        <f t="shared" si="17"/>
        <v>270.68614653138866</v>
      </c>
      <c r="O88" s="2"/>
    </row>
    <row r="89" spans="1:23" x14ac:dyDescent="0.35">
      <c r="A89" s="1"/>
      <c r="B89" s="2" t="s">
        <v>16</v>
      </c>
      <c r="D89" s="27">
        <f>+D88/D82</f>
        <v>0.29979076163443308</v>
      </c>
      <c r="E89" s="27">
        <f t="shared" ref="E89:F89" si="18">+E88/E82</f>
        <v>0.29625654976224719</v>
      </c>
      <c r="F89" s="27">
        <f t="shared" si="18"/>
        <v>0.25957830508740948</v>
      </c>
      <c r="G89" s="117">
        <f>+G88/G82</f>
        <v>0.25152420251670227</v>
      </c>
      <c r="H89" s="117">
        <f t="shared" ref="H89:L89" si="19">+H88/H82</f>
        <v>0.2578969361546205</v>
      </c>
      <c r="I89" s="117">
        <f t="shared" si="19"/>
        <v>0.26097667122138463</v>
      </c>
      <c r="J89" s="117">
        <f t="shared" si="19"/>
        <v>0.263006927248011</v>
      </c>
      <c r="K89" s="117">
        <f t="shared" si="19"/>
        <v>0.26499653197817435</v>
      </c>
      <c r="L89" s="117">
        <f t="shared" si="19"/>
        <v>0.26692330720835222</v>
      </c>
      <c r="O89" s="2"/>
    </row>
    <row r="90" spans="1:23" x14ac:dyDescent="0.35">
      <c r="A90" s="1"/>
    </row>
    <row r="91" spans="1:23" x14ac:dyDescent="0.35">
      <c r="A91" s="1"/>
      <c r="B91" s="2" t="s">
        <v>102</v>
      </c>
      <c r="D91" s="72">
        <v>-10.755000000000001</v>
      </c>
      <c r="E91" s="72">
        <v>-12.85</v>
      </c>
      <c r="F91" s="72">
        <v>-18.542999999999999</v>
      </c>
      <c r="G91" s="113">
        <f>+$F$91</f>
        <v>-18.542999999999999</v>
      </c>
      <c r="H91" s="113">
        <f>+$F$91</f>
        <v>-18.542999999999999</v>
      </c>
      <c r="I91" s="113">
        <f t="shared" ref="I91:L91" si="20">+$F$91</f>
        <v>-18.542999999999999</v>
      </c>
      <c r="J91" s="113">
        <f t="shared" si="20"/>
        <v>-18.542999999999999</v>
      </c>
      <c r="K91" s="113">
        <f t="shared" si="20"/>
        <v>-18.542999999999999</v>
      </c>
      <c r="L91" s="113">
        <f t="shared" si="20"/>
        <v>-18.542999999999999</v>
      </c>
    </row>
    <row r="92" spans="1:23" x14ac:dyDescent="0.35">
      <c r="A92" s="1"/>
      <c r="B92" s="2" t="s">
        <v>66</v>
      </c>
      <c r="D92" s="72">
        <v>-1.917</v>
      </c>
      <c r="E92" s="72">
        <v>-19.599</v>
      </c>
      <c r="F92" s="72">
        <v>0</v>
      </c>
      <c r="G92" s="115">
        <f>+F92</f>
        <v>0</v>
      </c>
      <c r="H92" s="115">
        <f>+G92</f>
        <v>0</v>
      </c>
      <c r="I92" s="115">
        <f t="shared" ref="I92:L92" si="21">+H92</f>
        <v>0</v>
      </c>
      <c r="J92" s="115">
        <f t="shared" si="21"/>
        <v>0</v>
      </c>
      <c r="K92" s="115">
        <f t="shared" si="21"/>
        <v>0</v>
      </c>
      <c r="L92" s="115">
        <f t="shared" si="21"/>
        <v>0</v>
      </c>
      <c r="O92" s="50"/>
      <c r="P92" s="4"/>
      <c r="Q92" s="4"/>
      <c r="R92" s="4"/>
      <c r="S92" s="4"/>
    </row>
    <row r="93" spans="1:23" x14ac:dyDescent="0.35">
      <c r="A93" s="1"/>
      <c r="B93" s="2" t="s">
        <v>4</v>
      </c>
      <c r="D93" s="74"/>
      <c r="E93" s="74"/>
      <c r="F93" s="74"/>
      <c r="G93" s="74"/>
      <c r="H93" s="116">
        <f>+($G$58*$J$58+$H$58)/$J$34+($G$59*$J$59)/$J$35</f>
        <v>7.8769465675820616</v>
      </c>
      <c r="I93" s="116">
        <f>+($G$58*$J$58+$H$58)/$J$34+($G$59*$J$59)/$J$35</f>
        <v>7.8769465675820616</v>
      </c>
      <c r="J93" s="116">
        <f>+($G$58*$J$58+$H$58)/$J$34+($G$59*$J$59)/$J$35</f>
        <v>7.8769465675820616</v>
      </c>
      <c r="K93" s="116">
        <f>+($G$58*$J$58+$H$58)/$J$34+($G$59*$J$59)/$J$35</f>
        <v>7.8769465675820616</v>
      </c>
      <c r="L93" s="116">
        <f>+($G$58*$J$58+$H$58)/$J$34+($G$59*$J$59)/$J$35</f>
        <v>7.8769465675820616</v>
      </c>
      <c r="O93" s="50"/>
      <c r="P93" s="4"/>
      <c r="Q93" s="4"/>
      <c r="R93" s="4"/>
      <c r="S93" s="4"/>
    </row>
    <row r="94" spans="1:23" x14ac:dyDescent="0.35">
      <c r="A94" s="1"/>
      <c r="D94" s="24"/>
      <c r="E94" s="24"/>
      <c r="F94" s="24"/>
      <c r="G94" s="24"/>
      <c r="H94" s="51"/>
      <c r="I94" s="51"/>
      <c r="J94" s="51"/>
      <c r="K94" s="51"/>
      <c r="L94" s="51"/>
    </row>
    <row r="95" spans="1:23" s="4" customFormat="1" x14ac:dyDescent="0.35">
      <c r="A95" s="5"/>
      <c r="B95" s="4" t="s">
        <v>71</v>
      </c>
      <c r="D95" s="74"/>
      <c r="E95" s="74"/>
      <c r="F95" s="74"/>
      <c r="G95" s="74"/>
      <c r="H95" s="112">
        <f>+H82+H85</f>
        <v>193.64011693964636</v>
      </c>
      <c r="I95" s="112">
        <f t="shared" ref="I95:L95" si="22">+I82+I85</f>
        <v>218.25069455388643</v>
      </c>
      <c r="J95" s="112">
        <f t="shared" si="22"/>
        <v>238.20892084463844</v>
      </c>
      <c r="K95" s="112">
        <f t="shared" si="22"/>
        <v>261.65743831251211</v>
      </c>
      <c r="L95" s="112">
        <f t="shared" si="22"/>
        <v>289.22914653138866</v>
      </c>
      <c r="O95" s="17"/>
      <c r="P95" s="2"/>
      <c r="Q95" s="2"/>
      <c r="R95" s="2"/>
      <c r="S95" s="2"/>
      <c r="W95" s="2"/>
    </row>
    <row r="96" spans="1:23" s="4" customFormat="1" x14ac:dyDescent="0.35">
      <c r="A96" s="1"/>
      <c r="B96" s="2"/>
      <c r="C96" s="2"/>
      <c r="D96" s="24"/>
      <c r="E96" s="24"/>
      <c r="F96" s="24"/>
      <c r="G96" s="24"/>
      <c r="H96" s="130"/>
      <c r="I96" s="130"/>
      <c r="J96" s="130"/>
      <c r="K96" s="130"/>
      <c r="L96" s="130"/>
      <c r="M96" s="2"/>
      <c r="N96" s="2"/>
      <c r="O96" s="17"/>
      <c r="P96" s="2"/>
      <c r="Q96" s="2"/>
      <c r="R96" s="2"/>
      <c r="S96" s="2"/>
      <c r="W96" s="2"/>
    </row>
    <row r="97" spans="1:23" x14ac:dyDescent="0.35">
      <c r="A97" s="1"/>
      <c r="B97" s="2" t="s">
        <v>17</v>
      </c>
      <c r="D97" s="74"/>
      <c r="E97" s="74"/>
      <c r="F97" s="74"/>
      <c r="G97" s="74"/>
      <c r="H97" s="125">
        <f ca="1">+IF($N$97=1,-H147,0)</f>
        <v>-44.116142593077697</v>
      </c>
      <c r="I97" s="125">
        <f ca="1">+IF($N$97=1,-I147,0)</f>
        <v>-38.432605725244677</v>
      </c>
      <c r="J97" s="125">
        <f ca="1">+IF($N$97=1,-J147,0)</f>
        <v>-29.801052576230315</v>
      </c>
      <c r="K97" s="125">
        <f ca="1">+IF($N$97=1,-K147,0)</f>
        <v>-17.89776150004025</v>
      </c>
      <c r="L97" s="125">
        <f ca="1">+IF($N$97=1,-L147,0)</f>
        <v>-5.5815260208745876</v>
      </c>
      <c r="N97" s="147">
        <v>1</v>
      </c>
      <c r="O97" s="106" t="s">
        <v>31</v>
      </c>
      <c r="P97" s="4"/>
      <c r="Q97" s="4"/>
      <c r="R97" s="4"/>
      <c r="S97" s="4"/>
      <c r="W97" s="4"/>
    </row>
    <row r="98" spans="1:23" x14ac:dyDescent="0.35">
      <c r="A98" s="1"/>
      <c r="D98" s="24"/>
      <c r="E98" s="24"/>
      <c r="F98" s="24"/>
      <c r="G98" s="24"/>
      <c r="H98" s="24"/>
      <c r="I98" s="24"/>
      <c r="J98" s="24"/>
      <c r="K98" s="24"/>
      <c r="L98" s="24"/>
      <c r="O98" s="54"/>
      <c r="P98" s="53"/>
      <c r="Q98" s="53"/>
      <c r="R98" s="53"/>
      <c r="S98" s="53"/>
      <c r="W98" s="4"/>
    </row>
    <row r="99" spans="1:23" x14ac:dyDescent="0.35">
      <c r="A99" s="5"/>
      <c r="B99" s="4" t="s">
        <v>18</v>
      </c>
      <c r="C99" s="4"/>
      <c r="D99" s="74"/>
      <c r="E99" s="74"/>
      <c r="F99" s="74"/>
      <c r="G99" s="74"/>
      <c r="H99" s="51">
        <f ca="1">+H95+H97</f>
        <v>149.52397434656865</v>
      </c>
      <c r="I99" s="51">
        <f t="shared" ref="I99:L99" ca="1" si="23">+I95+I97</f>
        <v>179.81808882864175</v>
      </c>
      <c r="J99" s="51">
        <f t="shared" ca="1" si="23"/>
        <v>208.40786826840812</v>
      </c>
      <c r="K99" s="51">
        <f t="shared" ca="1" si="23"/>
        <v>243.75967681247187</v>
      </c>
      <c r="L99" s="51">
        <f t="shared" ca="1" si="23"/>
        <v>283.64762051051406</v>
      </c>
      <c r="M99" s="4"/>
      <c r="N99" s="4"/>
      <c r="O99" s="54"/>
      <c r="P99" s="53"/>
      <c r="Q99" s="53"/>
      <c r="R99" s="53"/>
      <c r="S99" s="53"/>
    </row>
    <row r="100" spans="1:23" s="4" customFormat="1" x14ac:dyDescent="0.35">
      <c r="A100" s="1"/>
      <c r="B100" s="2"/>
      <c r="C100" s="2"/>
      <c r="D100" s="24"/>
      <c r="E100" s="24"/>
      <c r="F100" s="24"/>
      <c r="G100" s="24"/>
      <c r="H100" s="24"/>
      <c r="I100" s="24"/>
      <c r="J100" s="24"/>
      <c r="K100" s="24"/>
      <c r="L100" s="24"/>
      <c r="M100" s="2"/>
      <c r="N100" s="2"/>
      <c r="O100" s="54"/>
      <c r="P100" s="53"/>
      <c r="Q100" s="53"/>
      <c r="R100" s="53"/>
      <c r="S100" s="53"/>
      <c r="W100" s="2"/>
    </row>
    <row r="101" spans="1:23" x14ac:dyDescent="0.35">
      <c r="A101" s="1"/>
      <c r="B101" s="2" t="s">
        <v>19</v>
      </c>
      <c r="C101" s="6">
        <v>0.4</v>
      </c>
      <c r="D101" s="74"/>
      <c r="E101" s="74"/>
      <c r="F101" s="74"/>
      <c r="G101" s="74"/>
      <c r="H101" s="51">
        <f ca="1">+H99*$C$101</f>
        <v>59.809589738627466</v>
      </c>
      <c r="I101" s="51">
        <f t="shared" ref="I101:L101" ca="1" si="24">+I99*$C$101</f>
        <v>71.927235531456702</v>
      </c>
      <c r="J101" s="51">
        <f t="shared" ca="1" si="24"/>
        <v>83.363147307363249</v>
      </c>
      <c r="K101" s="51">
        <f t="shared" ca="1" si="24"/>
        <v>97.503870724988758</v>
      </c>
      <c r="L101" s="51">
        <f t="shared" ca="1" si="24"/>
        <v>113.45904820420563</v>
      </c>
      <c r="M101" s="53"/>
      <c r="N101" s="53"/>
      <c r="O101" s="100"/>
      <c r="P101" s="55"/>
      <c r="Q101" s="55"/>
      <c r="R101" s="55"/>
      <c r="S101" s="55"/>
    </row>
    <row r="102" spans="1:23" x14ac:dyDescent="0.35">
      <c r="A102" s="1"/>
      <c r="D102" s="24"/>
      <c r="E102" s="24"/>
      <c r="F102" s="24"/>
      <c r="G102" s="24"/>
      <c r="H102" s="24"/>
      <c r="I102" s="24"/>
      <c r="J102" s="24"/>
      <c r="K102" s="24"/>
      <c r="L102" s="24"/>
      <c r="M102" s="53"/>
      <c r="N102" s="53"/>
      <c r="W102" s="4"/>
    </row>
    <row r="103" spans="1:23" ht="13.15" x14ac:dyDescent="0.4">
      <c r="A103" s="5"/>
      <c r="B103" s="87" t="s">
        <v>20</v>
      </c>
      <c r="C103" s="4"/>
      <c r="D103" s="74"/>
      <c r="E103" s="74"/>
      <c r="F103" s="74"/>
      <c r="G103" s="74"/>
      <c r="H103" s="51">
        <f ca="1">+H99-H101</f>
        <v>89.714384607941184</v>
      </c>
      <c r="I103" s="51">
        <f t="shared" ref="I103:L103" ca="1" si="25">+I99-I101</f>
        <v>107.89085329718505</v>
      </c>
      <c r="J103" s="51">
        <f t="shared" ca="1" si="25"/>
        <v>125.04472096104487</v>
      </c>
      <c r="K103" s="51">
        <f t="shared" ca="1" si="25"/>
        <v>146.25580608748311</v>
      </c>
      <c r="L103" s="51">
        <f t="shared" ca="1" si="25"/>
        <v>170.18857230630843</v>
      </c>
      <c r="M103" s="55"/>
      <c r="N103" s="55"/>
    </row>
    <row r="104" spans="1:23" s="4" customFormat="1" x14ac:dyDescent="0.35">
      <c r="A104" s="1"/>
      <c r="B104" s="2"/>
      <c r="C104" s="2"/>
      <c r="D104" s="24"/>
      <c r="E104" s="24"/>
      <c r="F104" s="24"/>
      <c r="G104" s="24"/>
      <c r="H104" s="51"/>
      <c r="I104" s="51"/>
      <c r="J104" s="51"/>
      <c r="K104" s="51"/>
      <c r="L104" s="51"/>
      <c r="M104" s="53"/>
      <c r="N104" s="53"/>
      <c r="O104" s="17"/>
      <c r="P104" s="2"/>
      <c r="Q104" s="2"/>
      <c r="R104" s="2"/>
      <c r="S104" s="2"/>
      <c r="W104" s="2"/>
    </row>
    <row r="105" spans="1:23" ht="13.15" x14ac:dyDescent="0.4">
      <c r="A105" s="1"/>
      <c r="O105" s="78"/>
      <c r="P105" s="76"/>
      <c r="Q105" s="76"/>
      <c r="R105" s="76"/>
      <c r="S105" s="76"/>
    </row>
    <row r="106" spans="1:23" ht="13.15" x14ac:dyDescent="0.4">
      <c r="A106" s="69" t="s">
        <v>56</v>
      </c>
      <c r="B106" s="31" t="s">
        <v>74</v>
      </c>
      <c r="C106" s="31"/>
      <c r="D106" s="31"/>
      <c r="E106" s="31"/>
      <c r="F106" s="31"/>
      <c r="G106" s="31"/>
      <c r="H106" s="31"/>
      <c r="I106" s="31"/>
      <c r="J106" s="31"/>
      <c r="K106" s="31"/>
      <c r="L106" s="31"/>
      <c r="W106" s="4"/>
    </row>
    <row r="107" spans="1:23" ht="13.15" x14ac:dyDescent="0.4">
      <c r="A107" s="75"/>
      <c r="B107" s="76"/>
      <c r="C107" s="76"/>
      <c r="D107" s="76"/>
      <c r="E107" s="76"/>
      <c r="F107" s="76"/>
      <c r="G107" s="76"/>
      <c r="H107" s="77">
        <f>H$69</f>
        <v>1</v>
      </c>
      <c r="I107" s="77">
        <f>I$69</f>
        <v>2</v>
      </c>
      <c r="J107" s="77">
        <f>J$69</f>
        <v>3</v>
      </c>
      <c r="K107" s="77">
        <f>K$69</f>
        <v>4</v>
      </c>
      <c r="L107" s="77">
        <f>L$69</f>
        <v>5</v>
      </c>
      <c r="M107" s="76"/>
      <c r="N107" s="76"/>
    </row>
    <row r="108" spans="1:23" s="76" customFormat="1" ht="13.15" x14ac:dyDescent="0.4">
      <c r="A108" s="1"/>
      <c r="B108" s="2" t="s">
        <v>20</v>
      </c>
      <c r="C108" s="2"/>
      <c r="D108" s="2"/>
      <c r="E108" s="2"/>
      <c r="F108" s="25"/>
      <c r="G108" s="25"/>
      <c r="H108" s="24">
        <f ca="1">+H103</f>
        <v>89.714384607941184</v>
      </c>
      <c r="I108" s="24">
        <f t="shared" ref="I108:L108" ca="1" si="26">+I103</f>
        <v>107.89085329718505</v>
      </c>
      <c r="J108" s="24">
        <f t="shared" ca="1" si="26"/>
        <v>125.04472096104487</v>
      </c>
      <c r="K108" s="24">
        <f t="shared" ca="1" si="26"/>
        <v>146.25580608748311</v>
      </c>
      <c r="L108" s="24">
        <f t="shared" ca="1" si="26"/>
        <v>170.18857230630843</v>
      </c>
      <c r="M108" s="2"/>
      <c r="N108" s="2"/>
      <c r="O108" s="17"/>
      <c r="P108" s="2"/>
      <c r="Q108" s="2"/>
      <c r="R108" s="2"/>
      <c r="S108" s="2"/>
      <c r="W108" s="2"/>
    </row>
    <row r="109" spans="1:23" x14ac:dyDescent="0.35">
      <c r="A109" s="1"/>
      <c r="B109" s="66" t="s">
        <v>75</v>
      </c>
      <c r="F109" s="25"/>
      <c r="G109" s="25"/>
      <c r="H109" s="24">
        <f>+-H91</f>
        <v>18.542999999999999</v>
      </c>
      <c r="I109" s="24">
        <f t="shared" ref="I109:L109" si="27">+-I91</f>
        <v>18.542999999999999</v>
      </c>
      <c r="J109" s="24">
        <f t="shared" si="27"/>
        <v>18.542999999999999</v>
      </c>
      <c r="K109" s="24">
        <f t="shared" si="27"/>
        <v>18.542999999999999</v>
      </c>
      <c r="L109" s="24">
        <f t="shared" si="27"/>
        <v>18.542999999999999</v>
      </c>
    </row>
    <row r="110" spans="1:23" ht="13.15" x14ac:dyDescent="0.4">
      <c r="A110" s="1"/>
      <c r="B110" s="66" t="s">
        <v>76</v>
      </c>
      <c r="F110" s="25"/>
      <c r="G110" s="25"/>
      <c r="H110" s="101">
        <f>+-G123</f>
        <v>-12.5</v>
      </c>
      <c r="I110" s="101">
        <f>+-H123</f>
        <v>-12.5</v>
      </c>
      <c r="J110" s="101">
        <f>+-I123</f>
        <v>-12.5</v>
      </c>
      <c r="K110" s="101">
        <f>+-J123</f>
        <v>-12.5</v>
      </c>
      <c r="L110" s="101">
        <f>+-K123</f>
        <v>-12.5</v>
      </c>
      <c r="W110" s="76"/>
    </row>
    <row r="111" spans="1:23" x14ac:dyDescent="0.35">
      <c r="A111" s="1"/>
      <c r="B111" s="66" t="s">
        <v>77</v>
      </c>
      <c r="F111" s="25"/>
      <c r="G111" s="25"/>
      <c r="H111" s="101">
        <f>+-H142</f>
        <v>-48.461832094775779</v>
      </c>
      <c r="I111" s="101">
        <f t="shared" ref="I111:L111" ca="1" si="28">+-I142</f>
        <v>-48.461832094775779</v>
      </c>
      <c r="J111" s="101">
        <f t="shared" ca="1" si="28"/>
        <v>-48.461832094775779</v>
      </c>
      <c r="K111" s="101">
        <f t="shared" ca="1" si="28"/>
        <v>-48.461832094775779</v>
      </c>
      <c r="L111" s="101">
        <f t="shared" ca="1" si="28"/>
        <v>-48.461832094775779</v>
      </c>
      <c r="O111" s="50"/>
      <c r="P111" s="4"/>
      <c r="Q111" s="4"/>
      <c r="R111" s="4"/>
      <c r="S111" s="4"/>
    </row>
    <row r="112" spans="1:23" x14ac:dyDescent="0.35">
      <c r="A112" s="1"/>
      <c r="B112" s="66" t="s">
        <v>106</v>
      </c>
      <c r="D112" s="43"/>
      <c r="E112" s="43"/>
      <c r="F112" s="43"/>
      <c r="G112" s="43"/>
      <c r="H112" s="101">
        <f>+H128</f>
        <v>-3.8534687295695598</v>
      </c>
      <c r="I112" s="101">
        <f t="shared" ref="I112:L112" si="29">+I128</f>
        <v>-2.5886929313584837</v>
      </c>
      <c r="J112" s="101">
        <f t="shared" si="29"/>
        <v>-2.0993298138369525</v>
      </c>
      <c r="K112" s="101">
        <f t="shared" si="29"/>
        <v>-2.466460250197386</v>
      </c>
      <c r="L112" s="101">
        <f t="shared" si="29"/>
        <v>-2.9001629823749262</v>
      </c>
      <c r="M112" s="53"/>
      <c r="N112" s="53"/>
    </row>
    <row r="113" spans="1:23" x14ac:dyDescent="0.35">
      <c r="A113" s="5"/>
      <c r="B113" s="4" t="s">
        <v>78</v>
      </c>
      <c r="C113" s="4"/>
      <c r="D113" s="4"/>
      <c r="E113" s="4"/>
      <c r="F113" s="68"/>
      <c r="G113" s="68"/>
      <c r="H113" s="42">
        <f ca="1">+H108+H109+H110-H111+H112</f>
        <v>140.36574797314742</v>
      </c>
      <c r="I113" s="42">
        <f ca="1">+I108+I109+I110-I111+I112</f>
        <v>159.80699246060234</v>
      </c>
      <c r="J113" s="42">
        <f ca="1">+J108+J109+J110-J111+J112</f>
        <v>177.45022324198371</v>
      </c>
      <c r="K113" s="42">
        <f ca="1">+K108+K109+K110-K111+K112</f>
        <v>198.29417793206153</v>
      </c>
      <c r="L113" s="42">
        <f ca="1">+L108+L109+L110-L111+L112</f>
        <v>221.7932414187093</v>
      </c>
      <c r="M113" s="114"/>
      <c r="N113" s="4"/>
    </row>
    <row r="114" spans="1:23" x14ac:dyDescent="0.35">
      <c r="A114" s="5"/>
      <c r="B114" s="66" t="s">
        <v>120</v>
      </c>
      <c r="C114" s="4"/>
      <c r="D114" s="4"/>
      <c r="E114" s="4"/>
      <c r="F114" s="68"/>
      <c r="G114" s="68"/>
      <c r="H114" s="71">
        <f>+-$E$115</f>
        <v>-15</v>
      </c>
      <c r="I114" s="71">
        <f>+-$E$115</f>
        <v>-15</v>
      </c>
      <c r="J114" s="71">
        <f>+-$E$115</f>
        <v>-15</v>
      </c>
      <c r="K114" s="71">
        <f>+-$E$115</f>
        <v>-15</v>
      </c>
      <c r="L114" s="71">
        <f>+-$E$115</f>
        <v>-15</v>
      </c>
      <c r="M114" s="4"/>
      <c r="N114" s="4"/>
    </row>
    <row r="115" spans="1:23" s="4" customFormat="1" x14ac:dyDescent="0.35">
      <c r="A115" s="1"/>
      <c r="B115" s="66" t="s">
        <v>79</v>
      </c>
      <c r="C115" s="2"/>
      <c r="D115" s="40" t="s">
        <v>32</v>
      </c>
      <c r="E115" s="47">
        <f>+C60</f>
        <v>15</v>
      </c>
      <c r="F115" s="2"/>
      <c r="G115" s="2"/>
      <c r="H115" s="101">
        <f ca="1">+-H136</f>
        <v>0</v>
      </c>
      <c r="I115" s="101">
        <f t="shared" ref="I115:L115" ca="1" si="30">+-I136</f>
        <v>0</v>
      </c>
      <c r="J115" s="101">
        <f t="shared" ca="1" si="30"/>
        <v>0</v>
      </c>
      <c r="K115" s="101">
        <f t="shared" ca="1" si="30"/>
        <v>0</v>
      </c>
      <c r="L115" s="101">
        <f t="shared" ca="1" si="30"/>
        <v>0</v>
      </c>
      <c r="M115" s="2"/>
      <c r="N115" s="2"/>
      <c r="O115" s="17"/>
      <c r="P115" s="2"/>
      <c r="Q115" s="2"/>
      <c r="R115" s="2"/>
      <c r="S115" s="2"/>
      <c r="W115" s="2"/>
    </row>
    <row r="116" spans="1:23" s="4" customFormat="1" x14ac:dyDescent="0.35">
      <c r="A116" s="1"/>
      <c r="B116" s="66" t="s">
        <v>121</v>
      </c>
      <c r="C116" s="2"/>
      <c r="D116" s="40"/>
      <c r="E116" s="47"/>
      <c r="F116" s="2"/>
      <c r="G116" s="2"/>
      <c r="H116" s="101">
        <f ca="1">+-H143</f>
        <v>-125.36574797314742</v>
      </c>
      <c r="I116" s="101">
        <f ca="1">+-I143</f>
        <v>-144.80699246060234</v>
      </c>
      <c r="J116" s="101">
        <f ca="1">+-J143</f>
        <v>-162.45022324197632</v>
      </c>
      <c r="K116" s="101">
        <f ca="1">+-K143</f>
        <v>-183.29417792951079</v>
      </c>
      <c r="L116" s="101">
        <f ca="1">+-L143</f>
        <v>-111.01033993021241</v>
      </c>
      <c r="M116" s="2"/>
      <c r="N116" s="2"/>
      <c r="O116" s="17"/>
      <c r="P116" s="2"/>
      <c r="Q116" s="2"/>
      <c r="R116" s="2"/>
      <c r="S116" s="2"/>
      <c r="W116" s="2"/>
    </row>
    <row r="117" spans="1:23" ht="13.15" x14ac:dyDescent="0.4">
      <c r="A117" s="1"/>
      <c r="B117" s="67" t="s">
        <v>80</v>
      </c>
      <c r="C117" s="87"/>
      <c r="D117" s="87"/>
      <c r="E117" s="87"/>
      <c r="F117" s="90"/>
      <c r="G117" s="90"/>
      <c r="H117" s="88">
        <f ca="1">+SUM(H113:H116)</f>
        <v>0</v>
      </c>
      <c r="I117" s="88">
        <f ca="1">+SUM(I113:I116)</f>
        <v>0</v>
      </c>
      <c r="J117" s="88">
        <f ca="1">+SUM(J113:J116)</f>
        <v>7.3896444519050419E-12</v>
      </c>
      <c r="K117" s="88">
        <f ca="1">+SUM(K113:K116)</f>
        <v>2.5507347345410381E-9</v>
      </c>
      <c r="L117" s="88">
        <f ca="1">+SUM(L113:L116)</f>
        <v>95.78290148849689</v>
      </c>
    </row>
    <row r="118" spans="1:23" x14ac:dyDescent="0.35">
      <c r="A118" s="1"/>
      <c r="W118" s="4"/>
    </row>
    <row r="119" spans="1:23" x14ac:dyDescent="0.35">
      <c r="A119" s="1"/>
      <c r="B119" s="2" t="s">
        <v>21</v>
      </c>
      <c r="H119" s="24">
        <f>+G121</f>
        <v>15</v>
      </c>
      <c r="I119" s="24">
        <f t="shared" ref="I119:L119" ca="1" si="31">+H121</f>
        <v>15</v>
      </c>
      <c r="J119" s="24">
        <f t="shared" ca="1" si="31"/>
        <v>15.000000000000568</v>
      </c>
      <c r="K119" s="24">
        <f t="shared" ca="1" si="31"/>
        <v>15.000000000376758</v>
      </c>
      <c r="L119" s="24">
        <f t="shared" ca="1" si="31"/>
        <v>15.000000113435391</v>
      </c>
    </row>
    <row r="120" spans="1:23" x14ac:dyDescent="0.35">
      <c r="A120" s="1"/>
      <c r="B120" s="2" t="s">
        <v>81</v>
      </c>
      <c r="H120" s="126">
        <f ca="1">+H117</f>
        <v>0</v>
      </c>
      <c r="I120" s="126">
        <f t="shared" ref="I120:L120" ca="1" si="32">+I117</f>
        <v>0</v>
      </c>
      <c r="J120" s="126">
        <f t="shared" ca="1" si="32"/>
        <v>7.3896444519050419E-12</v>
      </c>
      <c r="K120" s="126">
        <f t="shared" ca="1" si="32"/>
        <v>2.5507347345410381E-9</v>
      </c>
      <c r="L120" s="126">
        <f t="shared" ca="1" si="32"/>
        <v>95.78290148849689</v>
      </c>
    </row>
    <row r="121" spans="1:23" x14ac:dyDescent="0.35">
      <c r="A121" s="1"/>
      <c r="B121" s="2" t="s">
        <v>22</v>
      </c>
      <c r="G121" s="137">
        <f>+C60</f>
        <v>15</v>
      </c>
      <c r="H121" s="127">
        <f ca="1">+H119+H120</f>
        <v>15</v>
      </c>
      <c r="I121" s="127">
        <f t="shared" ref="I121:L121" ca="1" si="33">+I119+I120</f>
        <v>15</v>
      </c>
      <c r="J121" s="127">
        <f t="shared" ca="1" si="33"/>
        <v>15.000000000007958</v>
      </c>
      <c r="K121" s="127">
        <f t="shared" ca="1" si="33"/>
        <v>15.000000002927493</v>
      </c>
      <c r="L121" s="127">
        <f t="shared" ca="1" si="33"/>
        <v>110.78290160193228</v>
      </c>
    </row>
    <row r="122" spans="1:23" x14ac:dyDescent="0.35">
      <c r="A122" s="1"/>
    </row>
    <row r="123" spans="1:23" x14ac:dyDescent="0.35">
      <c r="A123" s="1"/>
      <c r="B123" s="2" t="s">
        <v>67</v>
      </c>
      <c r="D123" s="73">
        <v>13.26</v>
      </c>
      <c r="E123" s="73">
        <v>13.737</v>
      </c>
      <c r="F123" s="73">
        <v>21.190999999999999</v>
      </c>
      <c r="G123" s="73">
        <v>12.5</v>
      </c>
      <c r="H123" s="104">
        <f>+$G$123</f>
        <v>12.5</v>
      </c>
      <c r="I123" s="104">
        <f t="shared" ref="I123:L123" si="34">+$G$123</f>
        <v>12.5</v>
      </c>
      <c r="J123" s="104">
        <f t="shared" si="34"/>
        <v>12.5</v>
      </c>
      <c r="K123" s="104">
        <f t="shared" si="34"/>
        <v>12.5</v>
      </c>
      <c r="L123" s="104">
        <f t="shared" si="34"/>
        <v>12.5</v>
      </c>
      <c r="M123" s="2" t="s">
        <v>154</v>
      </c>
    </row>
    <row r="124" spans="1:23" x14ac:dyDescent="0.35">
      <c r="A124" s="1"/>
      <c r="D124" s="73"/>
      <c r="E124" s="73"/>
      <c r="F124" s="73"/>
      <c r="G124" s="73"/>
      <c r="H124" s="73"/>
      <c r="I124" s="73"/>
      <c r="J124" s="73"/>
      <c r="K124" s="73"/>
      <c r="L124" s="73"/>
    </row>
    <row r="125" spans="1:23" ht="13.15" x14ac:dyDescent="0.4">
      <c r="A125" s="1"/>
      <c r="B125" s="76" t="s">
        <v>103</v>
      </c>
      <c r="G125" s="24">
        <f>+G82*G126</f>
        <v>16.514797704739834</v>
      </c>
      <c r="H125" s="24">
        <f>+H82*H126</f>
        <v>20.368266434309394</v>
      </c>
      <c r="I125" s="24">
        <f t="shared" ref="I125:L125" si="35">+I82*I126</f>
        <v>22.956959365667878</v>
      </c>
      <c r="J125" s="24">
        <f t="shared" si="35"/>
        <v>25.05628917950483</v>
      </c>
      <c r="K125" s="24">
        <f t="shared" si="35"/>
        <v>27.522749429702216</v>
      </c>
      <c r="L125" s="24">
        <f t="shared" si="35"/>
        <v>30.422912412077142</v>
      </c>
    </row>
    <row r="126" spans="1:23" x14ac:dyDescent="0.35">
      <c r="A126" s="1"/>
      <c r="B126" s="110" t="s">
        <v>104</v>
      </c>
      <c r="G126" s="70">
        <v>0.03</v>
      </c>
      <c r="H126" s="70">
        <v>0.03</v>
      </c>
      <c r="I126" s="70">
        <v>0.03</v>
      </c>
      <c r="J126" s="70">
        <v>0.03</v>
      </c>
      <c r="K126" s="70">
        <v>0.03</v>
      </c>
      <c r="L126" s="70">
        <v>0.03</v>
      </c>
    </row>
    <row r="127" spans="1:23" x14ac:dyDescent="0.35">
      <c r="A127" s="1"/>
    </row>
    <row r="128" spans="1:23" x14ac:dyDescent="0.35">
      <c r="A128" s="1"/>
      <c r="B128" s="2" t="s">
        <v>105</v>
      </c>
      <c r="G128" s="53"/>
      <c r="H128" s="101">
        <f>+G125-H125</f>
        <v>-3.8534687295695598</v>
      </c>
      <c r="I128" s="101">
        <f t="shared" ref="I128:L128" si="36">+H125-I125</f>
        <v>-2.5886929313584837</v>
      </c>
      <c r="J128" s="101">
        <f t="shared" si="36"/>
        <v>-2.0993298138369525</v>
      </c>
      <c r="K128" s="101">
        <f t="shared" si="36"/>
        <v>-2.466460250197386</v>
      </c>
      <c r="L128" s="101">
        <f t="shared" si="36"/>
        <v>-2.9001629823749262</v>
      </c>
    </row>
    <row r="129" spans="1:23" ht="13.15" x14ac:dyDescent="0.4">
      <c r="A129" s="1"/>
      <c r="O129" s="76"/>
      <c r="P129" s="76"/>
      <c r="Q129" s="76"/>
      <c r="R129" s="76"/>
      <c r="S129" s="76"/>
    </row>
    <row r="130" spans="1:23" ht="13.15" x14ac:dyDescent="0.4">
      <c r="A130" s="69" t="s">
        <v>56</v>
      </c>
      <c r="B130" s="31" t="s">
        <v>23</v>
      </c>
      <c r="C130" s="31"/>
      <c r="D130" s="31"/>
      <c r="E130" s="31"/>
      <c r="F130" s="31"/>
      <c r="G130" s="31"/>
      <c r="H130" s="31"/>
      <c r="I130" s="31"/>
      <c r="J130" s="31"/>
      <c r="K130" s="31"/>
      <c r="L130" s="31"/>
      <c r="O130" s="2"/>
    </row>
    <row r="131" spans="1:23" ht="13.15" x14ac:dyDescent="0.4">
      <c r="A131" s="75"/>
      <c r="B131" s="76"/>
      <c r="C131" s="76"/>
      <c r="D131" s="76"/>
      <c r="E131" s="76"/>
      <c r="F131" s="76"/>
      <c r="G131" s="76"/>
      <c r="H131" s="77">
        <f>H$69</f>
        <v>1</v>
      </c>
      <c r="I131" s="77">
        <f>I$69</f>
        <v>2</v>
      </c>
      <c r="J131" s="77">
        <f>J$69</f>
        <v>3</v>
      </c>
      <c r="K131" s="77">
        <f>K$69</f>
        <v>4</v>
      </c>
      <c r="L131" s="77">
        <f>L$69</f>
        <v>5</v>
      </c>
      <c r="M131" s="76"/>
      <c r="N131" s="76"/>
      <c r="O131" s="2"/>
    </row>
    <row r="132" spans="1:23" s="76" customFormat="1" ht="13.15" x14ac:dyDescent="0.4">
      <c r="A132" s="1"/>
      <c r="B132" s="2" t="s">
        <v>24</v>
      </c>
      <c r="C132" s="2"/>
      <c r="D132" s="2"/>
      <c r="E132" s="2"/>
      <c r="F132" s="2"/>
      <c r="G132" s="2"/>
      <c r="H132" s="6">
        <v>0.01</v>
      </c>
      <c r="I132" s="11">
        <f>H132+0.005</f>
        <v>1.4999999999999999E-2</v>
      </c>
      <c r="J132" s="11">
        <f t="shared" ref="J132:K132" si="37">I132+0.005</f>
        <v>0.02</v>
      </c>
      <c r="K132" s="11">
        <f t="shared" si="37"/>
        <v>2.5000000000000001E-2</v>
      </c>
      <c r="L132" s="11">
        <f>K132+0.005</f>
        <v>3.0000000000000002E-2</v>
      </c>
      <c r="M132" s="2"/>
      <c r="N132" s="2"/>
      <c r="O132" s="17"/>
      <c r="P132" s="2"/>
      <c r="Q132" s="2"/>
      <c r="R132" s="2"/>
      <c r="S132" s="2"/>
      <c r="W132" s="2"/>
    </row>
    <row r="133" spans="1:23" x14ac:dyDescent="0.35">
      <c r="A133" s="1"/>
    </row>
    <row r="134" spans="1:23" ht="13.15" x14ac:dyDescent="0.4">
      <c r="A134" s="1"/>
      <c r="B134" s="75" t="str">
        <f>+F58</f>
        <v>Revolver</v>
      </c>
      <c r="W134" s="76"/>
    </row>
    <row r="135" spans="1:23" x14ac:dyDescent="0.35">
      <c r="A135" s="1"/>
      <c r="B135" s="110" t="s">
        <v>25</v>
      </c>
      <c r="H135" s="65">
        <f>+G137</f>
        <v>0</v>
      </c>
      <c r="I135" s="65">
        <f t="shared" ref="I135:L135" ca="1" si="38">+H137</f>
        <v>0</v>
      </c>
      <c r="J135" s="65">
        <f t="shared" ca="1" si="38"/>
        <v>0</v>
      </c>
      <c r="K135" s="65">
        <f t="shared" ca="1" si="38"/>
        <v>0</v>
      </c>
      <c r="L135" s="65">
        <f t="shared" ca="1" si="38"/>
        <v>0</v>
      </c>
    </row>
    <row r="136" spans="1:23" x14ac:dyDescent="0.35">
      <c r="A136" s="1"/>
      <c r="B136" s="110" t="s">
        <v>26</v>
      </c>
      <c r="H136" s="126">
        <f ca="1">+MIN(H135,H113)</f>
        <v>0</v>
      </c>
      <c r="I136" s="126">
        <f t="shared" ref="I136:L136" ca="1" si="39">+MIN(I135,I113)</f>
        <v>0</v>
      </c>
      <c r="J136" s="126">
        <f t="shared" ca="1" si="39"/>
        <v>0</v>
      </c>
      <c r="K136" s="126">
        <f t="shared" ca="1" si="39"/>
        <v>0</v>
      </c>
      <c r="L136" s="126">
        <f t="shared" ca="1" si="39"/>
        <v>0</v>
      </c>
    </row>
    <row r="137" spans="1:23" x14ac:dyDescent="0.35">
      <c r="A137" s="1"/>
      <c r="B137" s="110" t="s">
        <v>27</v>
      </c>
      <c r="G137" s="132">
        <f>+J58</f>
        <v>0</v>
      </c>
      <c r="H137" s="42">
        <f ca="1">+H135-H136</f>
        <v>0</v>
      </c>
      <c r="I137" s="42">
        <f t="shared" ref="I137:L137" ca="1" si="40">+I135-I136</f>
        <v>0</v>
      </c>
      <c r="J137" s="42">
        <f t="shared" ca="1" si="40"/>
        <v>0</v>
      </c>
      <c r="K137" s="42">
        <f t="shared" ca="1" si="40"/>
        <v>0</v>
      </c>
      <c r="L137" s="42">
        <f t="shared" ca="1" si="40"/>
        <v>0</v>
      </c>
      <c r="M137" s="14"/>
    </row>
    <row r="138" spans="1:23" x14ac:dyDescent="0.35">
      <c r="A138" s="1"/>
      <c r="B138" s="110" t="s">
        <v>28</v>
      </c>
      <c r="E138" s="12">
        <f>$I$58</f>
        <v>0.04</v>
      </c>
      <c r="H138" s="128">
        <f ca="1">+($E138+H$132)*AVERAGE(H135,H137)</f>
        <v>0</v>
      </c>
      <c r="I138" s="128">
        <f t="shared" ref="I138:L138" ca="1" si="41">+($E138+I$132)*AVERAGE(I135,I137)</f>
        <v>0</v>
      </c>
      <c r="J138" s="128">
        <f t="shared" ca="1" si="41"/>
        <v>0</v>
      </c>
      <c r="K138" s="128">
        <f t="shared" ca="1" si="41"/>
        <v>0</v>
      </c>
      <c r="L138" s="128">
        <f t="shared" ca="1" si="41"/>
        <v>0</v>
      </c>
      <c r="M138" s="53"/>
    </row>
    <row r="139" spans="1:23" x14ac:dyDescent="0.35">
      <c r="A139" s="1"/>
    </row>
    <row r="140" spans="1:23" ht="13.15" x14ac:dyDescent="0.4">
      <c r="A140" s="1"/>
      <c r="B140" s="75" t="str">
        <f>+F59</f>
        <v>Term Loan</v>
      </c>
    </row>
    <row r="141" spans="1:23" x14ac:dyDescent="0.35">
      <c r="A141" s="1"/>
      <c r="B141" s="110" t="s">
        <v>25</v>
      </c>
      <c r="G141" s="24"/>
      <c r="H141" s="65">
        <f>+G144</f>
        <v>969.2366418955155</v>
      </c>
      <c r="I141" s="65">
        <f t="shared" ref="I141:L141" ca="1" si="42">+H144</f>
        <v>795.40906182759227</v>
      </c>
      <c r="J141" s="65">
        <f t="shared" ca="1" si="42"/>
        <v>602.14023727221411</v>
      </c>
      <c r="K141" s="65">
        <f t="shared" ca="1" si="42"/>
        <v>391.22818193546254</v>
      </c>
      <c r="L141" s="65">
        <f t="shared" ca="1" si="42"/>
        <v>159.47217191155283</v>
      </c>
    </row>
    <row r="142" spans="1:23" x14ac:dyDescent="0.35">
      <c r="A142" s="1"/>
      <c r="B142" s="110" t="s">
        <v>29</v>
      </c>
      <c r="E142" s="6">
        <v>0.05</v>
      </c>
      <c r="F142" s="55"/>
      <c r="H142" s="24">
        <f>+MIN($E$142*$G$144,H141)</f>
        <v>48.461832094775779</v>
      </c>
      <c r="I142" s="24">
        <f ca="1">+MIN($E$142*$G$144,I141)</f>
        <v>48.461832094775779</v>
      </c>
      <c r="J142" s="24">
        <f ca="1">+MIN($E$142*$G$144,J141)</f>
        <v>48.461832094775779</v>
      </c>
      <c r="K142" s="24">
        <f ca="1">+MIN($E$142*$G$144,K141)</f>
        <v>48.461832094775779</v>
      </c>
      <c r="L142" s="24">
        <f ca="1">+MIN($E$142*$G$144,L141)</f>
        <v>48.461832094775779</v>
      </c>
      <c r="N142" s="17"/>
    </row>
    <row r="143" spans="1:23" x14ac:dyDescent="0.35">
      <c r="A143" s="1"/>
      <c r="B143" s="110" t="s">
        <v>122</v>
      </c>
      <c r="C143" s="55" t="s">
        <v>123</v>
      </c>
      <c r="E143" s="6">
        <f>+I37</f>
        <v>1</v>
      </c>
      <c r="F143" s="55"/>
      <c r="H143" s="24">
        <f ca="1">+MIN(H141-H142,$E$143*SUM(H113:H115))</f>
        <v>125.36574797314742</v>
      </c>
      <c r="I143" s="24">
        <f ca="1">+MIN(I141-I142,$E$143*SUM(I113:I115))</f>
        <v>144.80699246060234</v>
      </c>
      <c r="J143" s="24">
        <f ca="1">+MIN(J141-J142,$E$143*SUM(J113:J115))</f>
        <v>162.45022324198371</v>
      </c>
      <c r="K143" s="24">
        <f ca="1">+MIN(K141-K142,$E$143*SUM(K113:K115))</f>
        <v>183.29417793206153</v>
      </c>
      <c r="L143" s="24">
        <f ca="1">+MIN(L141-L142,$E$143*SUM(L113:L115))</f>
        <v>111.01033981677705</v>
      </c>
      <c r="N143" s="17"/>
    </row>
    <row r="144" spans="1:23" x14ac:dyDescent="0.35">
      <c r="A144" s="1"/>
      <c r="B144" s="110" t="s">
        <v>27</v>
      </c>
      <c r="G144" s="129">
        <f>+$J$59</f>
        <v>969.2366418955155</v>
      </c>
      <c r="H144" s="42">
        <f ca="1">+H141-H142-H143</f>
        <v>795.40906182759227</v>
      </c>
      <c r="I144" s="42">
        <f ca="1">+I141-I142-I143</f>
        <v>602.14023727221411</v>
      </c>
      <c r="J144" s="42">
        <f ca="1">+J141-J142-J143</f>
        <v>391.22818193545459</v>
      </c>
      <c r="K144" s="42">
        <f ca="1">+K141-K142-K143</f>
        <v>159.47217190862523</v>
      </c>
      <c r="L144" s="42">
        <f ca="1">+L141-L142-L143</f>
        <v>0</v>
      </c>
      <c r="M144" s="14"/>
    </row>
    <row r="145" spans="1:24" x14ac:dyDescent="0.35">
      <c r="A145" s="1"/>
      <c r="B145" s="110" t="s">
        <v>28</v>
      </c>
      <c r="E145" s="12">
        <f>$I$59</f>
        <v>0.04</v>
      </c>
      <c r="G145" s="24"/>
      <c r="H145" s="128">
        <f ca="1">+($E145+H$132)*AVERAGE(H141,H144)</f>
        <v>44.116142593077697</v>
      </c>
      <c r="I145" s="128">
        <f t="shared" ref="I145:L145" ca="1" si="43">+($E145+I$132)*AVERAGE(I141,I144)</f>
        <v>38.432605725244677</v>
      </c>
      <c r="J145" s="128">
        <f t="shared" ca="1" si="43"/>
        <v>29.80105257623006</v>
      </c>
      <c r="K145" s="128">
        <f t="shared" ca="1" si="43"/>
        <v>17.897761499932852</v>
      </c>
      <c r="L145" s="128">
        <f t="shared" ca="1" si="43"/>
        <v>5.5815260169043501</v>
      </c>
      <c r="O145" s="50"/>
      <c r="P145" s="4"/>
      <c r="Q145" s="4"/>
      <c r="R145" s="4"/>
      <c r="S145" s="4"/>
    </row>
    <row r="146" spans="1:24" x14ac:dyDescent="0.35">
      <c r="A146" s="1"/>
      <c r="G146" s="24"/>
      <c r="H146" s="24"/>
      <c r="I146" s="24"/>
      <c r="J146" s="24"/>
      <c r="K146" s="24"/>
      <c r="L146" s="24"/>
    </row>
    <row r="147" spans="1:24" ht="13.15" x14ac:dyDescent="0.4">
      <c r="A147" s="5"/>
      <c r="B147" s="87" t="s">
        <v>30</v>
      </c>
      <c r="C147" s="4"/>
      <c r="D147" s="4"/>
      <c r="E147" s="4"/>
      <c r="F147" s="4"/>
      <c r="G147" s="71"/>
      <c r="H147" s="71">
        <f ca="1">+H138+H145</f>
        <v>44.116142593077697</v>
      </c>
      <c r="I147" s="71">
        <f ca="1">+I138+I145</f>
        <v>38.432605725244677</v>
      </c>
      <c r="J147" s="71">
        <f ca="1">+J138+J145</f>
        <v>29.80105257623006</v>
      </c>
      <c r="K147" s="71">
        <f ca="1">+K138+K145</f>
        <v>17.897761499932852</v>
      </c>
      <c r="L147" s="71">
        <f ca="1">+L138+L145</f>
        <v>5.5815260169043501</v>
      </c>
      <c r="M147" s="4"/>
      <c r="N147" s="4"/>
    </row>
    <row r="148" spans="1:24" s="4" customFormat="1" x14ac:dyDescent="0.35">
      <c r="A148" s="1"/>
      <c r="B148" s="2"/>
      <c r="C148" s="2"/>
      <c r="D148" s="2"/>
      <c r="E148" s="2"/>
      <c r="F148" s="2"/>
      <c r="G148" s="2"/>
      <c r="H148" s="2"/>
      <c r="I148" s="2"/>
      <c r="J148" s="2"/>
      <c r="K148" s="2"/>
      <c r="L148" s="2"/>
      <c r="M148" s="2"/>
      <c r="N148" s="2"/>
      <c r="O148" s="17"/>
      <c r="P148" s="2"/>
      <c r="Q148" s="2"/>
      <c r="R148" s="2"/>
      <c r="S148" s="2"/>
      <c r="W148" s="2"/>
    </row>
    <row r="149" spans="1:24" ht="13.15" x14ac:dyDescent="0.4">
      <c r="A149" s="69" t="s">
        <v>56</v>
      </c>
      <c r="B149" s="31" t="s">
        <v>33</v>
      </c>
      <c r="C149" s="31"/>
      <c r="D149" s="31"/>
      <c r="E149" s="31"/>
      <c r="F149" s="31"/>
      <c r="G149" s="31"/>
      <c r="H149" s="31"/>
      <c r="I149" s="31"/>
      <c r="J149" s="31"/>
      <c r="K149" s="31"/>
      <c r="L149" s="31"/>
    </row>
    <row r="150" spans="1:24" ht="13.15" x14ac:dyDescent="0.4">
      <c r="A150" s="76"/>
      <c r="B150" s="76"/>
      <c r="C150" s="76"/>
      <c r="D150" s="76"/>
      <c r="E150" s="76"/>
      <c r="F150" s="76"/>
      <c r="G150" s="77">
        <f t="shared" ref="G150:L150" si="44">G$69</f>
        <v>0</v>
      </c>
      <c r="H150" s="77">
        <f>H$69</f>
        <v>1</v>
      </c>
      <c r="I150" s="77">
        <f>I$69</f>
        <v>2</v>
      </c>
      <c r="J150" s="77">
        <f>J$69</f>
        <v>3</v>
      </c>
      <c r="K150" s="77">
        <f>K$69</f>
        <v>4</v>
      </c>
      <c r="L150" s="77">
        <f t="shared" si="44"/>
        <v>5</v>
      </c>
      <c r="M150" s="76"/>
      <c r="N150" s="76"/>
      <c r="W150" s="4"/>
    </row>
    <row r="151" spans="1:24" ht="13.15" x14ac:dyDescent="0.4">
      <c r="B151" s="2" t="s">
        <v>108</v>
      </c>
      <c r="F151" s="24"/>
      <c r="G151" s="104">
        <f>+G137+G144</f>
        <v>969.2366418955155</v>
      </c>
      <c r="H151" s="104">
        <f t="shared" ref="H151:L151" ca="1" si="45">+H137+H144</f>
        <v>795.40906182759227</v>
      </c>
      <c r="I151" s="104">
        <f t="shared" ca="1" si="45"/>
        <v>602.14023727221411</v>
      </c>
      <c r="J151" s="104">
        <f t="shared" ca="1" si="45"/>
        <v>391.22818193545459</v>
      </c>
      <c r="K151" s="104">
        <f t="shared" ca="1" si="45"/>
        <v>159.47217190862523</v>
      </c>
      <c r="L151" s="104">
        <f t="shared" ca="1" si="45"/>
        <v>0</v>
      </c>
      <c r="O151" s="78"/>
      <c r="P151" s="76"/>
      <c r="Q151" s="76"/>
      <c r="R151" s="76"/>
      <c r="S151" s="76"/>
    </row>
    <row r="152" spans="1:24" x14ac:dyDescent="0.35">
      <c r="B152" s="2" t="s">
        <v>109</v>
      </c>
      <c r="F152" s="24"/>
      <c r="G152" s="104">
        <f>+G151-G121</f>
        <v>954.2366418955155</v>
      </c>
      <c r="H152" s="104">
        <f t="shared" ref="H152:L152" ca="1" si="46">+H151-H121</f>
        <v>780.40906182759227</v>
      </c>
      <c r="I152" s="104">
        <f t="shared" ca="1" si="46"/>
        <v>587.14023727221411</v>
      </c>
      <c r="J152" s="104">
        <f t="shared" ca="1" si="46"/>
        <v>376.22818193544663</v>
      </c>
      <c r="K152" s="104">
        <f t="shared" ca="1" si="46"/>
        <v>144.47217190569773</v>
      </c>
      <c r="L152" s="104">
        <f t="shared" ca="1" si="46"/>
        <v>-110.78290160193228</v>
      </c>
    </row>
    <row r="153" spans="1:24" ht="13.15" x14ac:dyDescent="0.4">
      <c r="A153" s="76"/>
      <c r="B153" s="76"/>
      <c r="C153" s="76"/>
      <c r="D153" s="76"/>
      <c r="E153" s="76"/>
      <c r="F153" s="76"/>
      <c r="G153" s="103"/>
      <c r="H153" s="103"/>
      <c r="I153" s="103"/>
      <c r="J153" s="103"/>
      <c r="K153" s="103"/>
      <c r="L153" s="103"/>
      <c r="M153" s="76"/>
      <c r="N153" s="76"/>
    </row>
    <row r="154" spans="1:24" s="76" customFormat="1" ht="13.15" x14ac:dyDescent="0.4">
      <c r="A154" s="2"/>
      <c r="B154" s="2" t="s">
        <v>34</v>
      </c>
      <c r="C154" s="2"/>
      <c r="D154" s="2"/>
      <c r="E154" s="2"/>
      <c r="F154" s="13"/>
      <c r="G154" s="13">
        <f>+G151/G88</f>
        <v>7</v>
      </c>
      <c r="H154" s="13">
        <f t="shared" ref="H154:L154" ca="1" si="47">+H151/H88</f>
        <v>4.5426736643628418</v>
      </c>
      <c r="I154" s="13">
        <f t="shared" ca="1" si="47"/>
        <v>3.0151078485848761</v>
      </c>
      <c r="J154" s="13">
        <f t="shared" ca="1" si="47"/>
        <v>1.7810144624671014</v>
      </c>
      <c r="K154" s="13">
        <f t="shared" ca="1" si="47"/>
        <v>0.65595516669245002</v>
      </c>
      <c r="L154" s="13">
        <f t="shared" ca="1" si="47"/>
        <v>0</v>
      </c>
      <c r="M154" s="2"/>
      <c r="N154" s="2"/>
      <c r="O154" s="54"/>
      <c r="P154" s="2"/>
      <c r="Q154" s="2"/>
      <c r="R154" s="2"/>
      <c r="S154" s="2"/>
      <c r="W154" s="2"/>
    </row>
    <row r="155" spans="1:24" s="17" customFormat="1" x14ac:dyDescent="0.35">
      <c r="A155" s="2"/>
      <c r="B155" s="2"/>
      <c r="C155" s="2"/>
      <c r="D155" s="2"/>
      <c r="E155" s="2"/>
      <c r="F155" s="2"/>
      <c r="G155" s="2"/>
      <c r="H155" s="2"/>
      <c r="I155" s="2"/>
      <c r="J155" s="2"/>
      <c r="K155" s="2"/>
      <c r="L155" s="2"/>
      <c r="M155" s="2"/>
      <c r="N155" s="2"/>
      <c r="P155" s="2"/>
      <c r="Q155" s="2"/>
      <c r="R155" s="2"/>
      <c r="S155" s="2"/>
      <c r="T155" s="2"/>
      <c r="U155" s="2"/>
      <c r="V155" s="2"/>
      <c r="W155" s="2"/>
      <c r="X155" s="2"/>
    </row>
    <row r="156" spans="1:24" ht="13.15" x14ac:dyDescent="0.4">
      <c r="B156" s="53" t="s">
        <v>82</v>
      </c>
      <c r="C156" s="53"/>
      <c r="D156" s="53"/>
      <c r="E156" s="53"/>
      <c r="F156" s="53"/>
      <c r="G156" s="63"/>
      <c r="H156" s="63">
        <f ca="1">+H95/(H147+H136+H142+H143)</f>
        <v>0.88848678262159719</v>
      </c>
      <c r="I156" s="63">
        <f ca="1">+I95/(I147+I136+I142+I143)</f>
        <v>0.94194798145852776</v>
      </c>
      <c r="J156" s="63">
        <f ca="1">+J95/(J147+J136+J142+J143)</f>
        <v>0.98959679807193435</v>
      </c>
      <c r="K156" s="63">
        <f ca="1">+K95/(K147+K136+K142+K143)</f>
        <v>1.0480812555417567</v>
      </c>
      <c r="L156" s="63">
        <f ca="1">+L95/(L147+L136+L142+L143)</f>
        <v>1.7523336354254575</v>
      </c>
      <c r="M156" s="53"/>
      <c r="N156" s="53"/>
      <c r="W156" s="76"/>
    </row>
    <row r="157" spans="1:24" s="17" customFormat="1" x14ac:dyDescent="0.35">
      <c r="A157" s="2"/>
      <c r="B157" s="2"/>
      <c r="C157" s="2"/>
      <c r="D157" s="2"/>
      <c r="E157" s="2"/>
      <c r="F157" s="2"/>
      <c r="G157" s="2"/>
      <c r="H157" s="2"/>
      <c r="I157" s="2"/>
      <c r="J157" s="2"/>
      <c r="K157" s="2"/>
      <c r="L157" s="2"/>
      <c r="M157" s="2"/>
      <c r="N157" s="2"/>
      <c r="P157" s="2"/>
      <c r="Q157" s="2"/>
      <c r="R157" s="2"/>
      <c r="S157" s="2"/>
      <c r="T157" s="2"/>
      <c r="U157" s="2"/>
      <c r="V157" s="2"/>
      <c r="W157" s="2"/>
      <c r="X157" s="2"/>
    </row>
    <row r="158" spans="1:24" x14ac:dyDescent="0.35">
      <c r="B158" s="2" t="s">
        <v>35</v>
      </c>
      <c r="G158" s="13"/>
      <c r="H158" s="13">
        <f ca="1">+H88/H147</f>
        <v>3.9690033318352951</v>
      </c>
      <c r="I158" s="13">
        <f ca="1">+I88/I147</f>
        <v>5.196308987779803</v>
      </c>
      <c r="J158" s="13">
        <f ca="1">+J88/J147</f>
        <v>7.3710792691882485</v>
      </c>
      <c r="K158" s="13">
        <f ca="1">+K88/K147</f>
        <v>13.58351089399779</v>
      </c>
      <c r="L158" s="13">
        <f ca="1">+L88/L147</f>
        <v>48.496799210750211</v>
      </c>
    </row>
    <row r="159" spans="1:24" s="17" customFormat="1" x14ac:dyDescent="0.35">
      <c r="A159" s="2"/>
      <c r="B159" s="2" t="s">
        <v>36</v>
      </c>
      <c r="C159" s="2"/>
      <c r="D159" s="2"/>
      <c r="E159" s="2"/>
      <c r="F159" s="2"/>
      <c r="G159" s="13"/>
      <c r="H159" s="13">
        <f ca="1">+(H88-H123)/H147</f>
        <v>3.6856603361591187</v>
      </c>
      <c r="I159" s="13">
        <f t="shared" ref="I159:L159" ca="1" si="48">+(I88-I123)/I147</f>
        <v>4.8710643221080892</v>
      </c>
      <c r="J159" s="13">
        <f t="shared" ca="1" si="48"/>
        <v>6.9516309974191408</v>
      </c>
      <c r="K159" s="13">
        <f t="shared" ca="1" si="48"/>
        <v>12.885099531211058</v>
      </c>
      <c r="L159" s="13">
        <f t="shared" ca="1" si="48"/>
        <v>46.257268307885624</v>
      </c>
      <c r="M159" s="2"/>
      <c r="N159" s="2"/>
      <c r="P159" s="2"/>
      <c r="Q159" s="2"/>
      <c r="R159" s="2"/>
      <c r="S159" s="2"/>
      <c r="T159" s="2"/>
      <c r="U159" s="2"/>
      <c r="V159" s="2"/>
      <c r="W159" s="2"/>
      <c r="X159" s="2"/>
    </row>
    <row r="160" spans="1:24" s="17" customFormat="1" x14ac:dyDescent="0.35">
      <c r="A160" s="1"/>
      <c r="B160" s="2"/>
      <c r="C160" s="2"/>
      <c r="D160" s="2"/>
      <c r="E160" s="2"/>
      <c r="F160" s="2"/>
      <c r="G160" s="2"/>
      <c r="H160" s="2"/>
      <c r="I160" s="2"/>
      <c r="J160" s="2"/>
      <c r="K160" s="2"/>
      <c r="L160" s="2"/>
      <c r="M160" s="2"/>
      <c r="N160" s="2"/>
      <c r="P160" s="2"/>
      <c r="Q160" s="2"/>
      <c r="R160" s="2"/>
      <c r="S160" s="2"/>
      <c r="T160" s="2"/>
      <c r="U160" s="2"/>
      <c r="V160" s="2"/>
      <c r="W160" s="2"/>
      <c r="X160" s="2"/>
    </row>
    <row r="161" spans="1:13" ht="13.15" x14ac:dyDescent="0.4">
      <c r="A161" s="69" t="s">
        <v>56</v>
      </c>
      <c r="B161" s="31" t="s">
        <v>139</v>
      </c>
      <c r="C161" s="31"/>
      <c r="D161" s="31"/>
      <c r="E161" s="31"/>
      <c r="F161" s="31"/>
      <c r="G161" s="31"/>
      <c r="H161" s="31"/>
      <c r="I161" s="31"/>
      <c r="J161" s="31"/>
      <c r="K161" s="31"/>
      <c r="L161" s="31"/>
    </row>
    <row r="162" spans="1:13" x14ac:dyDescent="0.35">
      <c r="A162" s="1"/>
    </row>
    <row r="163" spans="1:13" ht="13.15" x14ac:dyDescent="0.4">
      <c r="A163" s="1"/>
      <c r="B163" s="97" t="s">
        <v>91</v>
      </c>
      <c r="C163" s="98"/>
      <c r="D163" s="98"/>
      <c r="E163" s="98"/>
      <c r="F163" s="98"/>
      <c r="G163" s="99"/>
      <c r="H163" s="99"/>
      <c r="I163" s="99"/>
      <c r="J163" s="99"/>
      <c r="K163" s="99"/>
      <c r="L163" s="99"/>
      <c r="M163" s="55"/>
    </row>
    <row r="164" spans="1:13" x14ac:dyDescent="0.35">
      <c r="A164" s="1"/>
      <c r="B164" s="55"/>
      <c r="C164" s="55"/>
      <c r="D164" s="55"/>
      <c r="E164" s="55"/>
      <c r="F164" s="55"/>
      <c r="G164" s="55"/>
      <c r="H164" s="56"/>
      <c r="I164" s="56"/>
      <c r="J164" s="56"/>
      <c r="K164" s="56"/>
      <c r="L164" s="56"/>
      <c r="M164" s="55"/>
    </row>
    <row r="165" spans="1:13" ht="13.15" x14ac:dyDescent="0.4">
      <c r="A165" s="1"/>
      <c r="B165" s="97" t="s">
        <v>92</v>
      </c>
      <c r="C165" s="98"/>
      <c r="D165" s="98"/>
      <c r="E165" s="98"/>
      <c r="F165" s="98"/>
      <c r="G165" s="98"/>
      <c r="H165" s="98"/>
      <c r="I165" s="98"/>
      <c r="J165" s="98"/>
      <c r="K165" s="98"/>
      <c r="L165" s="98"/>
      <c r="M165" s="55"/>
    </row>
    <row r="166" spans="1:13" x14ac:dyDescent="0.35">
      <c r="A166" s="1"/>
      <c r="B166" s="55"/>
      <c r="C166" s="55"/>
      <c r="D166" s="55"/>
      <c r="E166" s="57"/>
      <c r="F166" s="55"/>
      <c r="G166" s="55"/>
      <c r="H166" s="58"/>
      <c r="I166" s="58"/>
      <c r="J166" s="58"/>
      <c r="K166" s="58"/>
      <c r="L166" s="58"/>
      <c r="M166" s="55"/>
    </row>
    <row r="167" spans="1:13" ht="13.15" x14ac:dyDescent="0.4">
      <c r="A167" s="1"/>
      <c r="B167" s="151" t="s">
        <v>132</v>
      </c>
      <c r="C167" s="151"/>
      <c r="D167" s="151"/>
      <c r="E167" s="151"/>
      <c r="F167" s="151"/>
      <c r="G167" s="151"/>
      <c r="H167" s="151"/>
      <c r="I167" s="151"/>
      <c r="J167" s="151"/>
      <c r="K167" s="151"/>
      <c r="L167" s="151"/>
      <c r="M167" s="55"/>
    </row>
    <row r="168" spans="1:13" ht="13.15" x14ac:dyDescent="0.4">
      <c r="A168" s="1"/>
      <c r="B168" s="55"/>
      <c r="C168" s="55"/>
      <c r="E168" s="148" t="s">
        <v>130</v>
      </c>
      <c r="F168" s="34" t="s">
        <v>128</v>
      </c>
      <c r="G168" s="148" t="s">
        <v>129</v>
      </c>
      <c r="H168" s="149">
        <v>2022</v>
      </c>
      <c r="I168" s="149">
        <v>2023</v>
      </c>
      <c r="J168" s="149">
        <v>2024</v>
      </c>
      <c r="K168" s="149">
        <v>2025</v>
      </c>
      <c r="L168" s="149">
        <v>2026</v>
      </c>
      <c r="M168" s="55"/>
    </row>
    <row r="169" spans="1:13" x14ac:dyDescent="0.35">
      <c r="A169" s="1"/>
      <c r="B169" s="55" t="s">
        <v>9</v>
      </c>
      <c r="C169" s="55"/>
      <c r="E169" s="154" t="str">
        <f ca="1">+IFERROR(SUM(H169:L169)/-G169,"NM")</f>
        <v>NM</v>
      </c>
      <c r="F169" s="152" t="str">
        <f ca="1">+IFERROR(IRR(G169:L169),"NM")</f>
        <v>NM</v>
      </c>
      <c r="G169" s="156">
        <f>+-G137</f>
        <v>0</v>
      </c>
      <c r="H169" s="157">
        <f ca="1">+-H136+H138</f>
        <v>0</v>
      </c>
      <c r="I169" s="157">
        <f t="shared" ref="I169:K169" ca="1" si="49">+-I136+I138</f>
        <v>0</v>
      </c>
      <c r="J169" s="157">
        <f t="shared" ca="1" si="49"/>
        <v>0</v>
      </c>
      <c r="K169" s="157">
        <f t="shared" ca="1" si="49"/>
        <v>0</v>
      </c>
      <c r="L169" s="158">
        <f ca="1">+-L136+L138+L137</f>
        <v>0</v>
      </c>
      <c r="M169" s="155"/>
    </row>
    <row r="170" spans="1:13" ht="13.15" x14ac:dyDescent="0.4">
      <c r="A170" s="1"/>
      <c r="B170" s="55" t="s">
        <v>131</v>
      </c>
      <c r="C170" s="55"/>
      <c r="E170" s="171">
        <f ca="1">+IFERROR(SUM(H170:L170)/-G170,"NM")</f>
        <v>1.1401402739620348</v>
      </c>
      <c r="F170" s="172">
        <f ca="1">+IFERROR(IRR(G170:L170),"NM")</f>
        <v>4.6604531486695633E-2</v>
      </c>
      <c r="G170" s="156">
        <f>+-G144</f>
        <v>-969.2366418955155</v>
      </c>
      <c r="H170" s="157">
        <f ca="1">+H142+H143+H145</f>
        <v>217.94372266100089</v>
      </c>
      <c r="I170" s="157">
        <f t="shared" ref="I170:K170" ca="1" si="50">+I142+I143+I145</f>
        <v>231.70143028062282</v>
      </c>
      <c r="J170" s="157">
        <f t="shared" ca="1" si="50"/>
        <v>240.71310791298956</v>
      </c>
      <c r="K170" s="157">
        <f t="shared" ca="1" si="50"/>
        <v>249.65377152677016</v>
      </c>
      <c r="L170" s="158">
        <f ca="1">+L142+L143+L145+L144</f>
        <v>165.05369792845718</v>
      </c>
      <c r="M170" s="155"/>
    </row>
    <row r="171" spans="1:13" ht="13.15" x14ac:dyDescent="0.4">
      <c r="A171" s="1"/>
      <c r="B171" s="55" t="s">
        <v>133</v>
      </c>
      <c r="C171" s="55"/>
      <c r="E171" s="171">
        <f ca="1">+IFERROR(SUM(H171:L171)/-G171,"NM")</f>
        <v>2.8542715489278803</v>
      </c>
      <c r="F171" s="172">
        <f ca="1">+IFERROR(IRR(G171:L171),"NM")</f>
        <v>0.23338612270945269</v>
      </c>
      <c r="G171" s="156">
        <f>+-$J$61</f>
        <v>-1747.2936853423946</v>
      </c>
      <c r="H171" s="157">
        <v>0</v>
      </c>
      <c r="I171" s="157">
        <v>0</v>
      </c>
      <c r="J171" s="157">
        <v>0</v>
      </c>
      <c r="K171" s="157">
        <v>0</v>
      </c>
      <c r="L171" s="158">
        <f ca="1">+J192</f>
        <v>4987.2506608175727</v>
      </c>
      <c r="M171" s="55"/>
    </row>
    <row r="172" spans="1:13" ht="13.15" x14ac:dyDescent="0.4">
      <c r="A172" s="1"/>
      <c r="B172" s="55"/>
      <c r="C172" s="55"/>
      <c r="D172" s="171"/>
      <c r="E172" s="172"/>
      <c r="F172" s="156"/>
      <c r="G172" s="156"/>
      <c r="H172" s="157"/>
      <c r="I172" s="157"/>
      <c r="J172" s="157"/>
      <c r="K172" s="157"/>
      <c r="L172" s="158"/>
      <c r="M172" s="55"/>
    </row>
    <row r="173" spans="1:13" ht="13.15" x14ac:dyDescent="0.4">
      <c r="A173" s="1"/>
      <c r="B173" s="55"/>
      <c r="C173" s="55"/>
      <c r="D173" s="171"/>
      <c r="E173" s="172"/>
      <c r="F173" s="156"/>
      <c r="G173" s="156"/>
      <c r="H173" s="157"/>
      <c r="I173" s="157"/>
      <c r="J173" s="157"/>
      <c r="K173" s="157"/>
      <c r="L173" s="158"/>
      <c r="M173" s="55"/>
    </row>
    <row r="174" spans="1:13" ht="13.15" x14ac:dyDescent="0.4">
      <c r="A174" s="1"/>
      <c r="B174" s="151" t="s">
        <v>145</v>
      </c>
      <c r="C174" s="151"/>
      <c r="D174" s="151"/>
      <c r="E174" s="151"/>
      <c r="F174" s="151"/>
      <c r="G174" s="151"/>
      <c r="H174" s="151"/>
      <c r="I174" s="151"/>
      <c r="J174" s="151"/>
      <c r="K174" s="151"/>
      <c r="L174" s="151"/>
      <c r="M174" s="55"/>
    </row>
    <row r="175" spans="1:13" ht="13.15" x14ac:dyDescent="0.4">
      <c r="A175" s="1"/>
      <c r="C175" s="55"/>
      <c r="D175" s="55"/>
      <c r="E175" s="55"/>
      <c r="F175" s="55"/>
      <c r="G175" s="55"/>
      <c r="H175" s="174" t="s">
        <v>117</v>
      </c>
      <c r="I175" s="174" t="s">
        <v>136</v>
      </c>
      <c r="J175" s="174" t="s">
        <v>135</v>
      </c>
      <c r="K175" s="174" t="s">
        <v>130</v>
      </c>
      <c r="L175" s="174" t="s">
        <v>128</v>
      </c>
      <c r="M175" s="55"/>
    </row>
    <row r="176" spans="1:13" x14ac:dyDescent="0.35">
      <c r="A176" s="1"/>
      <c r="B176" s="55" t="s">
        <v>9</v>
      </c>
      <c r="C176" s="55"/>
      <c r="D176" s="55"/>
      <c r="E176" s="60"/>
      <c r="F176" s="55"/>
      <c r="G176" s="55"/>
      <c r="H176" s="175">
        <f>+-G169</f>
        <v>0</v>
      </c>
      <c r="I176" s="176">
        <f>+H176/$H$179</f>
        <v>0</v>
      </c>
      <c r="J176" s="175"/>
      <c r="K176" s="160" t="str">
        <f t="shared" ref="K176:L178" ca="1" si="51">+E169</f>
        <v>NM</v>
      </c>
      <c r="L176" s="153" t="str">
        <f t="shared" ca="1" si="51"/>
        <v>NM</v>
      </c>
      <c r="M176" s="55"/>
    </row>
    <row r="177" spans="1:19" x14ac:dyDescent="0.35">
      <c r="A177" s="1"/>
      <c r="B177" s="55" t="s">
        <v>131</v>
      </c>
      <c r="C177" s="56"/>
      <c r="D177" s="55"/>
      <c r="E177" s="60"/>
      <c r="F177" s="55"/>
      <c r="G177" s="55"/>
      <c r="H177" s="175">
        <f>+-G170</f>
        <v>969.2366418955155</v>
      </c>
      <c r="I177" s="176">
        <f>+H177/$H$179</f>
        <v>0.35679213008492616</v>
      </c>
      <c r="J177" s="175"/>
      <c r="K177" s="159">
        <f t="shared" ca="1" si="51"/>
        <v>1.1401402739620348</v>
      </c>
      <c r="L177" s="177">
        <f t="shared" ca="1" si="51"/>
        <v>4.6604531486695633E-2</v>
      </c>
      <c r="M177" s="55"/>
    </row>
    <row r="178" spans="1:19" x14ac:dyDescent="0.35">
      <c r="A178" s="1"/>
      <c r="B178" s="55" t="s">
        <v>133</v>
      </c>
      <c r="C178" s="55"/>
      <c r="D178" s="55"/>
      <c r="E178" s="60"/>
      <c r="F178" s="55"/>
      <c r="G178" s="55"/>
      <c r="H178" s="175">
        <f>+-G171</f>
        <v>1747.2936853423946</v>
      </c>
      <c r="I178" s="176">
        <f>+H178/$H$179</f>
        <v>0.64320786991507384</v>
      </c>
      <c r="J178" s="176">
        <f>+H178/$H$178</f>
        <v>1</v>
      </c>
      <c r="K178" s="159">
        <f t="shared" ca="1" si="51"/>
        <v>2.8542715489278803</v>
      </c>
      <c r="L178" s="177">
        <f t="shared" ca="1" si="51"/>
        <v>0.23338612270945269</v>
      </c>
      <c r="M178" s="55"/>
    </row>
    <row r="179" spans="1:19" ht="13.15" x14ac:dyDescent="0.4">
      <c r="A179" s="1"/>
      <c r="B179" s="150" t="s">
        <v>137</v>
      </c>
      <c r="C179" s="55"/>
      <c r="D179" s="55"/>
      <c r="E179" s="60"/>
      <c r="F179" s="55"/>
      <c r="G179" s="55"/>
      <c r="H179" s="178">
        <f>+SUM(H176:H178)</f>
        <v>2716.5303272379101</v>
      </c>
      <c r="I179" s="179">
        <f>+H179/$H$179</f>
        <v>1</v>
      </c>
      <c r="J179" s="179">
        <f>+SUM(J176:J178)</f>
        <v>1</v>
      </c>
      <c r="K179" s="175"/>
      <c r="L179" s="175"/>
      <c r="M179" s="55"/>
    </row>
    <row r="180" spans="1:19" ht="13.15" x14ac:dyDescent="0.4">
      <c r="A180" s="1"/>
      <c r="B180" s="150"/>
      <c r="C180" s="55"/>
      <c r="D180" s="55"/>
      <c r="E180" s="60"/>
      <c r="F180" s="55"/>
      <c r="G180" s="55"/>
      <c r="H180" s="178"/>
      <c r="I180" s="179"/>
      <c r="J180" s="179"/>
      <c r="K180" s="175"/>
      <c r="L180" s="175"/>
      <c r="M180" s="55"/>
    </row>
    <row r="181" spans="1:19" x14ac:dyDescent="0.35">
      <c r="A181" s="1"/>
      <c r="B181" s="55"/>
      <c r="C181" s="55"/>
      <c r="D181" s="55"/>
      <c r="E181" s="55"/>
      <c r="F181" s="55"/>
      <c r="G181" s="55"/>
      <c r="H181" s="167"/>
      <c r="I181" s="167"/>
      <c r="J181" s="167"/>
      <c r="K181" s="167"/>
      <c r="L181" s="167"/>
      <c r="M181" s="55"/>
    </row>
    <row r="182" spans="1:19" ht="13.15" x14ac:dyDescent="0.4">
      <c r="A182" s="1"/>
      <c r="B182" s="151" t="s">
        <v>141</v>
      </c>
      <c r="C182" s="151"/>
      <c r="D182" s="151"/>
      <c r="E182" s="151"/>
      <c r="F182" s="151"/>
      <c r="G182" s="151"/>
      <c r="H182" s="151"/>
      <c r="I182" s="151"/>
      <c r="J182" s="151"/>
      <c r="K182" s="151"/>
      <c r="L182" s="151"/>
      <c r="M182" s="55"/>
    </row>
    <row r="183" spans="1:19" ht="13.15" x14ac:dyDescent="0.4">
      <c r="A183" s="1"/>
      <c r="C183" s="55"/>
      <c r="D183" s="55"/>
      <c r="E183" s="59"/>
      <c r="F183" s="55"/>
      <c r="H183" s="212">
        <f>+L71</f>
        <v>46203</v>
      </c>
      <c r="I183" s="212"/>
      <c r="J183" s="212"/>
      <c r="K183" s="212"/>
      <c r="L183" s="212"/>
      <c r="M183" s="55"/>
      <c r="N183" s="17"/>
    </row>
    <row r="184" spans="1:19" ht="13.15" x14ac:dyDescent="0.4">
      <c r="A184" s="1"/>
      <c r="B184" s="150" t="s">
        <v>148</v>
      </c>
      <c r="C184" s="55"/>
      <c r="D184" s="55"/>
      <c r="E184" s="59"/>
      <c r="G184" s="162" t="s">
        <v>118</v>
      </c>
      <c r="H184" s="164">
        <f>+I184-$G$185</f>
        <v>3.8086794190162951</v>
      </c>
      <c r="I184" s="164">
        <f>+J184-$G$185</f>
        <v>4.3086794190162951</v>
      </c>
      <c r="J184" s="166">
        <f>+$I$39</f>
        <v>4.8086794190162951</v>
      </c>
      <c r="K184" s="164">
        <f>+J184+$G$185</f>
        <v>5.3086794190162951</v>
      </c>
      <c r="L184" s="164">
        <f>+K184+$G$185</f>
        <v>5.8086794190162951</v>
      </c>
      <c r="M184" s="55"/>
    </row>
    <row r="185" spans="1:19" x14ac:dyDescent="0.35">
      <c r="A185" s="1"/>
      <c r="B185" s="55" t="s">
        <v>149</v>
      </c>
      <c r="C185" s="55"/>
      <c r="D185" s="55"/>
      <c r="E185" s="59"/>
      <c r="G185" s="161">
        <f>+I40</f>
        <v>0.5</v>
      </c>
      <c r="H185" s="167">
        <f>+$L$82</f>
        <v>1014.0970804025715</v>
      </c>
      <c r="I185" s="167">
        <f t="shared" ref="I185:L185" si="52">+$L$82</f>
        <v>1014.0970804025715</v>
      </c>
      <c r="J185" s="167">
        <f t="shared" si="52"/>
        <v>1014.0970804025715</v>
      </c>
      <c r="K185" s="167">
        <f t="shared" si="52"/>
        <v>1014.0970804025715</v>
      </c>
      <c r="L185" s="167">
        <f t="shared" si="52"/>
        <v>1014.0970804025715</v>
      </c>
      <c r="M185" s="55"/>
    </row>
    <row r="186" spans="1:19" ht="13.15" x14ac:dyDescent="0.4">
      <c r="A186" s="1"/>
      <c r="B186" s="150" t="s">
        <v>125</v>
      </c>
      <c r="C186" s="55"/>
      <c r="D186" s="55"/>
      <c r="E186" s="59"/>
      <c r="F186" s="55"/>
      <c r="G186" s="163"/>
      <c r="H186" s="170">
        <f>+H184*H185</f>
        <v>3862.3706790137871</v>
      </c>
      <c r="I186" s="170">
        <f>+I184*I185</f>
        <v>4369.4192192150731</v>
      </c>
      <c r="J186" s="170">
        <f>+J184*J185</f>
        <v>4876.4677594163586</v>
      </c>
      <c r="K186" s="170">
        <f>+K184*K185</f>
        <v>5383.5162996176441</v>
      </c>
      <c r="L186" s="170">
        <f>+L184*L185</f>
        <v>5890.5648398189296</v>
      </c>
      <c r="M186" s="55"/>
    </row>
    <row r="187" spans="1:19" x14ac:dyDescent="0.35">
      <c r="A187" s="1"/>
      <c r="B187" s="55"/>
      <c r="C187" s="55"/>
      <c r="D187" s="55"/>
      <c r="E187" s="55"/>
      <c r="F187" s="55"/>
      <c r="G187" s="55"/>
      <c r="H187" s="55"/>
      <c r="I187" s="55"/>
      <c r="J187" s="55"/>
      <c r="K187" s="55"/>
      <c r="L187" s="105"/>
      <c r="M187" s="55"/>
    </row>
    <row r="188" spans="1:19" x14ac:dyDescent="0.35">
      <c r="A188" s="1"/>
      <c r="B188" s="55" t="s">
        <v>109</v>
      </c>
      <c r="C188" s="55"/>
      <c r="D188" s="55"/>
      <c r="E188" s="55"/>
      <c r="F188" s="55"/>
      <c r="G188" s="55"/>
      <c r="H188" s="168">
        <f ca="1">+$L$152</f>
        <v>-110.78290160193228</v>
      </c>
      <c r="I188" s="168">
        <f t="shared" ref="I188:L188" ca="1" si="53">+$L$152</f>
        <v>-110.78290160193228</v>
      </c>
      <c r="J188" s="168">
        <f t="shared" ca="1" si="53"/>
        <v>-110.78290160193228</v>
      </c>
      <c r="K188" s="168">
        <f t="shared" ca="1" si="53"/>
        <v>-110.78290160193228</v>
      </c>
      <c r="L188" s="168">
        <f t="shared" ca="1" si="53"/>
        <v>-110.78290160193228</v>
      </c>
      <c r="M188" s="55"/>
    </row>
    <row r="189" spans="1:19" x14ac:dyDescent="0.35">
      <c r="A189" s="1"/>
      <c r="B189" s="165" t="s">
        <v>9</v>
      </c>
      <c r="C189" s="55"/>
      <c r="D189" s="55"/>
      <c r="E189" s="55"/>
      <c r="F189" s="55"/>
      <c r="G189" s="55"/>
      <c r="H189" s="168">
        <f ca="1">+$L$137</f>
        <v>0</v>
      </c>
      <c r="I189" s="168">
        <f t="shared" ref="I189:L189" ca="1" si="54">+$L$137</f>
        <v>0</v>
      </c>
      <c r="J189" s="168">
        <f t="shared" ca="1" si="54"/>
        <v>0</v>
      </c>
      <c r="K189" s="168">
        <f t="shared" ca="1" si="54"/>
        <v>0</v>
      </c>
      <c r="L189" s="168">
        <f t="shared" ca="1" si="54"/>
        <v>0</v>
      </c>
      <c r="M189" s="55"/>
      <c r="O189" s="19"/>
      <c r="P189" s="15"/>
      <c r="Q189" s="15"/>
      <c r="R189" s="15"/>
      <c r="S189" s="15"/>
    </row>
    <row r="190" spans="1:19" x14ac:dyDescent="0.35">
      <c r="A190" s="1"/>
      <c r="B190" s="165" t="s">
        <v>131</v>
      </c>
      <c r="C190" s="55"/>
      <c r="D190" s="55"/>
      <c r="E190" s="60"/>
      <c r="F190" s="55"/>
      <c r="G190" s="55"/>
      <c r="H190" s="168">
        <f ca="1">+$L$144</f>
        <v>0</v>
      </c>
      <c r="I190" s="168">
        <f t="shared" ref="I190:L190" ca="1" si="55">+$L$144</f>
        <v>0</v>
      </c>
      <c r="J190" s="168">
        <f t="shared" ca="1" si="55"/>
        <v>0</v>
      </c>
      <c r="K190" s="168">
        <f t="shared" ca="1" si="55"/>
        <v>0</v>
      </c>
      <c r="L190" s="168">
        <f t="shared" ca="1" si="55"/>
        <v>0</v>
      </c>
      <c r="M190" s="55"/>
      <c r="N190" s="17"/>
    </row>
    <row r="191" spans="1:19" x14ac:dyDescent="0.35">
      <c r="A191" s="1"/>
      <c r="B191" s="165" t="s">
        <v>134</v>
      </c>
      <c r="C191" s="61"/>
      <c r="D191" s="55"/>
      <c r="E191" s="60"/>
      <c r="F191" s="55"/>
      <c r="G191" s="55"/>
      <c r="H191" s="168">
        <f ca="1">+-$L$121</f>
        <v>-110.78290160193228</v>
      </c>
      <c r="I191" s="168">
        <f t="shared" ref="I191:L191" ca="1" si="56">+-$L$121</f>
        <v>-110.78290160193228</v>
      </c>
      <c r="J191" s="168">
        <f t="shared" ca="1" si="56"/>
        <v>-110.78290160193228</v>
      </c>
      <c r="K191" s="168">
        <f t="shared" ca="1" si="56"/>
        <v>-110.78290160193228</v>
      </c>
      <c r="L191" s="168">
        <f t="shared" ca="1" si="56"/>
        <v>-110.78290160193228</v>
      </c>
      <c r="M191" s="55"/>
      <c r="N191" s="15"/>
    </row>
    <row r="192" spans="1:19" ht="13.15" x14ac:dyDescent="0.4">
      <c r="A192" s="1"/>
      <c r="B192" s="150" t="s">
        <v>126</v>
      </c>
      <c r="C192" s="55"/>
      <c r="D192" s="55"/>
      <c r="E192" s="60"/>
      <c r="F192" s="55"/>
      <c r="G192" s="55"/>
      <c r="H192" s="169">
        <f ca="1">+H186-H188</f>
        <v>3973.1535806157194</v>
      </c>
      <c r="I192" s="169">
        <f ca="1">+I186-I188</f>
        <v>4480.2021208170054</v>
      </c>
      <c r="J192" s="169">
        <f ca="1">+J186-J188</f>
        <v>4987.2506610182909</v>
      </c>
      <c r="K192" s="169">
        <f ca="1">+K186-K188</f>
        <v>5494.2992012195764</v>
      </c>
      <c r="L192" s="169">
        <f ca="1">+L186-L188</f>
        <v>6001.3477414208619</v>
      </c>
      <c r="M192" s="55"/>
      <c r="S192" s="16"/>
    </row>
    <row r="193" spans="1:19" ht="13.15" x14ac:dyDescent="0.4">
      <c r="A193" s="1"/>
      <c r="B193" s="150"/>
      <c r="C193" s="55"/>
      <c r="D193" s="55"/>
      <c r="E193" s="60"/>
      <c r="F193" s="55"/>
      <c r="G193" s="55"/>
      <c r="H193" s="169"/>
      <c r="I193" s="169"/>
      <c r="J193" s="169"/>
      <c r="K193" s="169"/>
      <c r="L193" s="169"/>
      <c r="M193" s="55"/>
      <c r="S193" s="16"/>
    </row>
    <row r="194" spans="1:19" ht="13.15" x14ac:dyDescent="0.4">
      <c r="A194" s="1"/>
      <c r="B194" s="150"/>
      <c r="C194" s="55"/>
      <c r="D194" s="55"/>
      <c r="E194" s="60"/>
      <c r="F194" s="55"/>
      <c r="G194" s="55"/>
      <c r="H194" s="169"/>
      <c r="I194" s="169"/>
      <c r="J194" s="169"/>
      <c r="K194" s="169"/>
      <c r="L194" s="169"/>
      <c r="M194" s="55"/>
      <c r="S194" s="16"/>
    </row>
    <row r="195" spans="1:19" ht="13.15" x14ac:dyDescent="0.4">
      <c r="A195" s="1"/>
      <c r="B195" s="151" t="s">
        <v>146</v>
      </c>
      <c r="C195" s="151"/>
      <c r="D195" s="151"/>
      <c r="E195" s="151"/>
      <c r="F195" s="151"/>
      <c r="G195" s="151"/>
      <c r="H195" s="151"/>
      <c r="I195" s="151"/>
      <c r="J195" s="151"/>
      <c r="K195" s="151"/>
      <c r="L195" s="151"/>
      <c r="M195" s="55"/>
    </row>
    <row r="196" spans="1:19" x14ac:dyDescent="0.35">
      <c r="A196" s="1"/>
      <c r="B196" s="55"/>
      <c r="C196" s="55"/>
      <c r="D196" s="55"/>
      <c r="E196" s="60"/>
      <c r="F196" s="55"/>
      <c r="G196" s="55"/>
      <c r="H196" s="62"/>
      <c r="I196" s="62"/>
      <c r="J196" s="62"/>
      <c r="K196" s="62"/>
      <c r="L196" s="62"/>
      <c r="M196" s="55"/>
    </row>
    <row r="197" spans="1:19" ht="15" customHeight="1" x14ac:dyDescent="0.4">
      <c r="A197" s="1"/>
      <c r="B197" s="189" t="s">
        <v>153</v>
      </c>
      <c r="C197" s="195">
        <f>+I41</f>
        <v>0.2</v>
      </c>
      <c r="D197" s="55"/>
      <c r="E197" s="55"/>
      <c r="F197" s="212" t="s">
        <v>151</v>
      </c>
      <c r="G197" s="212"/>
      <c r="H197" s="212"/>
      <c r="I197" s="212"/>
      <c r="J197" s="212"/>
      <c r="K197" s="212"/>
      <c r="L197" s="212"/>
      <c r="M197" s="55"/>
    </row>
    <row r="198" spans="1:19" x14ac:dyDescent="0.35">
      <c r="A198" s="1"/>
      <c r="D198" s="55"/>
      <c r="E198" s="55"/>
      <c r="F198" s="55"/>
      <c r="G198" s="55"/>
      <c r="H198" s="211" t="s">
        <v>148</v>
      </c>
      <c r="I198" s="211"/>
      <c r="J198" s="211"/>
      <c r="K198" s="211"/>
      <c r="L198" s="211"/>
      <c r="M198" s="55"/>
    </row>
    <row r="199" spans="1:19" ht="13.15" x14ac:dyDescent="0.4">
      <c r="A199" s="1"/>
      <c r="B199" s="181"/>
      <c r="C199" s="55"/>
      <c r="D199" s="55"/>
      <c r="E199" s="55"/>
      <c r="F199" s="55"/>
      <c r="G199" s="191">
        <f ca="1">+$F$171</f>
        <v>0.23338612270945269</v>
      </c>
      <c r="H199" s="185">
        <v>3.8086794190162951</v>
      </c>
      <c r="I199" s="185">
        <v>4.3086794190162951</v>
      </c>
      <c r="J199" s="184">
        <v>4.8086794190162951</v>
      </c>
      <c r="K199" s="185">
        <v>5.3086794190162951</v>
      </c>
      <c r="L199" s="185">
        <v>5.8086794190162951</v>
      </c>
      <c r="M199" s="55"/>
    </row>
    <row r="200" spans="1:19" ht="15" customHeight="1" x14ac:dyDescent="0.4">
      <c r="A200" s="1"/>
      <c r="B200" s="181"/>
      <c r="C200" s="55"/>
      <c r="D200" s="55"/>
      <c r="E200" s="55"/>
      <c r="F200" s="186"/>
      <c r="G200" s="187">
        <v>5</v>
      </c>
      <c r="H200" s="105">
        <f t="dataTable" ref="H200:L204" dt2D="1" dtr="1" r1="I39" r2="I35" ca="1"/>
        <v>0.15097261722010402</v>
      </c>
      <c r="I200" s="105">
        <v>0.17827197404701334</v>
      </c>
      <c r="J200" s="105">
        <v>0.20325331201556773</v>
      </c>
      <c r="K200" s="105">
        <v>0.22631736504151623</v>
      </c>
      <c r="L200" s="105">
        <v>0.24776646742728414</v>
      </c>
      <c r="M200" s="55"/>
    </row>
    <row r="201" spans="1:19" ht="13.15" x14ac:dyDescent="0.4">
      <c r="A201" s="1"/>
      <c r="B201" s="181"/>
      <c r="C201" s="55"/>
      <c r="D201" s="55"/>
      <c r="E201" s="55"/>
      <c r="F201" s="186" t="s">
        <v>142</v>
      </c>
      <c r="G201" s="187">
        <v>6</v>
      </c>
      <c r="H201" s="105">
        <v>0.16614175749897053</v>
      </c>
      <c r="I201" s="105">
        <v>0.19390984133526779</v>
      </c>
      <c r="J201" s="105">
        <v>0.2193117975046659</v>
      </c>
      <c r="K201" s="105">
        <v>0.242757974981755</v>
      </c>
      <c r="L201" s="105">
        <v>0.26455767586592116</v>
      </c>
      <c r="M201" s="55"/>
    </row>
    <row r="202" spans="1:19" ht="13.15" x14ac:dyDescent="0.4">
      <c r="A202" s="1"/>
      <c r="B202" s="181"/>
      <c r="C202" s="55"/>
      <c r="D202" s="55"/>
      <c r="E202" s="55"/>
      <c r="F202" s="186" t="s">
        <v>143</v>
      </c>
      <c r="G202" s="188">
        <v>7</v>
      </c>
      <c r="H202" s="105">
        <v>0.1785659554006449</v>
      </c>
      <c r="I202" s="105">
        <v>0.20721977262561486</v>
      </c>
      <c r="J202" s="105">
        <v>0.23338612307198603</v>
      </c>
      <c r="K202" s="105">
        <v>0.257503723578554</v>
      </c>
      <c r="L202" s="105">
        <v>0.2799015852254334</v>
      </c>
      <c r="M202" s="55"/>
    </row>
    <row r="203" spans="1:19" ht="13.15" x14ac:dyDescent="0.4">
      <c r="A203" s="1"/>
      <c r="B203" s="181"/>
      <c r="C203" s="55"/>
      <c r="D203" s="55"/>
      <c r="E203" s="55"/>
      <c r="F203" s="186" t="s">
        <v>144</v>
      </c>
      <c r="G203" s="187">
        <v>8</v>
      </c>
      <c r="H203" s="105">
        <v>0.19244855637789082</v>
      </c>
      <c r="I203" s="105">
        <v>0.22206239092937241</v>
      </c>
      <c r="J203" s="105">
        <v>0.24905619685406388</v>
      </c>
      <c r="K203" s="105">
        <v>0.27390005335424816</v>
      </c>
      <c r="L203" s="105">
        <v>0.29694464165604217</v>
      </c>
      <c r="M203" s="55"/>
    </row>
    <row r="204" spans="1:19" ht="13.15" x14ac:dyDescent="0.4">
      <c r="A204" s="1"/>
      <c r="B204" s="181"/>
      <c r="C204" s="55"/>
      <c r="D204" s="55"/>
      <c r="E204" s="55"/>
      <c r="F204" s="186"/>
      <c r="G204" s="187">
        <v>9</v>
      </c>
      <c r="H204" s="105">
        <v>0.20798150429840212</v>
      </c>
      <c r="I204" s="105">
        <v>0.23865251414356536</v>
      </c>
      <c r="J204" s="105">
        <v>0.26655591857548067</v>
      </c>
      <c r="K204" s="105">
        <v>0.29219719521373855</v>
      </c>
      <c r="L204" s="105">
        <v>0.3159513226041184</v>
      </c>
      <c r="M204" s="55"/>
    </row>
    <row r="205" spans="1:19" x14ac:dyDescent="0.35">
      <c r="A205" s="1"/>
      <c r="B205" s="55"/>
      <c r="C205" s="55"/>
      <c r="D205" s="55"/>
      <c r="E205" s="55"/>
      <c r="F205" s="64"/>
      <c r="G205" s="55"/>
      <c r="H205" s="58"/>
      <c r="I205" s="58"/>
      <c r="J205" s="58"/>
      <c r="K205" s="58"/>
      <c r="L205" s="58"/>
      <c r="M205" s="55"/>
    </row>
    <row r="206" spans="1:19" ht="15" customHeight="1" x14ac:dyDescent="0.4">
      <c r="A206" s="1"/>
      <c r="B206" s="165"/>
      <c r="C206" s="55"/>
      <c r="D206" s="55"/>
      <c r="E206" s="55"/>
      <c r="F206" s="212" t="s">
        <v>152</v>
      </c>
      <c r="G206" s="212"/>
      <c r="H206" s="212"/>
      <c r="I206" s="212"/>
      <c r="J206" s="212"/>
      <c r="K206" s="212"/>
      <c r="L206" s="212"/>
      <c r="M206" s="55"/>
    </row>
    <row r="207" spans="1:19" x14ac:dyDescent="0.35">
      <c r="A207" s="1"/>
      <c r="B207" s="55"/>
      <c r="D207" s="55"/>
      <c r="E207" s="55"/>
      <c r="F207" s="55"/>
      <c r="G207" s="55"/>
      <c r="H207" s="211" t="s">
        <v>148</v>
      </c>
      <c r="I207" s="211"/>
      <c r="J207" s="211"/>
      <c r="K207" s="211"/>
      <c r="L207" s="211"/>
      <c r="M207" s="55"/>
    </row>
    <row r="208" spans="1:19" ht="13.15" x14ac:dyDescent="0.4">
      <c r="A208" s="1"/>
      <c r="B208" s="55"/>
      <c r="C208" s="55"/>
      <c r="D208" s="55"/>
      <c r="E208" s="55"/>
      <c r="F208" s="55"/>
      <c r="G208" s="192">
        <f ca="1">+$E$171</f>
        <v>2.8542715489278803</v>
      </c>
      <c r="H208" s="185">
        <v>3.8086794190162951</v>
      </c>
      <c r="I208" s="185">
        <v>4.3086794190162951</v>
      </c>
      <c r="J208" s="184">
        <v>4.8086794190162951</v>
      </c>
      <c r="K208" s="185">
        <v>5.3086794190162951</v>
      </c>
      <c r="L208" s="185">
        <v>5.8086794190162951</v>
      </c>
      <c r="M208" s="55"/>
    </row>
    <row r="209" spans="1:24" ht="13.15" x14ac:dyDescent="0.4">
      <c r="A209" s="1"/>
      <c r="B209" s="55"/>
      <c r="C209" s="55"/>
      <c r="D209" s="55"/>
      <c r="E209" s="55"/>
      <c r="F209" s="186"/>
      <c r="G209" s="187">
        <v>5</v>
      </c>
      <c r="H209" s="159">
        <f t="dataTable" ref="H209:L213" dt2D="1" dtr="1" r1="I39" r2="I35" ca="1"/>
        <v>2.0198771548954984</v>
      </c>
      <c r="I209" s="159">
        <v>2.2710554557438987</v>
      </c>
      <c r="J209" s="159">
        <v>2.5222337276828561</v>
      </c>
      <c r="K209" s="159">
        <v>2.7734119996218065</v>
      </c>
      <c r="L209" s="159">
        <v>3.0245902715607564</v>
      </c>
      <c r="M209" s="55"/>
    </row>
    <row r="210" spans="1:24" ht="13.15" x14ac:dyDescent="0.4">
      <c r="A210" s="1"/>
      <c r="B210" s="55"/>
      <c r="C210" s="55"/>
      <c r="D210" s="55"/>
      <c r="E210" s="55"/>
      <c r="F210" s="186" t="s">
        <v>142</v>
      </c>
      <c r="G210" s="187">
        <v>6</v>
      </c>
      <c r="H210" s="159">
        <v>2.1565361110815742</v>
      </c>
      <c r="I210" s="159">
        <v>2.4258149062401286</v>
      </c>
      <c r="J210" s="159">
        <v>2.6950937647568676</v>
      </c>
      <c r="K210" s="159">
        <v>2.9643726232736429</v>
      </c>
      <c r="L210" s="159">
        <v>3.2336514817904183</v>
      </c>
      <c r="M210" s="55"/>
    </row>
    <row r="211" spans="1:24" ht="13.15" x14ac:dyDescent="0.4">
      <c r="A211" s="1"/>
      <c r="B211" s="55"/>
      <c r="C211" s="55"/>
      <c r="D211" s="55"/>
      <c r="E211" s="55"/>
      <c r="F211" s="186" t="s">
        <v>143</v>
      </c>
      <c r="G211" s="188">
        <v>7</v>
      </c>
      <c r="H211" s="159">
        <v>2.2738900355961165</v>
      </c>
      <c r="I211" s="159">
        <v>2.5640807600953432</v>
      </c>
      <c r="J211" s="194">
        <v>2.8542715531227087</v>
      </c>
      <c r="K211" s="159">
        <v>3.1444623461501129</v>
      </c>
      <c r="L211" s="159">
        <v>3.4346531391775175</v>
      </c>
      <c r="M211" s="55"/>
    </row>
    <row r="212" spans="1:24" ht="13.15" x14ac:dyDescent="0.4">
      <c r="A212" s="1"/>
      <c r="B212" s="55"/>
      <c r="C212" s="55"/>
      <c r="D212" s="55"/>
      <c r="E212" s="55"/>
      <c r="F212" s="186" t="s">
        <v>144</v>
      </c>
      <c r="G212" s="187">
        <v>8</v>
      </c>
      <c r="H212" s="159">
        <v>2.4110058310620746</v>
      </c>
      <c r="I212" s="159">
        <v>2.7256299596895004</v>
      </c>
      <c r="J212" s="159">
        <v>3.0402541626149788</v>
      </c>
      <c r="K212" s="159">
        <v>3.3548783655405003</v>
      </c>
      <c r="L212" s="159">
        <v>3.6695025684660214</v>
      </c>
      <c r="M212" s="55"/>
    </row>
    <row r="213" spans="1:24" ht="13.15" x14ac:dyDescent="0.4">
      <c r="A213" s="1"/>
      <c r="B213" s="55"/>
      <c r="C213" s="55"/>
      <c r="D213" s="55"/>
      <c r="E213" s="55"/>
      <c r="F213" s="186"/>
      <c r="G213" s="187">
        <v>9</v>
      </c>
      <c r="H213" s="159">
        <v>2.5721803949487123</v>
      </c>
      <c r="I213" s="159">
        <v>2.9157309207025892</v>
      </c>
      <c r="J213" s="159">
        <v>3.2592812893792651</v>
      </c>
      <c r="K213" s="159">
        <v>3.602831658055778</v>
      </c>
      <c r="L213" s="159">
        <v>3.9463820267322909</v>
      </c>
      <c r="M213" s="55"/>
    </row>
    <row r="214" spans="1:24" x14ac:dyDescent="0.35">
      <c r="A214" s="1"/>
      <c r="B214" s="55"/>
      <c r="C214" s="55"/>
      <c r="D214" s="55"/>
      <c r="E214" s="55"/>
      <c r="F214" s="64"/>
      <c r="G214" s="55"/>
      <c r="H214" s="58"/>
      <c r="I214" s="58"/>
      <c r="J214" s="58"/>
      <c r="K214" s="58"/>
      <c r="L214" s="58"/>
      <c r="M214" s="55"/>
    </row>
    <row r="215" spans="1:24" x14ac:dyDescent="0.35">
      <c r="A215" s="1"/>
    </row>
    <row r="216" spans="1:24" x14ac:dyDescent="0.35">
      <c r="A216" s="1"/>
    </row>
    <row r="217" spans="1:24" s="17" customFormat="1" x14ac:dyDescent="0.35">
      <c r="A217" s="1"/>
      <c r="B217" s="2"/>
      <c r="C217" s="2"/>
      <c r="D217" s="2"/>
      <c r="E217" s="2"/>
      <c r="F217" s="2"/>
      <c r="G217" s="2"/>
      <c r="H217" s="2"/>
      <c r="I217" s="2"/>
      <c r="J217" s="2"/>
      <c r="K217" s="2"/>
      <c r="L217" s="2"/>
      <c r="M217" s="2"/>
      <c r="N217" s="2"/>
      <c r="P217" s="2"/>
      <c r="Q217" s="2"/>
      <c r="R217" s="2"/>
      <c r="S217" s="2"/>
      <c r="T217" s="2"/>
      <c r="U217" s="2"/>
      <c r="V217" s="2"/>
      <c r="W217" s="2"/>
      <c r="X217" s="2"/>
    </row>
    <row r="218" spans="1:24" s="17" customFormat="1" x14ac:dyDescent="0.35">
      <c r="A218" s="1"/>
      <c r="B218" s="2"/>
      <c r="C218" s="2"/>
      <c r="D218" s="2"/>
      <c r="E218" s="2"/>
      <c r="F218" s="2"/>
      <c r="G218" s="2"/>
      <c r="H218" s="2"/>
      <c r="I218" s="2"/>
      <c r="J218" s="2"/>
      <c r="K218" s="2"/>
      <c r="L218" s="2"/>
      <c r="M218" s="2"/>
      <c r="N218" s="2"/>
      <c r="P218" s="2"/>
      <c r="Q218" s="2"/>
      <c r="R218" s="2"/>
      <c r="S218" s="2"/>
      <c r="T218" s="2"/>
      <c r="U218" s="2"/>
      <c r="V218" s="2"/>
      <c r="W218" s="2"/>
      <c r="X218" s="2"/>
    </row>
    <row r="219" spans="1:24" s="17" customFormat="1" x14ac:dyDescent="0.35">
      <c r="A219" s="1"/>
      <c r="B219" s="2"/>
      <c r="C219" s="2"/>
      <c r="D219" s="2"/>
      <c r="E219" s="2"/>
      <c r="F219" s="2"/>
      <c r="G219" s="2"/>
      <c r="H219" s="2"/>
      <c r="I219" s="2"/>
      <c r="J219" s="2"/>
      <c r="K219" s="2"/>
      <c r="L219" s="2"/>
      <c r="M219" s="2"/>
      <c r="N219" s="2"/>
      <c r="P219" s="2"/>
      <c r="Q219" s="2"/>
      <c r="R219" s="2"/>
      <c r="S219" s="2"/>
      <c r="T219" s="2"/>
      <c r="U219" s="2"/>
      <c r="V219" s="2"/>
      <c r="W219" s="2"/>
      <c r="X219" s="2"/>
    </row>
    <row r="220" spans="1:24" s="17" customFormat="1" x14ac:dyDescent="0.35">
      <c r="A220" s="1"/>
      <c r="B220" s="2"/>
      <c r="C220" s="2"/>
      <c r="D220" s="2"/>
      <c r="E220" s="2"/>
      <c r="F220" s="2"/>
      <c r="G220" s="2"/>
      <c r="H220" s="2"/>
      <c r="I220" s="2"/>
      <c r="J220" s="2"/>
      <c r="K220" s="2"/>
      <c r="L220" s="2"/>
      <c r="M220" s="2"/>
      <c r="N220" s="2"/>
      <c r="P220" s="2"/>
      <c r="Q220" s="2"/>
      <c r="R220" s="2"/>
      <c r="S220" s="2"/>
      <c r="T220" s="2"/>
      <c r="U220" s="2"/>
      <c r="V220" s="2"/>
      <c r="W220" s="2"/>
      <c r="X220" s="2"/>
    </row>
    <row r="221" spans="1:24" s="17" customFormat="1" x14ac:dyDescent="0.35">
      <c r="A221" s="1"/>
      <c r="B221" s="2"/>
      <c r="C221" s="2"/>
      <c r="D221" s="2"/>
      <c r="E221" s="2"/>
      <c r="F221" s="2"/>
      <c r="G221" s="2"/>
      <c r="H221" s="2"/>
      <c r="I221" s="2"/>
      <c r="J221" s="2"/>
      <c r="K221" s="2"/>
      <c r="L221" s="2"/>
      <c r="M221" s="2"/>
      <c r="N221" s="2"/>
      <c r="P221" s="2"/>
      <c r="Q221" s="2"/>
      <c r="R221" s="2"/>
      <c r="S221" s="2"/>
      <c r="T221" s="2"/>
      <c r="U221" s="2"/>
      <c r="V221" s="2"/>
      <c r="W221" s="2"/>
      <c r="X221" s="2"/>
    </row>
    <row r="222" spans="1:24" s="17" customFormat="1" x14ac:dyDescent="0.35">
      <c r="A222" s="1"/>
      <c r="B222" s="2"/>
      <c r="C222" s="2"/>
      <c r="D222" s="2"/>
      <c r="E222" s="2"/>
      <c r="F222" s="2"/>
      <c r="G222" s="2"/>
      <c r="H222" s="2"/>
      <c r="I222" s="2"/>
      <c r="J222" s="2"/>
      <c r="K222" s="2"/>
      <c r="L222" s="2"/>
      <c r="M222" s="2"/>
      <c r="N222" s="2"/>
      <c r="P222" s="2"/>
      <c r="Q222" s="2"/>
      <c r="R222" s="2"/>
      <c r="S222" s="2"/>
      <c r="T222" s="2"/>
      <c r="U222" s="2"/>
      <c r="V222" s="2"/>
      <c r="W222" s="2"/>
      <c r="X222" s="2"/>
    </row>
    <row r="223" spans="1:24" s="17" customFormat="1" x14ac:dyDescent="0.35">
      <c r="A223" s="1"/>
      <c r="B223" s="2"/>
      <c r="C223" s="2"/>
      <c r="D223" s="2"/>
      <c r="E223" s="2"/>
      <c r="F223" s="2"/>
      <c r="G223" s="2"/>
      <c r="H223" s="2"/>
      <c r="I223" s="2"/>
      <c r="J223" s="2"/>
      <c r="K223" s="2"/>
      <c r="L223" s="2"/>
      <c r="M223" s="2"/>
      <c r="N223" s="2"/>
      <c r="P223" s="2"/>
      <c r="Q223" s="2"/>
      <c r="R223" s="2"/>
      <c r="S223" s="2"/>
      <c r="T223" s="2"/>
      <c r="U223" s="2"/>
      <c r="V223" s="2"/>
      <c r="W223" s="2"/>
      <c r="X223" s="2"/>
    </row>
    <row r="224" spans="1:24" s="17" customFormat="1" x14ac:dyDescent="0.35">
      <c r="A224" s="1"/>
      <c r="B224" s="2"/>
      <c r="C224" s="2"/>
      <c r="D224" s="2"/>
      <c r="E224" s="2"/>
      <c r="F224" s="2"/>
      <c r="G224" s="2"/>
      <c r="H224" s="2"/>
      <c r="I224" s="2"/>
      <c r="J224" s="2"/>
      <c r="K224" s="2"/>
      <c r="L224" s="2"/>
      <c r="M224" s="2"/>
      <c r="N224" s="2"/>
      <c r="P224" s="2"/>
      <c r="Q224" s="2"/>
      <c r="R224" s="2"/>
      <c r="S224" s="2"/>
      <c r="T224" s="2"/>
      <c r="U224" s="2"/>
      <c r="V224" s="2"/>
      <c r="W224" s="2"/>
      <c r="X224" s="2"/>
    </row>
    <row r="225" spans="1:24" s="17" customFormat="1" x14ac:dyDescent="0.35">
      <c r="A225" s="1"/>
      <c r="B225" s="2"/>
      <c r="C225" s="2"/>
      <c r="D225" s="2"/>
      <c r="E225" s="2"/>
      <c r="F225" s="2"/>
      <c r="G225" s="2"/>
      <c r="H225" s="2"/>
      <c r="I225" s="2"/>
      <c r="J225" s="2"/>
      <c r="K225" s="2"/>
      <c r="L225" s="2"/>
      <c r="M225" s="2"/>
      <c r="N225" s="2"/>
      <c r="P225" s="2"/>
      <c r="Q225" s="2"/>
      <c r="R225" s="2"/>
      <c r="S225" s="2"/>
      <c r="T225" s="2"/>
      <c r="U225" s="2"/>
      <c r="V225" s="2"/>
      <c r="W225" s="2"/>
      <c r="X225" s="2"/>
    </row>
    <row r="226" spans="1:24" x14ac:dyDescent="0.35">
      <c r="A226" s="1"/>
    </row>
    <row r="227" spans="1:24" x14ac:dyDescent="0.35">
      <c r="A227" s="1"/>
    </row>
    <row r="228" spans="1:24" x14ac:dyDescent="0.35">
      <c r="A228" s="1"/>
    </row>
    <row r="229" spans="1:24" x14ac:dyDescent="0.35">
      <c r="A229" s="1"/>
    </row>
    <row r="230" spans="1:24" x14ac:dyDescent="0.35">
      <c r="A230" s="1"/>
    </row>
    <row r="231" spans="1:24" x14ac:dyDescent="0.35">
      <c r="A231" s="1"/>
    </row>
    <row r="232" spans="1:24" x14ac:dyDescent="0.35">
      <c r="A232" s="1"/>
    </row>
    <row r="233" spans="1:24" x14ac:dyDescent="0.35">
      <c r="A233" s="1"/>
    </row>
    <row r="234" spans="1:24" x14ac:dyDescent="0.35">
      <c r="A234" s="1"/>
    </row>
    <row r="235" spans="1:24" x14ac:dyDescent="0.35">
      <c r="A235" s="1"/>
    </row>
    <row r="236" spans="1:24" x14ac:dyDescent="0.35">
      <c r="A236" s="1"/>
    </row>
    <row r="237" spans="1:24" x14ac:dyDescent="0.35">
      <c r="A237" s="1"/>
    </row>
    <row r="238" spans="1:24" x14ac:dyDescent="0.35">
      <c r="A238" s="1"/>
    </row>
    <row r="239" spans="1:24" x14ac:dyDescent="0.35">
      <c r="A239" s="1"/>
    </row>
    <row r="240" spans="1:24" x14ac:dyDescent="0.35">
      <c r="A240" s="1"/>
    </row>
    <row r="241" spans="1:1" x14ac:dyDescent="0.35">
      <c r="A241" s="1"/>
    </row>
    <row r="242" spans="1:1" x14ac:dyDescent="0.35">
      <c r="A242" s="1"/>
    </row>
    <row r="243" spans="1:1" x14ac:dyDescent="0.35">
      <c r="A243" s="1"/>
    </row>
    <row r="244" spans="1:1" x14ac:dyDescent="0.35">
      <c r="A244" s="1"/>
    </row>
    <row r="245" spans="1:1" x14ac:dyDescent="0.35">
      <c r="A245" s="1"/>
    </row>
    <row r="246" spans="1:1" x14ac:dyDescent="0.35">
      <c r="A246" s="1"/>
    </row>
    <row r="247" spans="1:1" x14ac:dyDescent="0.35">
      <c r="A247" s="1"/>
    </row>
    <row r="248" spans="1:1" x14ac:dyDescent="0.35">
      <c r="A248" s="1"/>
    </row>
    <row r="249" spans="1:1" x14ac:dyDescent="0.35">
      <c r="A249" s="1"/>
    </row>
    <row r="250" spans="1:1" x14ac:dyDescent="0.35">
      <c r="A250" s="1"/>
    </row>
    <row r="251" spans="1:1" x14ac:dyDescent="0.35">
      <c r="A251" s="1"/>
    </row>
    <row r="252" spans="1:1" x14ac:dyDescent="0.35">
      <c r="A252" s="1"/>
    </row>
    <row r="253" spans="1:1" x14ac:dyDescent="0.35">
      <c r="A253" s="1"/>
    </row>
    <row r="254" spans="1:1" x14ac:dyDescent="0.35">
      <c r="A254" s="1"/>
    </row>
    <row r="255" spans="1:1" x14ac:dyDescent="0.35">
      <c r="A255" s="1"/>
    </row>
    <row r="256" spans="1:1" x14ac:dyDescent="0.35">
      <c r="A256" s="1"/>
    </row>
    <row r="257" spans="1:1" x14ac:dyDescent="0.35">
      <c r="A257" s="1"/>
    </row>
    <row r="258" spans="1:1" x14ac:dyDescent="0.35">
      <c r="A258" s="1"/>
    </row>
    <row r="259" spans="1:1" x14ac:dyDescent="0.35">
      <c r="A259" s="1"/>
    </row>
    <row r="260" spans="1:1" x14ac:dyDescent="0.35">
      <c r="A260" s="1"/>
    </row>
    <row r="261" spans="1:1" x14ac:dyDescent="0.35">
      <c r="A261" s="1"/>
    </row>
    <row r="262" spans="1:1" x14ac:dyDescent="0.35">
      <c r="A262" s="1"/>
    </row>
    <row r="263" spans="1:1" x14ac:dyDescent="0.35">
      <c r="A263" s="1"/>
    </row>
    <row r="264" spans="1:1" x14ac:dyDescent="0.35">
      <c r="A264" s="1"/>
    </row>
    <row r="265" spans="1:1" x14ac:dyDescent="0.35">
      <c r="A265" s="1"/>
    </row>
    <row r="266" spans="1:1" x14ac:dyDescent="0.35">
      <c r="A266" s="1"/>
    </row>
    <row r="267" spans="1:1" x14ac:dyDescent="0.35">
      <c r="A267" s="1"/>
    </row>
    <row r="268" spans="1:1" x14ac:dyDescent="0.35">
      <c r="A268" s="1"/>
    </row>
    <row r="269" spans="1:1" x14ac:dyDescent="0.35">
      <c r="A269" s="1"/>
    </row>
    <row r="270" spans="1:1" x14ac:dyDescent="0.35">
      <c r="A270" s="1"/>
    </row>
    <row r="271" spans="1:1" x14ac:dyDescent="0.35">
      <c r="A271" s="1"/>
    </row>
    <row r="272" spans="1:1" x14ac:dyDescent="0.35">
      <c r="A272" s="1"/>
    </row>
    <row r="273" spans="1:1" x14ac:dyDescent="0.35">
      <c r="A273" s="1"/>
    </row>
    <row r="274" spans="1:1" x14ac:dyDescent="0.35">
      <c r="A274" s="1"/>
    </row>
    <row r="275" spans="1:1" x14ac:dyDescent="0.35">
      <c r="A275" s="1"/>
    </row>
    <row r="276" spans="1:1" x14ac:dyDescent="0.35">
      <c r="A276" s="1"/>
    </row>
    <row r="277" spans="1:1" x14ac:dyDescent="0.35">
      <c r="A277" s="1"/>
    </row>
    <row r="278" spans="1:1" x14ac:dyDescent="0.35">
      <c r="A278" s="1"/>
    </row>
    <row r="279" spans="1:1" x14ac:dyDescent="0.35">
      <c r="A279" s="1"/>
    </row>
    <row r="280" spans="1:1" x14ac:dyDescent="0.35">
      <c r="A280" s="1"/>
    </row>
    <row r="281" spans="1:1" x14ac:dyDescent="0.35">
      <c r="A281" s="1"/>
    </row>
    <row r="282" spans="1:1" x14ac:dyDescent="0.35">
      <c r="A282" s="1"/>
    </row>
    <row r="283" spans="1:1" x14ac:dyDescent="0.35">
      <c r="A283" s="1"/>
    </row>
    <row r="284" spans="1:1" x14ac:dyDescent="0.35">
      <c r="A284" s="1"/>
    </row>
    <row r="285" spans="1:1" x14ac:dyDescent="0.35">
      <c r="A285" s="1"/>
    </row>
    <row r="286" spans="1:1" x14ac:dyDescent="0.35">
      <c r="A286" s="1"/>
    </row>
    <row r="287" spans="1:1" x14ac:dyDescent="0.35">
      <c r="A287" s="1"/>
    </row>
    <row r="288" spans="1:1" x14ac:dyDescent="0.35">
      <c r="A288" s="1"/>
    </row>
    <row r="289" spans="1:1" x14ac:dyDescent="0.35">
      <c r="A289" s="1"/>
    </row>
    <row r="290" spans="1:1" x14ac:dyDescent="0.35">
      <c r="A290" s="1"/>
    </row>
    <row r="291" spans="1:1" x14ac:dyDescent="0.35">
      <c r="A291" s="1"/>
    </row>
    <row r="292" spans="1:1" x14ac:dyDescent="0.35">
      <c r="A292" s="1"/>
    </row>
    <row r="293" spans="1:1" x14ac:dyDescent="0.35">
      <c r="A293" s="1"/>
    </row>
    <row r="294" spans="1:1" x14ac:dyDescent="0.35">
      <c r="A294" s="1"/>
    </row>
    <row r="295" spans="1:1" x14ac:dyDescent="0.35">
      <c r="A295" s="1"/>
    </row>
    <row r="296" spans="1:1" x14ac:dyDescent="0.35">
      <c r="A296" s="1"/>
    </row>
    <row r="297" spans="1:1" x14ac:dyDescent="0.35">
      <c r="A297" s="1"/>
    </row>
  </sheetData>
  <mergeCells count="7">
    <mergeCell ref="D7:L10"/>
    <mergeCell ref="D20:L21"/>
    <mergeCell ref="H207:L207"/>
    <mergeCell ref="H183:L183"/>
    <mergeCell ref="F206:L206"/>
    <mergeCell ref="F197:L197"/>
    <mergeCell ref="H198:L198"/>
  </mergeCells>
  <conditionalFormatting sqref="C206:C209">
    <cfRule type="colorScale" priority="4">
      <colorScale>
        <cfvo type="min"/>
        <cfvo type="percentile" val="50"/>
        <cfvo type="max"/>
        <color rgb="FFF8696B"/>
        <color rgb="FFFFEB84"/>
        <color rgb="FF63BE7B"/>
      </colorScale>
    </cfRule>
  </conditionalFormatting>
  <conditionalFormatting sqref="C203:C204">
    <cfRule type="colorScale" priority="2">
      <colorScale>
        <cfvo type="min"/>
        <cfvo type="percentile" val="50"/>
        <cfvo type="max"/>
        <color rgb="FFF8696B"/>
        <color rgb="FFFFEB84"/>
        <color rgb="FF63BE7B"/>
      </colorScale>
    </cfRule>
  </conditionalFormatting>
  <conditionalFormatting sqref="H200:L204">
    <cfRule type="cellIs" dxfId="0" priority="5" operator="lessThan">
      <formula>$C$197</formula>
    </cfRule>
  </conditionalFormatting>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8DD04EEAB901942B6D81F3706C36368" ma:contentTypeVersion="12" ma:contentTypeDescription="Create a new document." ma:contentTypeScope="" ma:versionID="3123257d4992ebf435a8edf4ea7d4d95">
  <xsd:schema xmlns:xsd="http://www.w3.org/2001/XMLSchema" xmlns:xs="http://www.w3.org/2001/XMLSchema" xmlns:p="http://schemas.microsoft.com/office/2006/metadata/properties" xmlns:ns2="42134406-03d3-44a4-b08b-f4a6ded86c1e" xmlns:ns3="7c1e83b2-d952-4c5d-adea-6068da235e93" targetNamespace="http://schemas.microsoft.com/office/2006/metadata/properties" ma:root="true" ma:fieldsID="7e99cc189e19d4b7739996e5a3e58ba6" ns2:_="" ns3:_="">
    <xsd:import namespace="42134406-03d3-44a4-b08b-f4a6ded86c1e"/>
    <xsd:import namespace="7c1e83b2-d952-4c5d-adea-6068da235e9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DateTaken" minOccurs="0"/>
                <xsd:element ref="ns3:MediaServiceLocatio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134406-03d3-44a4-b08b-f4a6ded86c1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c1e83b2-d952-4c5d-adea-6068da235e9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12C255-8F0B-4F73-9B1E-43B0419BF6BC}">
  <ds:schemaRefs>
    <ds:schemaRef ds:uri="http://schemas.microsoft.com/sharepoint/v3/contenttype/forms"/>
  </ds:schemaRefs>
</ds:datastoreItem>
</file>

<file path=customXml/itemProps2.xml><?xml version="1.0" encoding="utf-8"?>
<ds:datastoreItem xmlns:ds="http://schemas.openxmlformats.org/officeDocument/2006/customXml" ds:itemID="{45F715C0-5395-4722-9419-920094C8A1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DD4B450-99ED-4577-9E14-6D7C6461D6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134406-03d3-44a4-b08b-f4a6ded86c1e"/>
    <ds:schemaRef ds:uri="7c1e83b2-d952-4c5d-adea-6068da235e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LBO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LinDon Harris</cp:lastModifiedBy>
  <cp:lastPrinted>2014-11-20T02:10:38Z</cp:lastPrinted>
  <dcterms:created xsi:type="dcterms:W3CDTF">2014-03-31T22:21:19Z</dcterms:created>
  <dcterms:modified xsi:type="dcterms:W3CDTF">2021-03-28T21:56:09Z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0x010100C8DD04EEAB901942B6D81F3706C36368</vt:lpwstr>
  </property>
</Properties>
</file>