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cwang/Downloads/"/>
    </mc:Choice>
  </mc:AlternateContent>
  <xr:revisionPtr revIDLastSave="0" documentId="13_ncr:1_{B0E96DBD-EAF3-AE4F-A101-15BC0E23DB39}" xr6:coauthVersionLast="47" xr6:coauthVersionMax="47" xr10:uidLastSave="{00000000-0000-0000-0000-000000000000}"/>
  <bookViews>
    <workbookView xWindow="-51200" yWindow="-13000" windowWidth="51200" windowHeight="28300" activeTab="1" xr2:uid="{00000000-000D-0000-FFFF-FFFF00000000}"/>
  </bookViews>
  <sheets>
    <sheet name="Bubble Ledger" sheetId="1" r:id="rId1"/>
    <sheet name="Bubble Financials" sheetId="2" r:id="rId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44767.8759953704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'Bubble Ledger'!$A$1:$S$47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2" i="2" l="1"/>
  <c r="C48" i="2"/>
  <c r="D48" i="2"/>
  <c r="D39" i="2"/>
  <c r="D37" i="2"/>
  <c r="D33" i="2"/>
  <c r="D34" i="2"/>
  <c r="C33" i="2"/>
  <c r="D53" i="2"/>
  <c r="E90" i="2"/>
  <c r="D58" i="2"/>
  <c r="D69" i="2"/>
  <c r="D35" i="2"/>
  <c r="D77" i="2"/>
  <c r="D78" i="2"/>
  <c r="U34" i="1"/>
  <c r="C77" i="2"/>
  <c r="U8" i="1"/>
  <c r="D85" i="2"/>
  <c r="D87" i="2"/>
  <c r="C64" i="2"/>
  <c r="D62" i="2"/>
  <c r="G15" i="1"/>
  <c r="U9" i="1"/>
  <c r="U28" i="1"/>
  <c r="U27" i="1"/>
  <c r="D81" i="2"/>
  <c r="C78" i="2"/>
  <c r="D82" i="2"/>
  <c r="D76" i="2"/>
  <c r="C81" i="2"/>
  <c r="C82" i="2"/>
  <c r="C76" i="2"/>
  <c r="S20" i="1"/>
  <c r="C20" i="1"/>
  <c r="D59" i="2"/>
  <c r="C58" i="2"/>
  <c r="C59" i="2"/>
  <c r="C38" i="2"/>
  <c r="C35" i="2"/>
  <c r="R20" i="1"/>
  <c r="R21" i="1"/>
  <c r="J46" i="1"/>
  <c r="J45" i="1"/>
  <c r="J44" i="1"/>
  <c r="G45" i="1"/>
  <c r="E45" i="1"/>
  <c r="C44" i="1"/>
  <c r="U18" i="1"/>
  <c r="U16" i="1"/>
  <c r="G20" i="1"/>
  <c r="G22" i="1"/>
  <c r="U30" i="1"/>
  <c r="U29" i="1"/>
  <c r="D63" i="2"/>
  <c r="D64" i="2"/>
  <c r="L20" i="1"/>
  <c r="L22" i="1"/>
  <c r="B21" i="2"/>
  <c r="U33" i="1"/>
  <c r="U32" i="1"/>
  <c r="U35" i="1"/>
  <c r="P20" i="1"/>
  <c r="N20" i="1"/>
  <c r="N22" i="1"/>
  <c r="N38" i="1"/>
  <c r="M20" i="1"/>
  <c r="M22" i="1"/>
  <c r="M38" i="1"/>
  <c r="M40" i="1"/>
  <c r="K20" i="1"/>
  <c r="K22" i="1"/>
  <c r="C18" i="2"/>
  <c r="C53" i="2"/>
  <c r="I20" i="1"/>
  <c r="I22" i="1"/>
  <c r="J20" i="1"/>
  <c r="J22" i="1"/>
  <c r="F20" i="1"/>
  <c r="F22" i="1"/>
  <c r="E20" i="1"/>
  <c r="E22" i="1"/>
  <c r="E38" i="1"/>
  <c r="E40" i="1"/>
  <c r="D20" i="1"/>
  <c r="D22" i="1"/>
  <c r="U17" i="1"/>
  <c r="U19" i="1"/>
  <c r="U11" i="1"/>
  <c r="U10" i="1"/>
  <c r="U7" i="1"/>
  <c r="U6" i="1"/>
  <c r="O3" i="1"/>
  <c r="O20" i="1"/>
  <c r="O22" i="1"/>
  <c r="O38" i="1"/>
  <c r="U13" i="1"/>
  <c r="G44" i="1"/>
  <c r="C46" i="1"/>
  <c r="E46" i="1"/>
  <c r="K46" i="1"/>
  <c r="G46" i="1"/>
  <c r="U26" i="1"/>
  <c r="B26" i="2"/>
  <c r="B10" i="2"/>
  <c r="B13" i="2"/>
  <c r="C89" i="2"/>
  <c r="C66" i="2"/>
  <c r="U4" i="1"/>
  <c r="U5" i="1"/>
  <c r="U12" i="1"/>
  <c r="U23" i="1"/>
  <c r="U24" i="1"/>
  <c r="U25" i="1"/>
  <c r="U31" i="1"/>
  <c r="U41" i="1"/>
  <c r="C84" i="2"/>
  <c r="C87" i="2"/>
  <c r="E44" i="1"/>
  <c r="H44" i="1"/>
  <c r="K45" i="1"/>
  <c r="D79" i="2"/>
  <c r="D88" i="2"/>
  <c r="U15" i="1"/>
  <c r="C8" i="2"/>
  <c r="C51" i="2"/>
  <c r="C20" i="2"/>
  <c r="C54" i="2"/>
  <c r="L38" i="1"/>
  <c r="L40" i="1"/>
  <c r="D20" i="2"/>
  <c r="U3" i="1"/>
  <c r="C32" i="2"/>
  <c r="C34" i="2"/>
  <c r="C37" i="2"/>
  <c r="C39" i="2"/>
  <c r="C46" i="2"/>
  <c r="B27" i="2"/>
  <c r="H20" i="1"/>
  <c r="H22" i="1"/>
  <c r="H38" i="1"/>
  <c r="H40" i="1"/>
  <c r="C79" i="2"/>
  <c r="C88" i="2"/>
  <c r="C90" i="2"/>
  <c r="C22" i="1"/>
  <c r="C38" i="1"/>
  <c r="C40" i="1"/>
  <c r="D6" i="2"/>
  <c r="R22" i="1"/>
  <c r="R38" i="1"/>
  <c r="N40" i="1"/>
  <c r="D23" i="2"/>
  <c r="H46" i="1"/>
  <c r="K38" i="1"/>
  <c r="K40" i="1"/>
  <c r="D18" i="2"/>
  <c r="S21" i="1"/>
  <c r="P21" i="1"/>
  <c r="U21" i="1"/>
  <c r="C17" i="2"/>
  <c r="J38" i="1"/>
  <c r="J40" i="1"/>
  <c r="F38" i="1"/>
  <c r="F40" i="1"/>
  <c r="D8" i="2"/>
  <c r="C9" i="2"/>
  <c r="C52" i="2"/>
  <c r="G38" i="1"/>
  <c r="G40" i="1"/>
  <c r="C12" i="2"/>
  <c r="I38" i="1"/>
  <c r="I40" i="1"/>
  <c r="D19" i="2"/>
  <c r="C24" i="2"/>
  <c r="O40" i="1"/>
  <c r="C7" i="2"/>
  <c r="C50" i="2"/>
  <c r="D38" i="1"/>
  <c r="C23" i="2"/>
  <c r="C19" i="2"/>
  <c r="C55" i="2"/>
  <c r="K44" i="1"/>
  <c r="J47" i="1"/>
  <c r="G47" i="1"/>
  <c r="D54" i="2"/>
  <c r="U14" i="1"/>
  <c r="D51" i="2"/>
  <c r="D55" i="2"/>
  <c r="C6" i="2"/>
  <c r="U20" i="1"/>
  <c r="C11" i="2"/>
  <c r="P22" i="1"/>
  <c r="C56" i="2"/>
  <c r="C65" i="2"/>
  <c r="C67" i="2"/>
  <c r="S22" i="1"/>
  <c r="S38" i="1"/>
  <c r="S39" i="1"/>
  <c r="D11" i="2"/>
  <c r="U37" i="1"/>
  <c r="D24" i="2"/>
  <c r="U36" i="1"/>
  <c r="D40" i="1"/>
  <c r="D17" i="2"/>
  <c r="D21" i="2"/>
  <c r="D9" i="2"/>
  <c r="D52" i="2"/>
  <c r="D12" i="2"/>
  <c r="C21" i="2"/>
  <c r="B90" i="2"/>
  <c r="D89" i="2"/>
  <c r="D90" i="2"/>
  <c r="D66" i="2"/>
  <c r="C10" i="2"/>
  <c r="C13" i="2"/>
  <c r="R39" i="1"/>
  <c r="D32" i="2"/>
  <c r="C25" i="2"/>
  <c r="C26" i="2"/>
  <c r="C27" i="2"/>
  <c r="P38" i="1"/>
  <c r="U38" i="1"/>
  <c r="U22" i="1"/>
  <c r="D7" i="2"/>
  <c r="D46" i="2"/>
  <c r="P39" i="1"/>
  <c r="U39" i="1"/>
  <c r="R40" i="1"/>
  <c r="D10" i="2"/>
  <c r="D13" i="2"/>
  <c r="D50" i="2"/>
  <c r="S40" i="1"/>
  <c r="D56" i="2"/>
  <c r="D65" i="2"/>
  <c r="D67" i="2"/>
  <c r="E67" i="2"/>
  <c r="P40" i="1"/>
  <c r="D25" i="2"/>
  <c r="D26" i="2"/>
  <c r="D27" i="2"/>
  <c r="U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tc={959E58CB-0769-45B5-ABCC-45D0E2078A17}</author>
  </authors>
  <commentList>
    <comment ref="O27" authorId="0" shapeId="0" xr:uid="{959E58CB-0769-45B5-ABCC-45D0E2078A17}">
      <text>
        <t>[Threaded comment]
Your version of Excel allows you to read this threaded comment; however, any edits to it will get removed if the file is opened in a newer version of Excel. Learn more: https://go.microsoft.com/fwlink/?linkid=870924
Comment:
    See ASC 480-10-S99-2, needs to hit APIC since no RE</t>
      </text>
    </comment>
  </commentList>
</comments>
</file>

<file path=xl/sharedStrings.xml><?xml version="1.0" encoding="utf-8"?>
<sst xmlns="http://schemas.openxmlformats.org/spreadsheetml/2006/main" count="193" uniqueCount="154">
  <si>
    <t>Case #</t>
  </si>
  <si>
    <t xml:space="preserve">  Transaction</t>
  </si>
  <si>
    <t xml:space="preserve">  Cash</t>
  </si>
  <si>
    <t xml:space="preserve">Accounts Receivable (AR) </t>
  </si>
  <si>
    <t>Prepaid Expenses</t>
  </si>
  <si>
    <t>Property, Plant, and Equipment (PPE)</t>
  </si>
  <si>
    <t>Intangible Assets</t>
  </si>
  <si>
    <t>Accounts Payable</t>
  </si>
  <si>
    <t>Accrued Expenses</t>
  </si>
  <si>
    <t>Retained Earnings</t>
  </si>
  <si>
    <t>Revenues</t>
  </si>
  <si>
    <t>Expenses</t>
  </si>
  <si>
    <t>Income Statement Caption</t>
  </si>
  <si>
    <t>Issue shares</t>
  </si>
  <si>
    <t>Legal fees</t>
  </si>
  <si>
    <t>SG&amp;A expenses</t>
  </si>
  <si>
    <t>Purchase equipment</t>
  </si>
  <si>
    <t>Closing</t>
  </si>
  <si>
    <t>Purchase furniture</t>
  </si>
  <si>
    <t>Interest expense</t>
  </si>
  <si>
    <t>Depreciation and amortization schedule:</t>
  </si>
  <si>
    <t>Item</t>
  </si>
  <si>
    <t>Useful Life, in Years</t>
  </si>
  <si>
    <t>Annual Charge</t>
  </si>
  <si>
    <t>Period in Use, in Months</t>
  </si>
  <si>
    <t>% of Annual</t>
  </si>
  <si>
    <t>BALANCE SHEET</t>
  </si>
  <si>
    <t>Assets</t>
  </si>
  <si>
    <t>Current assets</t>
  </si>
  <si>
    <t xml:space="preserve">   Cash</t>
  </si>
  <si>
    <t xml:space="preserve">   Accounts receivable</t>
  </si>
  <si>
    <t xml:space="preserve">   Inventories</t>
  </si>
  <si>
    <t xml:space="preserve">   Prepaid expenses</t>
  </si>
  <si>
    <t>Total current assets</t>
  </si>
  <si>
    <t>Plant, property &amp; equipment, net</t>
  </si>
  <si>
    <t>Intangible assets, net</t>
  </si>
  <si>
    <t>Total assets</t>
  </si>
  <si>
    <t>Liabilities &amp; equity</t>
  </si>
  <si>
    <t>Current liabilities</t>
  </si>
  <si>
    <t xml:space="preserve">   Bank debt</t>
  </si>
  <si>
    <t xml:space="preserve">   Accounts payable</t>
  </si>
  <si>
    <t xml:space="preserve">   Accrued expenses</t>
  </si>
  <si>
    <t>Total current liabilities</t>
  </si>
  <si>
    <t>Equity</t>
  </si>
  <si>
    <t xml:space="preserve">   Retained earnings</t>
  </si>
  <si>
    <t>Total equity</t>
  </si>
  <si>
    <t>Total liabilities and equity</t>
  </si>
  <si>
    <t>INCOME STATEMENT</t>
  </si>
  <si>
    <t>Operating earnings</t>
  </si>
  <si>
    <t>Earnings before tax</t>
  </si>
  <si>
    <t>CASH FLOW STATEMENT (direct)</t>
  </si>
  <si>
    <t xml:space="preserve">  From customers</t>
  </si>
  <si>
    <t xml:space="preserve">  SG&amp;A outlays</t>
  </si>
  <si>
    <t xml:space="preserve">  Acquisitions of fixed assets</t>
  </si>
  <si>
    <t xml:space="preserve">  Equity issued</t>
  </si>
  <si>
    <t xml:space="preserve">  Borrowing from bank</t>
  </si>
  <si>
    <t>Beginning cash</t>
  </si>
  <si>
    <t>Ending cash</t>
  </si>
  <si>
    <t>CASH FLOW STATEMENT (indirect)</t>
  </si>
  <si>
    <t>Net income</t>
  </si>
  <si>
    <t xml:space="preserve">Addback non-cash expenses: </t>
  </si>
  <si>
    <t>Depreciation and amortization expense</t>
  </si>
  <si>
    <t xml:space="preserve">Adjust for changes in working capital: </t>
  </si>
  <si>
    <t>(Increase)/Decrease in AR</t>
  </si>
  <si>
    <t>(Increase)/Decrease in Inventories</t>
  </si>
  <si>
    <t>(Increase)/Decrease in Prepaid Expenses</t>
  </si>
  <si>
    <t>Increase/(Decrease) in AP</t>
  </si>
  <si>
    <t>Increase/(Decrease) in Accrued Expenses</t>
  </si>
  <si>
    <t>Check (should be 0 if balanced)</t>
  </si>
  <si>
    <t>Cash flows from operating activities:</t>
  </si>
  <si>
    <t>Cash flows from investing activities:</t>
  </si>
  <si>
    <t>Net cash provided by (used in) operating activities</t>
  </si>
  <si>
    <t>Net cash provided by (used in) investing activities</t>
  </si>
  <si>
    <t>Cash flows from financing activities:</t>
  </si>
  <si>
    <t>Net cash provided by (used in) financing activities</t>
  </si>
  <si>
    <t>Net increase (decrease) in cash</t>
  </si>
  <si>
    <t>Gross profit</t>
  </si>
  <si>
    <t xml:space="preserve">  Paid to suppliers and employees</t>
  </si>
  <si>
    <t>Original Cost</t>
  </si>
  <si>
    <t>Balance sheet accounts:</t>
  </si>
  <si>
    <t>= Liabilities</t>
  </si>
  <si>
    <t>+ Equity</t>
  </si>
  <si>
    <t>Income Statement</t>
  </si>
  <si>
    <t>Common Stock</t>
  </si>
  <si>
    <t>Additional Paid-In Capital</t>
  </si>
  <si>
    <t>Common stock</t>
  </si>
  <si>
    <t>Additional paid-in capital</t>
  </si>
  <si>
    <t xml:space="preserve">  Bank Debt</t>
  </si>
  <si>
    <t>Dec 31, 2022 balance</t>
  </si>
  <si>
    <t>Dec 31, 2023 balance</t>
  </si>
  <si>
    <t>Building Rent</t>
  </si>
  <si>
    <t>SG&amp;A Expense</t>
  </si>
  <si>
    <t>Building Rent &amp; Improvement</t>
  </si>
  <si>
    <t>Purchase inventory</t>
  </si>
  <si>
    <t>Inventory - food</t>
  </si>
  <si>
    <t>Inventory - supplies</t>
  </si>
  <si>
    <t>Bonus</t>
  </si>
  <si>
    <t>Utilities</t>
  </si>
  <si>
    <t>Revenue</t>
  </si>
  <si>
    <t>Depreciation</t>
  </si>
  <si>
    <t>As of Dec 31, 2022</t>
  </si>
  <si>
    <t>As of Dec 31, 2023</t>
  </si>
  <si>
    <t>As of Jan 1, 2022</t>
  </si>
  <si>
    <t>For the year ending:</t>
  </si>
  <si>
    <t>Dec 31, 2022</t>
  </si>
  <si>
    <t>Utilities expense</t>
  </si>
  <si>
    <t>Advertising</t>
  </si>
  <si>
    <t>SG&amp;A expense</t>
  </si>
  <si>
    <t>New line of teas</t>
  </si>
  <si>
    <t>Inventory + loan</t>
  </si>
  <si>
    <t>Interest Expense</t>
  </si>
  <si>
    <t>Repay loan + int</t>
  </si>
  <si>
    <t>Depreciation exp</t>
  </si>
  <si>
    <t>Record COGS</t>
  </si>
  <si>
    <t>Cost of Goods Sold</t>
  </si>
  <si>
    <t>COGS</t>
  </si>
  <si>
    <t>Unearned Revenue</t>
  </si>
  <si>
    <t>Inventory purchase</t>
  </si>
  <si>
    <t>Cost of goods sold</t>
  </si>
  <si>
    <t>Depreciation expense</t>
  </si>
  <si>
    <t xml:space="preserve">   Unearned revenue</t>
  </si>
  <si>
    <t>Rent Expense (SG&amp;A)</t>
  </si>
  <si>
    <t>Utilities expense (SG&amp;A)</t>
  </si>
  <si>
    <t>Labor expense (COGS)</t>
  </si>
  <si>
    <t>Dec 31, 2023</t>
  </si>
  <si>
    <t>Increase/(Decrease) in Unearned Revenue</t>
  </si>
  <si>
    <t>POS Purchase</t>
  </si>
  <si>
    <t>Mar-Oct Rent</t>
  </si>
  <si>
    <t>Rent Prepayment</t>
  </si>
  <si>
    <t>Equipment - Technology</t>
  </si>
  <si>
    <t>Equipment - Kitchen</t>
  </si>
  <si>
    <t>Furniture and Fixtures</t>
  </si>
  <si>
    <t>2022 Expense</t>
  </si>
  <si>
    <t xml:space="preserve">2023 Expense </t>
  </si>
  <si>
    <t>Expense prepaid rent</t>
  </si>
  <si>
    <t xml:space="preserve">  Borrowing from bank, net</t>
  </si>
  <si>
    <t xml:space="preserve">No entry </t>
  </si>
  <si>
    <t>A.1</t>
  </si>
  <si>
    <t>A.2</t>
  </si>
  <si>
    <t>A.3</t>
  </si>
  <si>
    <t>Cash dividend</t>
  </si>
  <si>
    <t>B.1</t>
  </si>
  <si>
    <t>B.2</t>
  </si>
  <si>
    <t>B.3</t>
  </si>
  <si>
    <t>B.4</t>
  </si>
  <si>
    <t xml:space="preserve">  Cash dividends</t>
  </si>
  <si>
    <t xml:space="preserve">Hired employee </t>
  </si>
  <si>
    <t>B.5</t>
  </si>
  <si>
    <t>Employee pay</t>
  </si>
  <si>
    <t>Supplemental Non-Cash Investing and Financing Activities</t>
  </si>
  <si>
    <t>Acquisitions of fixed assets included in liabilities</t>
  </si>
  <si>
    <t>Deprecation (included in COGS)</t>
  </si>
  <si>
    <t>Note: The concept of supplemental notes to the cash flow statement is beyond the scope of FRC, but was included in this optional case to illustrate the real world complexities of the cash flow statement construction as well as give a simple example of the impact of non-cash activities.</t>
  </si>
  <si>
    <t xml:space="preserve">Note: The non-cash investing activities in row 69 must be removed when calculating the change in 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</si>
</sst>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0_);_(* \(#,##0.000\);_(*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i/>
      <sz val="12"/>
      <color theme="1"/>
      <name val="Calibri"/>
      <family val="2"/>
      <scheme val="minor"/>
    </font>
    <font>
      <sz val="12"/>
      <color rgb="FFFF0000"/>
      <name val="Calibri"/>
      <family val="2"/>
      <scheme val="minor"/>
    </font>
    <font>
      <sz val="12"/>
      <name val="Calibri"/>
      <family val="2"/>
      <scheme val="minor"/>
    </font>
    <font>
      <i/>
      <sz val="12"/>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2">
    <xf numFmtId="0" fontId="0" fillId="0" borderId="0" xfId="0"/>
    <xf numFmtId="0" fontId="2" fillId="0" borderId="1" xfId="0" applyFont="1" applyBorder="1" applyAlignment="1">
      <alignment horizontal="center" textRotation="90" wrapText="1"/>
    </xf>
    <xf numFmtId="164" fontId="0" fillId="0" borderId="0" xfId="1" applyNumberFormat="1" applyFont="1"/>
    <xf numFmtId="164" fontId="0" fillId="0" borderId="0" xfId="0" applyNumberFormat="1"/>
    <xf numFmtId="164" fontId="0" fillId="0" borderId="3" xfId="1" applyNumberFormat="1" applyFont="1" applyBorder="1"/>
    <xf numFmtId="164" fontId="0" fillId="0" borderId="0" xfId="1" applyNumberFormat="1" applyFont="1" applyBorder="1"/>
    <xf numFmtId="0" fontId="2" fillId="0" borderId="0" xfId="0" applyFont="1"/>
    <xf numFmtId="0" fontId="3" fillId="0" borderId="0" xfId="0" applyFont="1"/>
    <xf numFmtId="164" fontId="0" fillId="0" borderId="4" xfId="1" applyNumberFormat="1" applyFont="1" applyBorder="1"/>
    <xf numFmtId="0" fontId="2" fillId="0" borderId="0" xfId="0" applyFont="1" applyAlignment="1">
      <alignment horizontal="center"/>
    </xf>
    <xf numFmtId="164" fontId="0" fillId="0" borderId="5" xfId="1" applyNumberFormat="1" applyFont="1" applyBorder="1"/>
    <xf numFmtId="16" fontId="2" fillId="0" borderId="0" xfId="0" quotePrefix="1" applyNumberFormat="1" applyFont="1" applyAlignment="1">
      <alignment horizontal="right"/>
    </xf>
    <xf numFmtId="16" fontId="2" fillId="0" borderId="0" xfId="0" quotePrefix="1" applyNumberFormat="1" applyFont="1" applyAlignment="1">
      <alignment horizontal="centerContinuous"/>
    </xf>
    <xf numFmtId="0" fontId="2" fillId="0" borderId="0" xfId="0" quotePrefix="1" applyFont="1" applyAlignment="1">
      <alignment horizontal="center"/>
    </xf>
    <xf numFmtId="164" fontId="0" fillId="0" borderId="6" xfId="1" applyNumberFormat="1" applyFont="1" applyBorder="1"/>
    <xf numFmtId="164" fontId="0" fillId="0" borderId="2" xfId="1" applyNumberFormat="1" applyFont="1" applyBorder="1"/>
    <xf numFmtId="0" fontId="0" fillId="0" borderId="3" xfId="0"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left" indent="3"/>
    </xf>
    <xf numFmtId="0" fontId="0" fillId="2" borderId="0" xfId="0" applyFill="1"/>
    <xf numFmtId="0" fontId="2" fillId="2" borderId="1" xfId="0" applyFont="1" applyFill="1" applyBorder="1" applyAlignment="1">
      <alignment horizontal="center" textRotation="90"/>
    </xf>
    <xf numFmtId="164" fontId="0" fillId="2" borderId="0" xfId="1" applyNumberFormat="1" applyFont="1" applyFill="1"/>
    <xf numFmtId="164" fontId="0" fillId="2" borderId="3" xfId="1" applyNumberFormat="1" applyFont="1" applyFill="1" applyBorder="1"/>
    <xf numFmtId="0" fontId="0" fillId="0" borderId="0" xfId="0" applyAlignment="1">
      <alignment horizontal="left"/>
    </xf>
    <xf numFmtId="0" fontId="2" fillId="0" borderId="7" xfId="0" applyFont="1" applyBorder="1" applyAlignment="1">
      <alignment horizontal="center" textRotation="90" wrapText="1"/>
    </xf>
    <xf numFmtId="0" fontId="0" fillId="0" borderId="8" xfId="0" applyBorder="1" applyAlignment="1">
      <alignment horizontal="right"/>
    </xf>
    <xf numFmtId="164" fontId="0" fillId="0" borderId="8" xfId="1" applyNumberFormat="1" applyFont="1" applyBorder="1"/>
    <xf numFmtId="164" fontId="0" fillId="0" borderId="9" xfId="1" applyNumberFormat="1" applyFont="1" applyBorder="1"/>
    <xf numFmtId="0" fontId="0" fillId="0" borderId="8" xfId="0" applyBorder="1"/>
    <xf numFmtId="0" fontId="2" fillId="0" borderId="8" xfId="0" applyFont="1" applyBorder="1"/>
    <xf numFmtId="164" fontId="2" fillId="0" borderId="10" xfId="1" applyNumberFormat="1" applyFont="1" applyBorder="1" applyAlignment="1">
      <alignment horizontal="left" wrapText="1"/>
    </xf>
    <xf numFmtId="164" fontId="2" fillId="0" borderId="6" xfId="1" applyNumberFormat="1" applyFont="1" applyBorder="1" applyAlignment="1">
      <alignment horizontal="center" wrapText="1"/>
    </xf>
    <xf numFmtId="0" fontId="0" fillId="0" borderId="11" xfId="0" applyBorder="1"/>
    <xf numFmtId="9" fontId="0" fillId="0" borderId="0" xfId="2" applyFont="1" applyBorder="1"/>
    <xf numFmtId="0" fontId="0" fillId="0" borderId="12" xfId="0" applyBorder="1"/>
    <xf numFmtId="164" fontId="0" fillId="0" borderId="4" xfId="0" applyNumberFormat="1" applyBorder="1"/>
    <xf numFmtId="9" fontId="0" fillId="0" borderId="4" xfId="2" applyFont="1" applyBorder="1"/>
    <xf numFmtId="164" fontId="0" fillId="0" borderId="13" xfId="1" applyNumberFormat="1" applyFont="1" applyBorder="1"/>
    <xf numFmtId="0" fontId="4" fillId="0" borderId="0" xfId="0" applyFont="1"/>
    <xf numFmtId="164" fontId="0" fillId="0" borderId="0" xfId="1" applyNumberFormat="1" applyFont="1" applyFill="1"/>
    <xf numFmtId="1" fontId="2" fillId="0" borderId="7" xfId="1" applyNumberFormat="1" applyFont="1" applyBorder="1" applyAlignment="1">
      <alignment horizontal="center" vertical="center" wrapText="1"/>
    </xf>
    <xf numFmtId="164" fontId="5" fillId="0" borderId="0" xfId="0" applyNumberFormat="1" applyFont="1"/>
    <xf numFmtId="164" fontId="7" fillId="0" borderId="0" xfId="0" applyNumberFormat="1" applyFont="1"/>
    <xf numFmtId="164" fontId="6" fillId="0" borderId="0" xfId="1" applyNumberFormat="1" applyFont="1"/>
    <xf numFmtId="164" fontId="0" fillId="0" borderId="5" xfId="1" applyNumberFormat="1" applyFont="1" applyFill="1" applyBorder="1"/>
    <xf numFmtId="164" fontId="0" fillId="3" borderId="0" xfId="1" applyNumberFormat="1" applyFont="1" applyFill="1"/>
    <xf numFmtId="164" fontId="0" fillId="4" borderId="0" xfId="1" applyNumberFormat="1" applyFont="1" applyFill="1"/>
    <xf numFmtId="164" fontId="0" fillId="5" borderId="0" xfId="1" applyNumberFormat="1" applyFont="1" applyFill="1"/>
    <xf numFmtId="164" fontId="0" fillId="6" borderId="0" xfId="1" applyNumberFormat="1" applyFont="1" applyFill="1"/>
    <xf numFmtId="164" fontId="0" fillId="7" borderId="0" xfId="1" applyNumberFormat="1" applyFont="1" applyFill="1"/>
    <xf numFmtId="43" fontId="0" fillId="0" borderId="0" xfId="1" applyFont="1"/>
    <xf numFmtId="0" fontId="0" fillId="0" borderId="0" xfId="0" applyAlignment="1">
      <alignment horizontal="right"/>
    </xf>
    <xf numFmtId="165" fontId="0" fillId="0" borderId="0" xfId="1" applyNumberFormat="1" applyFont="1"/>
    <xf numFmtId="43" fontId="0" fillId="0" borderId="0" xfId="0" applyNumberFormat="1"/>
    <xf numFmtId="0" fontId="0" fillId="0" borderId="7" xfId="0"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0" fillId="0" borderId="4" xfId="0" applyBorder="1" applyAlignment="1">
      <alignment horizontal="center"/>
    </xf>
    <xf numFmtId="0" fontId="4" fillId="0" borderId="14" xfId="0" applyFont="1" applyBorder="1"/>
    <xf numFmtId="0" fontId="0" fillId="0" borderId="15" xfId="0" applyBorder="1"/>
    <xf numFmtId="0" fontId="0" fillId="0" borderId="16" xfId="0" applyBorder="1"/>
    <xf numFmtId="0" fontId="4" fillId="0" borderId="17" xfId="0" applyFont="1" applyBorder="1" applyAlignment="1">
      <alignment horizontal="left" vertical="top" wrapText="1"/>
    </xf>
    <xf numFmtId="0" fontId="4" fillId="0" borderId="18"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0" xfId="0" applyFont="1" applyBorder="1" applyAlignment="1">
      <alignment horizontal="left" vertical="top" wrapText="1"/>
    </xf>
    <xf numFmtId="0" fontId="4" fillId="0" borderId="21"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24" xfId="0" applyFont="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rowiec, Miles" id="{EAAD7CC1-988F-461F-AF85-3EB1190CCF30}" userId="S::mmrowiec@hbs.edu::cfdcdaf5-e19e-42d9-89dd-cbb77fb65cc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7" dT="2024-05-21T16:20:13.92" personId="{EAAD7CC1-988F-461F-AF85-3EB1190CCF30}" id="{959E58CB-0769-45B5-ABCC-45D0E2078A17}">
    <text>See ASC 480-10-S99-2, needs to hit APIC since no RE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72"/>
  <sheetViews>
    <sheetView zoomScaleNormal="100" workbookViewId="0">
      <pane xSplit="2" ySplit="2" topLeftCell="E28" activePane="bottomRight" state="frozen"/>
      <selection activeCell="C29" sqref="C29"/>
      <selection pane="topRight" activeCell="C29" sqref="C29"/>
      <selection pane="bottomLeft" activeCell="C29" sqref="C29"/>
      <selection pane="bottomRight" activeCell="K41" sqref="K41"/>
    </sheetView>
  </sheetViews>
  <sheetFormatPr baseColWidth="10" defaultColWidth="11" defaultRowHeight="16" x14ac:dyDescent="0.2"/>
  <cols>
    <col min="1" max="1" width="5.1640625" customWidth="1"/>
    <col min="2" max="2" width="20.6640625" customWidth="1"/>
    <col min="3" max="3" width="11.1640625" bestFit="1" customWidth="1"/>
    <col min="4" max="4" width="10.6640625" bestFit="1" customWidth="1"/>
    <col min="5" max="5" width="13.1640625" bestFit="1" customWidth="1"/>
    <col min="6" max="6" width="10.1640625" bestFit="1" customWidth="1"/>
    <col min="7" max="7" width="11" customWidth="1"/>
    <col min="8" max="8" width="12.1640625" bestFit="1" customWidth="1"/>
    <col min="9" max="9" width="10.6640625" customWidth="1"/>
    <col min="10" max="10" width="8.1640625" bestFit="1" customWidth="1"/>
    <col min="11" max="11" width="10.1640625" bestFit="1" customWidth="1"/>
    <col min="12" max="13" width="7.6640625" bestFit="1" customWidth="1"/>
    <col min="14" max="14" width="9.1640625" bestFit="1" customWidth="1"/>
    <col min="15" max="15" width="11.1640625" bestFit="1" customWidth="1"/>
    <col min="16" max="16" width="10.6640625" bestFit="1" customWidth="1"/>
    <col min="17" max="17" width="1.1640625" customWidth="1"/>
    <col min="18" max="18" width="9.6640625" bestFit="1" customWidth="1"/>
    <col min="19" max="19" width="10.6640625" bestFit="1" customWidth="1"/>
    <col min="20" max="20" width="26.83203125" customWidth="1"/>
    <col min="21" max="21" width="14.6640625" customWidth="1"/>
  </cols>
  <sheetData>
    <row r="1" spans="1:21" x14ac:dyDescent="0.2">
      <c r="A1" s="25"/>
      <c r="B1" s="27" t="s">
        <v>79</v>
      </c>
      <c r="C1" s="56" t="s">
        <v>27</v>
      </c>
      <c r="D1" s="57"/>
      <c r="E1" s="57"/>
      <c r="F1" s="57"/>
      <c r="G1" s="57"/>
      <c r="H1" s="57"/>
      <c r="I1" s="57"/>
      <c r="J1" s="58" t="s">
        <v>80</v>
      </c>
      <c r="K1" s="57"/>
      <c r="L1" s="57"/>
      <c r="M1" s="57"/>
      <c r="N1" s="58" t="s">
        <v>81</v>
      </c>
      <c r="O1" s="58"/>
      <c r="P1" s="58"/>
      <c r="Q1" s="21"/>
      <c r="R1" s="59" t="s">
        <v>82</v>
      </c>
      <c r="S1" s="59"/>
    </row>
    <row r="2" spans="1:21" ht="107.25" customHeight="1" x14ac:dyDescent="0.2">
      <c r="A2" s="1" t="s">
        <v>0</v>
      </c>
      <c r="B2" s="1" t="s">
        <v>1</v>
      </c>
      <c r="C2" s="26" t="s">
        <v>2</v>
      </c>
      <c r="D2" s="1" t="s">
        <v>3</v>
      </c>
      <c r="E2" s="1" t="s">
        <v>95</v>
      </c>
      <c r="F2" s="1" t="s">
        <v>94</v>
      </c>
      <c r="G2" s="1" t="s">
        <v>4</v>
      </c>
      <c r="H2" s="1" t="s">
        <v>5</v>
      </c>
      <c r="I2" s="1" t="s">
        <v>6</v>
      </c>
      <c r="J2" s="26" t="s">
        <v>87</v>
      </c>
      <c r="K2" s="1" t="s">
        <v>7</v>
      </c>
      <c r="L2" s="1" t="s">
        <v>116</v>
      </c>
      <c r="M2" s="1" t="s">
        <v>8</v>
      </c>
      <c r="N2" s="26" t="s">
        <v>83</v>
      </c>
      <c r="O2" s="26" t="s">
        <v>84</v>
      </c>
      <c r="P2" s="1" t="s">
        <v>9</v>
      </c>
      <c r="Q2" s="22"/>
      <c r="R2" s="1" t="s">
        <v>10</v>
      </c>
      <c r="S2" s="1" t="s">
        <v>11</v>
      </c>
      <c r="T2" s="19" t="s">
        <v>12</v>
      </c>
      <c r="U2" s="19" t="s">
        <v>68</v>
      </c>
    </row>
    <row r="3" spans="1:21" x14ac:dyDescent="0.2">
      <c r="A3">
        <v>1</v>
      </c>
      <c r="B3" s="30" t="s">
        <v>13</v>
      </c>
      <c r="C3" s="50">
        <v>150000</v>
      </c>
      <c r="D3" s="2"/>
      <c r="E3" s="2"/>
      <c r="F3" s="2"/>
      <c r="G3" s="2"/>
      <c r="H3" s="2"/>
      <c r="I3" s="28"/>
      <c r="J3" s="2"/>
      <c r="K3" s="2"/>
      <c r="L3" s="2"/>
      <c r="M3" s="28"/>
      <c r="N3" s="2">
        <v>1000</v>
      </c>
      <c r="O3" s="2">
        <f>49600+49600+49800</f>
        <v>149000</v>
      </c>
      <c r="P3" s="2"/>
      <c r="Q3" s="23"/>
      <c r="R3" s="2"/>
      <c r="S3" s="41">
        <v>0</v>
      </c>
      <c r="U3" s="3">
        <f t="shared" ref="U3:U41" si="0">SUM(C3:I3)-SUM(J3:S3)</f>
        <v>0</v>
      </c>
    </row>
    <row r="4" spans="1:21" x14ac:dyDescent="0.2">
      <c r="A4">
        <v>2</v>
      </c>
      <c r="B4" s="30" t="s">
        <v>92</v>
      </c>
      <c r="C4" s="48">
        <v>-32600</v>
      </c>
      <c r="D4" s="2"/>
      <c r="E4" s="2"/>
      <c r="F4" s="2"/>
      <c r="G4" s="2"/>
      <c r="H4" s="51">
        <v>7500</v>
      </c>
      <c r="I4" s="28"/>
      <c r="J4" s="2"/>
      <c r="K4" s="2"/>
      <c r="L4" s="2"/>
      <c r="M4" s="28"/>
      <c r="N4" s="2"/>
      <c r="O4" s="2"/>
      <c r="P4" s="2"/>
      <c r="Q4" s="23"/>
      <c r="R4" s="2"/>
      <c r="S4" s="2">
        <v>-25100</v>
      </c>
      <c r="T4" t="s">
        <v>121</v>
      </c>
      <c r="U4" s="3">
        <f t="shared" si="0"/>
        <v>0</v>
      </c>
    </row>
    <row r="5" spans="1:21" x14ac:dyDescent="0.2">
      <c r="A5">
        <v>3</v>
      </c>
      <c r="B5" s="30" t="s">
        <v>14</v>
      </c>
      <c r="C5" s="48">
        <v>-4300</v>
      </c>
      <c r="D5" s="2"/>
      <c r="E5" s="2"/>
      <c r="F5" s="2"/>
      <c r="G5" s="2"/>
      <c r="H5" s="2"/>
      <c r="I5" s="28"/>
      <c r="J5" s="2"/>
      <c r="K5" s="2"/>
      <c r="L5" s="2"/>
      <c r="M5" s="28"/>
      <c r="N5" s="2"/>
      <c r="O5" s="2"/>
      <c r="P5" s="2"/>
      <c r="Q5" s="23"/>
      <c r="R5" s="2"/>
      <c r="S5" s="2">
        <v>-4300</v>
      </c>
      <c r="T5" t="s">
        <v>91</v>
      </c>
      <c r="U5" s="3">
        <f t="shared" si="0"/>
        <v>0</v>
      </c>
    </row>
    <row r="6" spans="1:21" x14ac:dyDescent="0.2">
      <c r="A6">
        <v>4</v>
      </c>
      <c r="B6" s="30" t="s">
        <v>16</v>
      </c>
      <c r="C6" s="51">
        <v>-20740</v>
      </c>
      <c r="D6" s="2"/>
      <c r="E6" s="2"/>
      <c r="F6" s="2"/>
      <c r="G6" s="2"/>
      <c r="H6" s="48">
        <v>20740</v>
      </c>
      <c r="I6" s="28"/>
      <c r="J6" s="2"/>
      <c r="K6" s="2"/>
      <c r="L6" s="2"/>
      <c r="M6" s="28"/>
      <c r="N6" s="2"/>
      <c r="O6" s="2"/>
      <c r="P6" s="2"/>
      <c r="Q6" s="23"/>
      <c r="R6" s="2"/>
      <c r="S6" s="2">
        <v>0</v>
      </c>
      <c r="U6" s="3">
        <f t="shared" si="0"/>
        <v>0</v>
      </c>
    </row>
    <row r="7" spans="1:21" x14ac:dyDescent="0.2">
      <c r="A7">
        <v>5</v>
      </c>
      <c r="B7" s="30" t="s">
        <v>93</v>
      </c>
      <c r="C7" s="48">
        <v>-18164</v>
      </c>
      <c r="D7" s="2"/>
      <c r="E7" s="2">
        <v>5890</v>
      </c>
      <c r="F7" s="2">
        <v>12274</v>
      </c>
      <c r="G7" s="2"/>
      <c r="H7" s="2"/>
      <c r="I7" s="28"/>
      <c r="J7" s="2"/>
      <c r="K7" s="2"/>
      <c r="L7" s="2"/>
      <c r="M7" s="28"/>
      <c r="N7" s="2"/>
      <c r="O7" s="2"/>
      <c r="P7" s="2"/>
      <c r="Q7" s="23"/>
      <c r="R7" s="2"/>
      <c r="S7" s="2">
        <v>0</v>
      </c>
      <c r="U7" s="3">
        <f t="shared" si="0"/>
        <v>0</v>
      </c>
    </row>
    <row r="8" spans="1:21" x14ac:dyDescent="0.2">
      <c r="A8">
        <v>6</v>
      </c>
      <c r="B8" s="30" t="s">
        <v>146</v>
      </c>
      <c r="C8" s="48">
        <v>-34500</v>
      </c>
      <c r="D8" s="2"/>
      <c r="E8" s="2"/>
      <c r="F8" s="2"/>
      <c r="G8" s="2"/>
      <c r="H8" s="2"/>
      <c r="I8" s="28"/>
      <c r="J8" s="2"/>
      <c r="K8" s="2"/>
      <c r="L8" s="2"/>
      <c r="M8" s="28"/>
      <c r="N8" s="2"/>
      <c r="O8" s="2"/>
      <c r="P8" s="2"/>
      <c r="Q8" s="23"/>
      <c r="R8" s="2"/>
      <c r="S8" s="2">
        <v>-34500</v>
      </c>
      <c r="T8" t="s">
        <v>123</v>
      </c>
      <c r="U8" s="3">
        <f t="shared" ref="U8" si="1">SUM(C8:I8)-SUM(J8:S8)</f>
        <v>0</v>
      </c>
    </row>
    <row r="9" spans="1:21" x14ac:dyDescent="0.2">
      <c r="A9">
        <v>7</v>
      </c>
      <c r="B9" s="30" t="s">
        <v>136</v>
      </c>
      <c r="C9" s="41"/>
      <c r="D9" s="2"/>
      <c r="E9" s="2"/>
      <c r="F9" s="2"/>
      <c r="G9" s="2"/>
      <c r="H9" s="2"/>
      <c r="I9" s="28"/>
      <c r="J9" s="2"/>
      <c r="K9" s="2"/>
      <c r="L9" s="2"/>
      <c r="M9" s="28"/>
      <c r="N9" s="2"/>
      <c r="O9" s="2"/>
      <c r="P9" s="2"/>
      <c r="Q9" s="23"/>
      <c r="R9" s="2"/>
      <c r="S9" s="2">
        <v>0</v>
      </c>
      <c r="U9" s="3">
        <f t="shared" si="0"/>
        <v>0</v>
      </c>
    </row>
    <row r="10" spans="1:21" x14ac:dyDescent="0.2">
      <c r="A10">
        <v>8</v>
      </c>
      <c r="B10" s="30" t="s">
        <v>96</v>
      </c>
      <c r="C10" s="48">
        <v>-1500</v>
      </c>
      <c r="D10" s="2"/>
      <c r="E10" s="2"/>
      <c r="F10" s="2"/>
      <c r="G10" s="2"/>
      <c r="H10" s="2"/>
      <c r="I10" s="28"/>
      <c r="J10" s="2"/>
      <c r="K10" s="2"/>
      <c r="L10" s="2"/>
      <c r="M10" s="28"/>
      <c r="N10" s="2"/>
      <c r="O10" s="2"/>
      <c r="P10" s="2"/>
      <c r="Q10" s="23"/>
      <c r="R10" s="2"/>
      <c r="S10" s="2">
        <v>-1500</v>
      </c>
      <c r="T10" t="s">
        <v>123</v>
      </c>
      <c r="U10" s="3">
        <f t="shared" si="0"/>
        <v>0</v>
      </c>
    </row>
    <row r="11" spans="1:21" x14ac:dyDescent="0.2">
      <c r="A11">
        <v>9</v>
      </c>
      <c r="B11" s="30" t="s">
        <v>127</v>
      </c>
      <c r="C11" s="49">
        <v>-32000</v>
      </c>
      <c r="D11" s="2"/>
      <c r="E11" s="2"/>
      <c r="F11" s="2"/>
      <c r="G11" s="2"/>
      <c r="H11" s="2"/>
      <c r="I11" s="28"/>
      <c r="J11" s="2"/>
      <c r="K11" s="2"/>
      <c r="L11" s="2"/>
      <c r="M11" s="28"/>
      <c r="N11" s="2"/>
      <c r="O11" s="2"/>
      <c r="P11" s="2"/>
      <c r="Q11" s="23"/>
      <c r="R11" s="2"/>
      <c r="S11" s="2">
        <v>-32000</v>
      </c>
      <c r="T11" t="s">
        <v>121</v>
      </c>
      <c r="U11" s="3">
        <f t="shared" si="0"/>
        <v>0</v>
      </c>
    </row>
    <row r="12" spans="1:21" x14ac:dyDescent="0.2">
      <c r="A12">
        <v>10</v>
      </c>
      <c r="B12" s="30" t="s">
        <v>97</v>
      </c>
      <c r="C12" s="49">
        <v>-10000</v>
      </c>
      <c r="D12" s="2"/>
      <c r="E12" s="2"/>
      <c r="F12" s="2"/>
      <c r="G12" s="2"/>
      <c r="H12" s="2"/>
      <c r="I12" s="28"/>
      <c r="J12" s="2"/>
      <c r="K12" s="2"/>
      <c r="L12" s="2"/>
      <c r="M12" s="28"/>
      <c r="N12" s="2"/>
      <c r="O12" s="2"/>
      <c r="P12" s="2"/>
      <c r="Q12" s="23"/>
      <c r="R12" s="2"/>
      <c r="S12" s="41">
        <v>-10000</v>
      </c>
      <c r="T12" t="s">
        <v>122</v>
      </c>
      <c r="U12" s="3">
        <f t="shared" si="0"/>
        <v>0</v>
      </c>
    </row>
    <row r="13" spans="1:21" x14ac:dyDescent="0.2">
      <c r="A13">
        <v>11</v>
      </c>
      <c r="B13" s="30" t="s">
        <v>109</v>
      </c>
      <c r="C13" s="48">
        <v>-5750</v>
      </c>
      <c r="D13" s="2"/>
      <c r="E13" s="2"/>
      <c r="F13" s="2">
        <v>25750</v>
      </c>
      <c r="G13" s="2"/>
      <c r="H13" s="2"/>
      <c r="I13" s="28"/>
      <c r="J13" s="2">
        <v>20000</v>
      </c>
      <c r="K13" s="2"/>
      <c r="L13" s="2"/>
      <c r="M13" s="28"/>
      <c r="N13" s="2"/>
      <c r="O13" s="2"/>
      <c r="P13" s="2"/>
      <c r="Q13" s="23"/>
      <c r="R13" s="2"/>
      <c r="S13" s="2">
        <v>0</v>
      </c>
      <c r="T13" s="41"/>
      <c r="U13" s="3">
        <f t="shared" si="0"/>
        <v>0</v>
      </c>
    </row>
    <row r="14" spans="1:21" x14ac:dyDescent="0.2">
      <c r="A14">
        <v>12</v>
      </c>
      <c r="B14" s="30" t="s">
        <v>111</v>
      </c>
      <c r="C14" s="49">
        <v>-20800</v>
      </c>
      <c r="D14" s="2"/>
      <c r="E14" s="2"/>
      <c r="F14" s="2"/>
      <c r="G14" s="2"/>
      <c r="H14" s="2"/>
      <c r="I14" s="28"/>
      <c r="J14" s="2">
        <v>-20000</v>
      </c>
      <c r="K14" s="2"/>
      <c r="L14" s="2"/>
      <c r="M14" s="28"/>
      <c r="N14" s="2"/>
      <c r="O14" s="2"/>
      <c r="P14" s="2"/>
      <c r="Q14" s="23"/>
      <c r="R14" s="2"/>
      <c r="S14" s="2">
        <v>-800</v>
      </c>
      <c r="T14" t="s">
        <v>110</v>
      </c>
      <c r="U14" s="3">
        <f t="shared" si="0"/>
        <v>0</v>
      </c>
    </row>
    <row r="15" spans="1:21" x14ac:dyDescent="0.2">
      <c r="A15">
        <v>13</v>
      </c>
      <c r="B15" s="30" t="s">
        <v>128</v>
      </c>
      <c r="C15" s="49">
        <v>-42000</v>
      </c>
      <c r="D15" s="2"/>
      <c r="E15" s="2"/>
      <c r="F15" s="2"/>
      <c r="G15" s="2">
        <f>42000-7000</f>
        <v>35000</v>
      </c>
      <c r="H15" s="2"/>
      <c r="I15" s="28"/>
      <c r="J15" s="2"/>
      <c r="K15" s="2"/>
      <c r="L15" s="2"/>
      <c r="M15" s="28"/>
      <c r="N15" s="2"/>
      <c r="O15" s="2"/>
      <c r="P15" s="2"/>
      <c r="Q15" s="23"/>
      <c r="R15" s="2"/>
      <c r="S15" s="2">
        <v>-7000</v>
      </c>
      <c r="T15" t="s">
        <v>121</v>
      </c>
      <c r="U15" s="3">
        <f t="shared" si="0"/>
        <v>0</v>
      </c>
    </row>
    <row r="16" spans="1:21" x14ac:dyDescent="0.2">
      <c r="A16">
        <v>14</v>
      </c>
      <c r="B16" s="30" t="s">
        <v>93</v>
      </c>
      <c r="C16" s="48">
        <v>-55427</v>
      </c>
      <c r="D16" s="2"/>
      <c r="E16" s="2">
        <v>12310</v>
      </c>
      <c r="F16" s="2">
        <v>57717</v>
      </c>
      <c r="G16" s="2"/>
      <c r="H16" s="2"/>
      <c r="I16" s="28"/>
      <c r="J16" s="2"/>
      <c r="K16" s="2">
        <v>14600</v>
      </c>
      <c r="L16" s="2"/>
      <c r="M16" s="28"/>
      <c r="N16" s="2"/>
      <c r="O16" s="2"/>
      <c r="P16" s="2"/>
      <c r="Q16" s="23"/>
      <c r="R16" s="2"/>
      <c r="S16" s="2">
        <v>0</v>
      </c>
      <c r="U16" s="3">
        <f t="shared" si="0"/>
        <v>0</v>
      </c>
    </row>
    <row r="17" spans="1:22" x14ac:dyDescent="0.2">
      <c r="A17" s="53" t="s">
        <v>137</v>
      </c>
      <c r="B17" s="30" t="s">
        <v>98</v>
      </c>
      <c r="C17" s="47">
        <v>148031</v>
      </c>
      <c r="D17" s="2">
        <v>14850</v>
      </c>
      <c r="E17" s="2"/>
      <c r="F17" s="2"/>
      <c r="G17" s="2"/>
      <c r="H17" s="2"/>
      <c r="I17" s="28"/>
      <c r="J17" s="2"/>
      <c r="K17" s="2"/>
      <c r="L17" s="2"/>
      <c r="M17" s="28"/>
      <c r="N17" s="2"/>
      <c r="O17" s="2"/>
      <c r="P17" s="2"/>
      <c r="Q17" s="23"/>
      <c r="R17" s="2">
        <v>162881</v>
      </c>
      <c r="S17" s="2"/>
      <c r="T17" t="s">
        <v>98</v>
      </c>
      <c r="U17" s="3">
        <f t="shared" si="0"/>
        <v>0</v>
      </c>
    </row>
    <row r="18" spans="1:22" x14ac:dyDescent="0.2">
      <c r="A18" s="53" t="s">
        <v>138</v>
      </c>
      <c r="B18" s="30" t="s">
        <v>113</v>
      </c>
      <c r="C18" s="2">
        <v>0</v>
      </c>
      <c r="D18" s="2"/>
      <c r="E18" s="2">
        <v>-17450</v>
      </c>
      <c r="F18" s="2">
        <v>-90241</v>
      </c>
      <c r="G18" s="2"/>
      <c r="H18" s="2"/>
      <c r="I18" s="28"/>
      <c r="J18" s="2"/>
      <c r="K18" s="2"/>
      <c r="L18" s="2"/>
      <c r="M18" s="28"/>
      <c r="N18" s="2"/>
      <c r="O18" s="2"/>
      <c r="P18" s="2"/>
      <c r="Q18" s="23"/>
      <c r="R18" s="2"/>
      <c r="S18" s="2">
        <v>-107691</v>
      </c>
      <c r="T18" t="s">
        <v>114</v>
      </c>
      <c r="U18" s="3">
        <f t="shared" si="0"/>
        <v>0</v>
      </c>
    </row>
    <row r="19" spans="1:22" x14ac:dyDescent="0.2">
      <c r="A19" s="53" t="s">
        <v>139</v>
      </c>
      <c r="B19" s="30" t="s">
        <v>99</v>
      </c>
      <c r="C19" s="2">
        <v>0</v>
      </c>
      <c r="D19" s="2"/>
      <c r="E19" s="2"/>
      <c r="F19" s="2"/>
      <c r="G19" s="2"/>
      <c r="H19" s="2">
        <v>-2824</v>
      </c>
      <c r="I19" s="28"/>
      <c r="J19" s="2"/>
      <c r="K19" s="2"/>
      <c r="L19" s="2"/>
      <c r="M19" s="28"/>
      <c r="N19" s="2"/>
      <c r="O19" s="2"/>
      <c r="P19" s="2"/>
      <c r="Q19" s="23"/>
      <c r="R19" s="2"/>
      <c r="S19" s="2">
        <v>-2824</v>
      </c>
      <c r="T19" t="s">
        <v>151</v>
      </c>
      <c r="U19" s="3">
        <f t="shared" si="0"/>
        <v>0</v>
      </c>
    </row>
    <row r="20" spans="1:22" x14ac:dyDescent="0.2">
      <c r="B20" s="30"/>
      <c r="C20" s="4">
        <f t="shared" ref="C20:P20" si="2">SUM(C3:C19)</f>
        <v>20250</v>
      </c>
      <c r="D20" s="4">
        <f t="shared" si="2"/>
        <v>14850</v>
      </c>
      <c r="E20" s="4">
        <f t="shared" si="2"/>
        <v>750</v>
      </c>
      <c r="F20" s="4">
        <f t="shared" si="2"/>
        <v>5500</v>
      </c>
      <c r="G20" s="4">
        <f t="shared" si="2"/>
        <v>35000</v>
      </c>
      <c r="H20" s="4">
        <f t="shared" si="2"/>
        <v>25416</v>
      </c>
      <c r="I20" s="29">
        <f t="shared" si="2"/>
        <v>0</v>
      </c>
      <c r="J20" s="4">
        <f t="shared" si="2"/>
        <v>0</v>
      </c>
      <c r="K20" s="4">
        <f t="shared" si="2"/>
        <v>14600</v>
      </c>
      <c r="L20" s="4">
        <f t="shared" si="2"/>
        <v>0</v>
      </c>
      <c r="M20" s="29">
        <f t="shared" si="2"/>
        <v>0</v>
      </c>
      <c r="N20" s="4">
        <f t="shared" si="2"/>
        <v>1000</v>
      </c>
      <c r="O20" s="4">
        <f t="shared" si="2"/>
        <v>149000</v>
      </c>
      <c r="P20" s="29">
        <f t="shared" si="2"/>
        <v>0</v>
      </c>
      <c r="Q20" s="24"/>
      <c r="R20" s="4">
        <f>SUM(R3:R19)</f>
        <v>162881</v>
      </c>
      <c r="S20" s="4">
        <f>SUM(S3:S19)</f>
        <v>-225715</v>
      </c>
      <c r="T20" s="5"/>
      <c r="U20" s="3">
        <f t="shared" si="0"/>
        <v>0</v>
      </c>
      <c r="V20" s="5"/>
    </row>
    <row r="21" spans="1:22" x14ac:dyDescent="0.2">
      <c r="B21" s="30" t="s">
        <v>17</v>
      </c>
      <c r="C21" s="2"/>
      <c r="D21" s="2"/>
      <c r="E21" s="2"/>
      <c r="F21" s="2"/>
      <c r="G21" s="2"/>
      <c r="H21" s="2"/>
      <c r="I21" s="28"/>
      <c r="J21" s="2"/>
      <c r="K21" s="2"/>
      <c r="L21" s="2"/>
      <c r="M21" s="28"/>
      <c r="N21" s="2"/>
      <c r="O21" s="2"/>
      <c r="P21" s="28">
        <f>-SUM(R21:S21)</f>
        <v>-62834</v>
      </c>
      <c r="Q21" s="23"/>
      <c r="R21" s="2">
        <f>-R20</f>
        <v>-162881</v>
      </c>
      <c r="S21" s="2">
        <f>-S20</f>
        <v>225715</v>
      </c>
      <c r="U21" s="3">
        <f t="shared" si="0"/>
        <v>0</v>
      </c>
    </row>
    <row r="22" spans="1:22" x14ac:dyDescent="0.2">
      <c r="B22" s="31" t="s">
        <v>88</v>
      </c>
      <c r="C22" s="4">
        <f t="shared" ref="C22:P22" si="3">C20+C21</f>
        <v>20250</v>
      </c>
      <c r="D22" s="4">
        <f t="shared" si="3"/>
        <v>14850</v>
      </c>
      <c r="E22" s="4">
        <f t="shared" si="3"/>
        <v>750</v>
      </c>
      <c r="F22" s="4">
        <f t="shared" si="3"/>
        <v>5500</v>
      </c>
      <c r="G22" s="4">
        <f t="shared" si="3"/>
        <v>35000</v>
      </c>
      <c r="H22" s="4">
        <f t="shared" si="3"/>
        <v>25416</v>
      </c>
      <c r="I22" s="29">
        <f t="shared" si="3"/>
        <v>0</v>
      </c>
      <c r="J22" s="4">
        <f t="shared" si="3"/>
        <v>0</v>
      </c>
      <c r="K22" s="4">
        <f t="shared" si="3"/>
        <v>14600</v>
      </c>
      <c r="L22" s="4">
        <f t="shared" si="3"/>
        <v>0</v>
      </c>
      <c r="M22" s="29">
        <f t="shared" si="3"/>
        <v>0</v>
      </c>
      <c r="N22" s="4">
        <f t="shared" si="3"/>
        <v>1000</v>
      </c>
      <c r="O22" s="4">
        <f t="shared" si="3"/>
        <v>149000</v>
      </c>
      <c r="P22" s="29">
        <f t="shared" si="3"/>
        <v>-62834</v>
      </c>
      <c r="Q22" s="24"/>
      <c r="R22" s="4">
        <f>R20+R21</f>
        <v>0</v>
      </c>
      <c r="S22" s="4">
        <f>S20+S21</f>
        <v>0</v>
      </c>
      <c r="U22" s="3">
        <f t="shared" si="0"/>
        <v>0</v>
      </c>
    </row>
    <row r="23" spans="1:22" x14ac:dyDescent="0.2">
      <c r="B23" s="30"/>
      <c r="C23" s="2"/>
      <c r="D23" s="2"/>
      <c r="E23" s="2"/>
      <c r="F23" s="2"/>
      <c r="G23" s="2"/>
      <c r="H23" s="2"/>
      <c r="I23" s="28"/>
      <c r="J23" s="2"/>
      <c r="K23" s="2"/>
      <c r="L23" s="2"/>
      <c r="M23" s="28"/>
      <c r="N23" s="2"/>
      <c r="O23" s="2"/>
      <c r="P23" s="2"/>
      <c r="Q23" s="23"/>
      <c r="R23" s="2"/>
      <c r="S23" s="2"/>
      <c r="U23" s="3">
        <f t="shared" si="0"/>
        <v>0</v>
      </c>
    </row>
    <row r="24" spans="1:22" x14ac:dyDescent="0.2">
      <c r="A24">
        <v>15</v>
      </c>
      <c r="B24" s="30" t="s">
        <v>105</v>
      </c>
      <c r="C24" s="48">
        <v>-36000</v>
      </c>
      <c r="D24" s="2"/>
      <c r="E24" s="2"/>
      <c r="F24" s="2"/>
      <c r="G24" s="2"/>
      <c r="H24" s="2"/>
      <c r="I24" s="28"/>
      <c r="J24" s="2"/>
      <c r="K24" s="2"/>
      <c r="L24" s="2"/>
      <c r="M24" s="28"/>
      <c r="N24" s="2"/>
      <c r="O24" s="2"/>
      <c r="P24" s="2"/>
      <c r="Q24" s="23"/>
      <c r="R24" s="2"/>
      <c r="S24" s="41">
        <v>-36000</v>
      </c>
      <c r="T24" t="s">
        <v>122</v>
      </c>
      <c r="U24" s="3">
        <f t="shared" si="0"/>
        <v>0</v>
      </c>
    </row>
    <row r="25" spans="1:22" x14ac:dyDescent="0.2">
      <c r="A25">
        <v>16</v>
      </c>
      <c r="B25" s="30" t="s">
        <v>18</v>
      </c>
      <c r="C25" s="51">
        <v>-10000</v>
      </c>
      <c r="D25" s="2"/>
      <c r="E25" s="2"/>
      <c r="F25" s="2"/>
      <c r="G25" s="2"/>
      <c r="H25" s="2">
        <v>10000</v>
      </c>
      <c r="I25" s="28"/>
      <c r="J25" s="2"/>
      <c r="K25" s="2"/>
      <c r="L25" s="2"/>
      <c r="M25" s="28"/>
      <c r="N25" s="2"/>
      <c r="O25" s="2"/>
      <c r="P25" s="2"/>
      <c r="Q25" s="23"/>
      <c r="R25" s="2"/>
      <c r="S25" s="2">
        <v>0</v>
      </c>
      <c r="U25" s="3">
        <f t="shared" si="0"/>
        <v>0</v>
      </c>
    </row>
    <row r="26" spans="1:22" x14ac:dyDescent="0.2">
      <c r="A26">
        <v>17</v>
      </c>
      <c r="B26" s="30" t="s">
        <v>108</v>
      </c>
      <c r="C26" s="48">
        <v>-3750</v>
      </c>
      <c r="D26" s="2"/>
      <c r="E26" s="2"/>
      <c r="F26" s="2">
        <v>3000</v>
      </c>
      <c r="G26" s="2"/>
      <c r="H26" s="2"/>
      <c r="I26" s="28"/>
      <c r="J26" s="2"/>
      <c r="K26" s="2"/>
      <c r="L26" s="2"/>
      <c r="M26" s="28"/>
      <c r="N26" s="2"/>
      <c r="O26" s="2"/>
      <c r="P26" s="2"/>
      <c r="Q26" s="23"/>
      <c r="R26" s="2"/>
      <c r="S26" s="2">
        <v>-750</v>
      </c>
      <c r="T26" t="s">
        <v>107</v>
      </c>
      <c r="U26" s="3">
        <f t="shared" si="0"/>
        <v>0</v>
      </c>
    </row>
    <row r="27" spans="1:22" x14ac:dyDescent="0.2">
      <c r="A27">
        <v>18</v>
      </c>
      <c r="B27" s="30" t="s">
        <v>140</v>
      </c>
      <c r="C27" s="50">
        <v>-30000</v>
      </c>
      <c r="D27" s="2"/>
      <c r="E27" s="2"/>
      <c r="F27" s="2"/>
      <c r="G27" s="2"/>
      <c r="H27" s="2"/>
      <c r="I27" s="28"/>
      <c r="J27" s="2"/>
      <c r="K27" s="2"/>
      <c r="L27" s="2"/>
      <c r="M27" s="28"/>
      <c r="N27" s="2"/>
      <c r="O27" s="41">
        <v>-30000</v>
      </c>
      <c r="Q27" s="23"/>
      <c r="R27" s="2"/>
      <c r="S27" s="2">
        <v>0</v>
      </c>
      <c r="U27" s="3">
        <f t="shared" si="0"/>
        <v>0</v>
      </c>
    </row>
    <row r="28" spans="1:22" x14ac:dyDescent="0.2">
      <c r="A28" s="53" t="s">
        <v>141</v>
      </c>
      <c r="B28" s="30" t="s">
        <v>134</v>
      </c>
      <c r="C28" s="2"/>
      <c r="D28" s="2"/>
      <c r="E28" s="2"/>
      <c r="F28" s="2"/>
      <c r="G28" s="2">
        <v>-35000</v>
      </c>
      <c r="H28" s="2"/>
      <c r="I28" s="28"/>
      <c r="J28" s="2"/>
      <c r="K28" s="2"/>
      <c r="L28" s="2"/>
      <c r="M28" s="28"/>
      <c r="N28" s="2"/>
      <c r="O28" s="2"/>
      <c r="P28" s="2"/>
      <c r="Q28" s="23"/>
      <c r="R28" s="2"/>
      <c r="S28" s="2">
        <v>-35000</v>
      </c>
      <c r="T28" t="s">
        <v>121</v>
      </c>
      <c r="U28" s="3">
        <f t="shared" si="0"/>
        <v>0</v>
      </c>
    </row>
    <row r="29" spans="1:22" x14ac:dyDescent="0.2">
      <c r="A29">
        <v>19</v>
      </c>
      <c r="B29" s="30" t="s">
        <v>90</v>
      </c>
      <c r="C29" s="48">
        <v>-8400</v>
      </c>
      <c r="D29" s="2"/>
      <c r="E29" s="2"/>
      <c r="F29" s="2"/>
      <c r="G29" s="2"/>
      <c r="H29" s="2"/>
      <c r="I29" s="28"/>
      <c r="J29" s="2"/>
      <c r="K29" s="2"/>
      <c r="L29" s="2"/>
      <c r="M29" s="28"/>
      <c r="N29" s="2"/>
      <c r="O29" s="2"/>
      <c r="P29" s="2"/>
      <c r="Q29" s="23"/>
      <c r="R29" s="2"/>
      <c r="S29" s="2">
        <v>-8400</v>
      </c>
      <c r="T29" t="s">
        <v>121</v>
      </c>
      <c r="U29" s="3">
        <f t="shared" si="0"/>
        <v>0</v>
      </c>
    </row>
    <row r="30" spans="1:22" x14ac:dyDescent="0.2">
      <c r="A30">
        <v>20</v>
      </c>
      <c r="B30" t="s">
        <v>126</v>
      </c>
      <c r="C30" s="2">
        <v>0</v>
      </c>
      <c r="H30" s="2">
        <v>12250</v>
      </c>
      <c r="I30" s="28"/>
      <c r="K30" s="2">
        <v>12250</v>
      </c>
      <c r="M30" s="28"/>
      <c r="P30" s="2"/>
      <c r="Q30" s="23"/>
      <c r="S30" s="2">
        <v>0</v>
      </c>
      <c r="U30" s="3">
        <f t="shared" si="0"/>
        <v>0</v>
      </c>
    </row>
    <row r="31" spans="1:22" x14ac:dyDescent="0.2">
      <c r="A31">
        <v>21</v>
      </c>
      <c r="B31" s="30" t="s">
        <v>106</v>
      </c>
      <c r="C31" s="2">
        <v>0</v>
      </c>
      <c r="D31" s="2"/>
      <c r="E31" s="2"/>
      <c r="F31" s="2"/>
      <c r="G31" s="2"/>
      <c r="H31" s="2"/>
      <c r="I31" s="28"/>
      <c r="J31" s="2"/>
      <c r="K31" s="2">
        <v>10000</v>
      </c>
      <c r="L31" s="2"/>
      <c r="M31" s="28"/>
      <c r="N31" s="2"/>
      <c r="O31" s="2"/>
      <c r="P31" s="2"/>
      <c r="Q31" s="23"/>
      <c r="R31" s="2"/>
      <c r="S31" s="2">
        <v>-10000</v>
      </c>
      <c r="T31" t="s">
        <v>107</v>
      </c>
      <c r="U31" s="3">
        <f t="shared" si="0"/>
        <v>0</v>
      </c>
    </row>
    <row r="32" spans="1:22" x14ac:dyDescent="0.2">
      <c r="A32">
        <v>22</v>
      </c>
      <c r="B32" s="30" t="s">
        <v>116</v>
      </c>
      <c r="C32" s="47">
        <v>30000</v>
      </c>
      <c r="D32" s="2"/>
      <c r="E32" s="2"/>
      <c r="F32" s="2"/>
      <c r="G32" s="2"/>
      <c r="H32" s="2"/>
      <c r="I32" s="28"/>
      <c r="J32" s="2"/>
      <c r="K32" s="2"/>
      <c r="L32" s="2">
        <v>30000</v>
      </c>
      <c r="M32" s="28"/>
      <c r="N32" s="2"/>
      <c r="O32" s="2"/>
      <c r="P32" s="2"/>
      <c r="Q32" s="23"/>
      <c r="R32" s="2"/>
      <c r="S32" s="2">
        <v>0</v>
      </c>
      <c r="T32" s="41"/>
      <c r="U32" s="3">
        <f t="shared" si="0"/>
        <v>0</v>
      </c>
    </row>
    <row r="33" spans="1:21" x14ac:dyDescent="0.2">
      <c r="A33">
        <v>23</v>
      </c>
      <c r="B33" s="30" t="s">
        <v>117</v>
      </c>
      <c r="C33" s="41">
        <v>-165936</v>
      </c>
      <c r="D33" s="2"/>
      <c r="E33" s="41">
        <v>31506</v>
      </c>
      <c r="F33" s="41">
        <v>152930</v>
      </c>
      <c r="G33" s="2"/>
      <c r="H33" s="2"/>
      <c r="I33" s="28"/>
      <c r="J33" s="2"/>
      <c r="K33" s="2">
        <v>18500</v>
      </c>
      <c r="L33" s="2"/>
      <c r="M33" s="28"/>
      <c r="N33" s="2"/>
      <c r="O33" s="2"/>
      <c r="P33" s="2"/>
      <c r="Q33" s="23"/>
      <c r="R33" s="2"/>
      <c r="S33" s="2">
        <v>0</v>
      </c>
      <c r="U33" s="3">
        <f t="shared" si="0"/>
        <v>0</v>
      </c>
    </row>
    <row r="34" spans="1:21" x14ac:dyDescent="0.2">
      <c r="A34" s="53" t="s">
        <v>142</v>
      </c>
      <c r="B34" s="30" t="s">
        <v>148</v>
      </c>
      <c r="C34" s="48">
        <v>-42300</v>
      </c>
      <c r="D34" s="2"/>
      <c r="E34" s="41"/>
      <c r="F34" s="41"/>
      <c r="G34" s="2"/>
      <c r="H34" s="2"/>
      <c r="I34" s="28"/>
      <c r="J34" s="2"/>
      <c r="K34" s="2"/>
      <c r="L34" s="2"/>
      <c r="M34" s="28"/>
      <c r="N34" s="2"/>
      <c r="O34" s="2"/>
      <c r="P34" s="2"/>
      <c r="Q34" s="23"/>
      <c r="R34" s="2"/>
      <c r="S34" s="2">
        <v>-42300</v>
      </c>
      <c r="T34" t="s">
        <v>123</v>
      </c>
      <c r="U34" s="3">
        <f t="shared" ref="U34" si="4">SUM(C34:I34)-SUM(J34:S34)</f>
        <v>0</v>
      </c>
    </row>
    <row r="35" spans="1:21" x14ac:dyDescent="0.2">
      <c r="A35" s="53" t="s">
        <v>143</v>
      </c>
      <c r="B35" s="30" t="s">
        <v>112</v>
      </c>
      <c r="C35" s="2">
        <v>0</v>
      </c>
      <c r="D35" s="2"/>
      <c r="E35" s="41"/>
      <c r="F35" s="41"/>
      <c r="G35" s="2"/>
      <c r="H35" s="2">
        <v>-5456</v>
      </c>
      <c r="I35" s="28"/>
      <c r="J35" s="2"/>
      <c r="K35" s="2"/>
      <c r="L35" s="2"/>
      <c r="M35" s="28"/>
      <c r="N35" s="2"/>
      <c r="O35" s="2"/>
      <c r="P35" s="2"/>
      <c r="Q35" s="23"/>
      <c r="R35" s="2"/>
      <c r="S35" s="2">
        <v>-5456</v>
      </c>
      <c r="T35" t="s">
        <v>151</v>
      </c>
      <c r="U35" s="3">
        <f t="shared" si="0"/>
        <v>0</v>
      </c>
    </row>
    <row r="36" spans="1:21" x14ac:dyDescent="0.2">
      <c r="A36" s="53" t="s">
        <v>144</v>
      </c>
      <c r="B36" s="30" t="s">
        <v>98</v>
      </c>
      <c r="C36" s="47">
        <v>327874</v>
      </c>
      <c r="D36" s="2">
        <v>-9625</v>
      </c>
      <c r="E36" s="41"/>
      <c r="F36" s="41"/>
      <c r="G36" s="2"/>
      <c r="H36" s="2"/>
      <c r="I36" s="28"/>
      <c r="J36" s="2"/>
      <c r="K36" s="2"/>
      <c r="L36" s="2"/>
      <c r="M36" s="28"/>
      <c r="N36" s="2"/>
      <c r="O36" s="2"/>
      <c r="P36" s="2"/>
      <c r="Q36" s="23"/>
      <c r="R36" s="2">
        <v>318249</v>
      </c>
      <c r="S36" s="2">
        <v>0</v>
      </c>
      <c r="T36" s="41"/>
      <c r="U36" s="3">
        <f t="shared" si="0"/>
        <v>0</v>
      </c>
    </row>
    <row r="37" spans="1:21" x14ac:dyDescent="0.2">
      <c r="A37" s="53" t="s">
        <v>147</v>
      </c>
      <c r="B37" s="30" t="s">
        <v>115</v>
      </c>
      <c r="C37" s="2">
        <v>0</v>
      </c>
      <c r="D37" s="2"/>
      <c r="E37" s="41">
        <v>-31006</v>
      </c>
      <c r="F37" s="41">
        <v>-155710</v>
      </c>
      <c r="G37" s="2"/>
      <c r="H37" s="2"/>
      <c r="I37" s="28"/>
      <c r="J37" s="2"/>
      <c r="K37" s="2"/>
      <c r="L37" s="2"/>
      <c r="M37" s="28"/>
      <c r="N37" s="2"/>
      <c r="O37" s="2"/>
      <c r="P37" s="2"/>
      <c r="Q37" s="23"/>
      <c r="R37" s="2"/>
      <c r="S37" s="41">
        <v>-186716</v>
      </c>
      <c r="T37" t="s">
        <v>114</v>
      </c>
      <c r="U37" s="3">
        <f t="shared" si="0"/>
        <v>0</v>
      </c>
    </row>
    <row r="38" spans="1:21" x14ac:dyDescent="0.2">
      <c r="B38" s="30"/>
      <c r="C38" s="4">
        <f t="shared" ref="C38:P38" si="5">SUM(C22:C37)</f>
        <v>81738</v>
      </c>
      <c r="D38" s="4">
        <f t="shared" si="5"/>
        <v>5225</v>
      </c>
      <c r="E38" s="4">
        <f t="shared" si="5"/>
        <v>1250</v>
      </c>
      <c r="F38" s="4">
        <f t="shared" si="5"/>
        <v>5720</v>
      </c>
      <c r="G38" s="4">
        <f t="shared" si="5"/>
        <v>0</v>
      </c>
      <c r="H38" s="4">
        <f t="shared" si="5"/>
        <v>42210</v>
      </c>
      <c r="I38" s="29">
        <f t="shared" si="5"/>
        <v>0</v>
      </c>
      <c r="J38" s="4">
        <f t="shared" si="5"/>
        <v>0</v>
      </c>
      <c r="K38" s="4">
        <f t="shared" si="5"/>
        <v>55350</v>
      </c>
      <c r="L38" s="29">
        <f t="shared" si="5"/>
        <v>30000</v>
      </c>
      <c r="M38" s="29">
        <f t="shared" si="5"/>
        <v>0</v>
      </c>
      <c r="N38" s="4">
        <f t="shared" si="5"/>
        <v>1000</v>
      </c>
      <c r="O38" s="4">
        <f t="shared" si="5"/>
        <v>119000</v>
      </c>
      <c r="P38" s="4">
        <f t="shared" si="5"/>
        <v>-62834</v>
      </c>
      <c r="Q38" s="24"/>
      <c r="R38" s="4">
        <f>SUM(R22:R37)</f>
        <v>318249</v>
      </c>
      <c r="S38" s="4">
        <f>SUM(S22:S37)</f>
        <v>-324622</v>
      </c>
      <c r="U38" s="3">
        <f t="shared" si="0"/>
        <v>0</v>
      </c>
    </row>
    <row r="39" spans="1:21" x14ac:dyDescent="0.2">
      <c r="B39" s="30" t="s">
        <v>17</v>
      </c>
      <c r="C39" s="5"/>
      <c r="D39" s="5"/>
      <c r="E39" s="5"/>
      <c r="F39" s="5"/>
      <c r="G39" s="5"/>
      <c r="H39" s="5"/>
      <c r="I39" s="28"/>
      <c r="J39" s="5"/>
      <c r="K39" s="5"/>
      <c r="L39" s="5"/>
      <c r="M39" s="28"/>
      <c r="N39" s="5"/>
      <c r="O39" s="5"/>
      <c r="P39" s="2">
        <f>-SUM(R39,S39)</f>
        <v>-6373</v>
      </c>
      <c r="Q39" s="23"/>
      <c r="R39" s="2">
        <f>-R38</f>
        <v>-318249</v>
      </c>
      <c r="S39" s="2">
        <f>-S38</f>
        <v>324622</v>
      </c>
      <c r="U39" s="3">
        <f t="shared" si="0"/>
        <v>0</v>
      </c>
    </row>
    <row r="40" spans="1:21" x14ac:dyDescent="0.2">
      <c r="B40" s="31" t="s">
        <v>89</v>
      </c>
      <c r="C40" s="4">
        <f t="shared" ref="C40:P40" si="6">C38+C39</f>
        <v>81738</v>
      </c>
      <c r="D40" s="4">
        <f t="shared" si="6"/>
        <v>5225</v>
      </c>
      <c r="E40" s="4">
        <f t="shared" si="6"/>
        <v>1250</v>
      </c>
      <c r="F40" s="4">
        <f t="shared" si="6"/>
        <v>5720</v>
      </c>
      <c r="G40" s="4">
        <f t="shared" si="6"/>
        <v>0</v>
      </c>
      <c r="H40" s="4">
        <f t="shared" si="6"/>
        <v>42210</v>
      </c>
      <c r="I40" s="29">
        <f t="shared" si="6"/>
        <v>0</v>
      </c>
      <c r="J40" s="4">
        <f t="shared" si="6"/>
        <v>0</v>
      </c>
      <c r="K40" s="4">
        <f t="shared" si="6"/>
        <v>55350</v>
      </c>
      <c r="L40" s="29">
        <f t="shared" si="6"/>
        <v>30000</v>
      </c>
      <c r="M40" s="29">
        <f t="shared" si="6"/>
        <v>0</v>
      </c>
      <c r="N40" s="4">
        <f t="shared" si="6"/>
        <v>1000</v>
      </c>
      <c r="O40" s="4">
        <f t="shared" ref="O40" si="7">O38+O39</f>
        <v>119000</v>
      </c>
      <c r="P40" s="4">
        <f t="shared" si="6"/>
        <v>-69207</v>
      </c>
      <c r="Q40" s="24"/>
      <c r="R40" s="4">
        <f>R38+R39</f>
        <v>0</v>
      </c>
      <c r="S40" s="4">
        <f>S38+S39</f>
        <v>0</v>
      </c>
      <c r="U40" s="3">
        <f t="shared" si="0"/>
        <v>0</v>
      </c>
    </row>
    <row r="41" spans="1:21" x14ac:dyDescent="0.2">
      <c r="C41" s="2"/>
      <c r="D41" s="2"/>
      <c r="E41" s="2"/>
      <c r="F41" s="2"/>
      <c r="G41" s="2"/>
      <c r="H41" s="2"/>
      <c r="I41" s="2"/>
      <c r="J41" s="2"/>
      <c r="K41" s="2"/>
      <c r="L41" s="2"/>
      <c r="M41" s="2"/>
      <c r="N41" s="2"/>
      <c r="O41" s="2"/>
      <c r="P41" s="2"/>
      <c r="Q41" s="23"/>
      <c r="R41" s="2"/>
      <c r="S41" s="2"/>
      <c r="U41" s="3">
        <f t="shared" si="0"/>
        <v>0</v>
      </c>
    </row>
    <row r="42" spans="1:21" x14ac:dyDescent="0.2">
      <c r="A42" s="7" t="s">
        <v>20</v>
      </c>
      <c r="C42" s="2"/>
      <c r="D42" s="2"/>
      <c r="E42" s="2"/>
      <c r="H42" s="2"/>
      <c r="I42" s="2"/>
      <c r="J42" s="2"/>
      <c r="K42" s="2"/>
      <c r="L42" s="2"/>
      <c r="M42" s="2"/>
      <c r="N42" s="2"/>
      <c r="O42" s="2"/>
      <c r="P42" s="2"/>
      <c r="Q42" s="23"/>
      <c r="R42" s="2"/>
      <c r="S42" s="2"/>
      <c r="U42" s="3"/>
    </row>
    <row r="43" spans="1:21" ht="33" customHeight="1" x14ac:dyDescent="0.2">
      <c r="B43" s="32" t="s">
        <v>21</v>
      </c>
      <c r="C43" s="33" t="s">
        <v>78</v>
      </c>
      <c r="D43" s="33" t="s">
        <v>22</v>
      </c>
      <c r="E43" s="33" t="s">
        <v>23</v>
      </c>
      <c r="F43" s="33" t="s">
        <v>24</v>
      </c>
      <c r="G43" s="33" t="s">
        <v>25</v>
      </c>
      <c r="H43" s="42" t="s">
        <v>132</v>
      </c>
      <c r="I43" s="33" t="s">
        <v>24</v>
      </c>
      <c r="J43" s="33" t="s">
        <v>25</v>
      </c>
      <c r="K43" s="42" t="s">
        <v>133</v>
      </c>
      <c r="L43" s="2"/>
      <c r="M43" s="2"/>
      <c r="N43" s="2"/>
      <c r="O43" s="2"/>
      <c r="Q43" s="23"/>
      <c r="R43" s="2"/>
      <c r="T43" s="3"/>
    </row>
    <row r="44" spans="1:21" x14ac:dyDescent="0.2">
      <c r="B44" s="34" t="s">
        <v>130</v>
      </c>
      <c r="C44" s="3">
        <f>7500+20740</f>
        <v>28240</v>
      </c>
      <c r="D44" s="5">
        <v>10</v>
      </c>
      <c r="E44" s="5">
        <f>C44/D44</f>
        <v>2824</v>
      </c>
      <c r="F44" s="5">
        <v>12</v>
      </c>
      <c r="G44" s="35">
        <f t="shared" ref="G44:G46" si="8">F44/12</f>
        <v>1</v>
      </c>
      <c r="H44" s="28">
        <f>E44*G44</f>
        <v>2824</v>
      </c>
      <c r="I44" s="5">
        <v>12</v>
      </c>
      <c r="J44" s="35">
        <f t="shared" ref="J44:J46" si="9">I44/12</f>
        <v>1</v>
      </c>
      <c r="K44" s="28">
        <f>E44*J44</f>
        <v>2824</v>
      </c>
      <c r="L44" s="2"/>
      <c r="M44" s="2"/>
      <c r="N44" s="2"/>
      <c r="O44" s="2"/>
      <c r="Q44" s="23"/>
      <c r="R44" s="2"/>
    </row>
    <row r="45" spans="1:21" x14ac:dyDescent="0.2">
      <c r="B45" s="34" t="s">
        <v>129</v>
      </c>
      <c r="C45" s="3">
        <v>12250</v>
      </c>
      <c r="D45" s="5">
        <v>6</v>
      </c>
      <c r="E45" s="5">
        <f>C45/D45</f>
        <v>2041.6666666666667</v>
      </c>
      <c r="F45" s="5">
        <v>0</v>
      </c>
      <c r="G45" s="35">
        <f t="shared" si="8"/>
        <v>0</v>
      </c>
      <c r="H45" s="28">
        <v>0</v>
      </c>
      <c r="I45" s="5">
        <v>2</v>
      </c>
      <c r="J45" s="35">
        <f t="shared" si="9"/>
        <v>0.16666666666666666</v>
      </c>
      <c r="K45" s="28">
        <f>E45*J45</f>
        <v>340.27777777777777</v>
      </c>
      <c r="L45" s="2"/>
      <c r="M45" s="2"/>
      <c r="N45" s="2"/>
      <c r="O45" s="2"/>
      <c r="Q45" s="23"/>
      <c r="R45" s="2"/>
    </row>
    <row r="46" spans="1:21" x14ac:dyDescent="0.2">
      <c r="B46" s="36" t="s">
        <v>131</v>
      </c>
      <c r="C46" s="37">
        <f>H25</f>
        <v>10000</v>
      </c>
      <c r="D46" s="8">
        <v>4</v>
      </c>
      <c r="E46" s="8">
        <f>C46/D46</f>
        <v>2500</v>
      </c>
      <c r="F46" s="8">
        <v>0</v>
      </c>
      <c r="G46" s="38">
        <f t="shared" si="8"/>
        <v>0</v>
      </c>
      <c r="H46" s="39">
        <f>E46*G46</f>
        <v>0</v>
      </c>
      <c r="I46" s="8">
        <v>11</v>
      </c>
      <c r="J46" s="38">
        <f t="shared" si="9"/>
        <v>0.91666666666666663</v>
      </c>
      <c r="K46" s="39">
        <f>E46*J46</f>
        <v>2291.6666666666665</v>
      </c>
      <c r="L46" s="2"/>
      <c r="M46" s="2"/>
      <c r="N46" s="2"/>
      <c r="O46" s="2"/>
      <c r="Q46" s="23"/>
      <c r="R46" s="2"/>
    </row>
    <row r="47" spans="1:21" x14ac:dyDescent="0.2">
      <c r="D47" s="2"/>
      <c r="E47" s="2"/>
      <c r="G47" s="2">
        <f>SUM(H44:H46)</f>
        <v>2824</v>
      </c>
      <c r="I47" s="2"/>
      <c r="J47" s="2">
        <f>SUM(K44:K46)</f>
        <v>5455.9444444444443</v>
      </c>
      <c r="K47" s="2"/>
      <c r="L47" s="2"/>
      <c r="M47" s="2"/>
      <c r="N47" s="2"/>
      <c r="O47" s="2"/>
      <c r="Q47" s="23"/>
      <c r="R47" s="2"/>
    </row>
    <row r="48" spans="1:21" x14ac:dyDescent="0.2">
      <c r="C48" s="2"/>
      <c r="D48" s="2"/>
      <c r="E48" s="54"/>
      <c r="F48" s="2"/>
      <c r="G48" s="2"/>
      <c r="H48" s="2"/>
      <c r="I48" s="2"/>
      <c r="J48" s="2"/>
      <c r="K48" s="2"/>
      <c r="L48" s="2"/>
      <c r="M48" s="2"/>
      <c r="N48" s="2"/>
      <c r="O48" s="2"/>
      <c r="P48" s="2"/>
      <c r="Q48" s="2"/>
      <c r="R48" s="2"/>
      <c r="S48" s="2"/>
    </row>
    <row r="49" spans="3:19" x14ac:dyDescent="0.2">
      <c r="C49" s="2"/>
      <c r="D49" s="2"/>
      <c r="E49" s="54"/>
      <c r="F49" s="2"/>
      <c r="G49" s="2"/>
      <c r="H49" s="2"/>
      <c r="I49" s="2"/>
      <c r="J49" s="2"/>
      <c r="K49" s="2"/>
      <c r="L49" s="2"/>
      <c r="M49" s="2"/>
      <c r="N49" s="2"/>
      <c r="O49" s="2"/>
      <c r="P49" s="2"/>
      <c r="Q49" s="2"/>
      <c r="R49" s="2"/>
      <c r="S49" s="2"/>
    </row>
    <row r="50" spans="3:19" x14ac:dyDescent="0.2">
      <c r="C50" s="2"/>
      <c r="D50" s="2"/>
      <c r="E50" s="54"/>
      <c r="F50" s="2"/>
      <c r="G50" s="2"/>
      <c r="H50" s="2"/>
      <c r="I50" s="2"/>
      <c r="J50" s="2"/>
      <c r="K50" s="2"/>
      <c r="L50" s="2"/>
      <c r="M50" s="2"/>
      <c r="N50" s="2"/>
      <c r="O50" s="2"/>
      <c r="P50" s="2"/>
      <c r="Q50" s="2"/>
      <c r="R50" s="2"/>
      <c r="S50" s="2"/>
    </row>
    <row r="51" spans="3:19" x14ac:dyDescent="0.2">
      <c r="C51" s="2"/>
      <c r="D51" s="2"/>
      <c r="E51" s="2"/>
      <c r="F51" s="2"/>
      <c r="G51" s="2"/>
      <c r="H51" s="2"/>
      <c r="I51" s="2"/>
      <c r="J51" s="2"/>
      <c r="K51" s="2"/>
      <c r="L51" s="2"/>
      <c r="M51" s="2"/>
      <c r="N51" s="2"/>
      <c r="O51" s="2"/>
      <c r="P51" s="2"/>
      <c r="Q51" s="2"/>
      <c r="R51" s="2"/>
      <c r="S51" s="2"/>
    </row>
    <row r="52" spans="3:19" x14ac:dyDescent="0.2">
      <c r="C52" s="2"/>
      <c r="D52" s="2"/>
      <c r="E52" s="2"/>
      <c r="F52" s="2"/>
      <c r="G52" s="2"/>
      <c r="H52" s="2"/>
      <c r="I52" s="2"/>
      <c r="J52" s="2"/>
      <c r="K52" s="2"/>
      <c r="L52" s="2"/>
      <c r="M52" s="2"/>
      <c r="N52" s="2"/>
      <c r="O52" s="2"/>
      <c r="P52" s="2"/>
      <c r="Q52" s="2"/>
      <c r="R52" s="2"/>
      <c r="S52" s="2"/>
    </row>
    <row r="53" spans="3:19" x14ac:dyDescent="0.2">
      <c r="C53" s="2"/>
      <c r="D53" s="2"/>
      <c r="E53" s="2"/>
      <c r="F53" s="2"/>
      <c r="G53" s="2"/>
      <c r="H53" s="2"/>
      <c r="I53" s="2"/>
      <c r="J53" s="2"/>
      <c r="K53" s="2"/>
      <c r="L53" s="2"/>
      <c r="M53" s="2"/>
      <c r="N53" s="2"/>
      <c r="O53" s="2"/>
      <c r="P53" s="2"/>
      <c r="Q53" s="2"/>
      <c r="R53" s="2"/>
      <c r="S53" s="2"/>
    </row>
    <row r="54" spans="3:19" x14ac:dyDescent="0.2">
      <c r="C54" s="2"/>
      <c r="D54" s="2"/>
      <c r="E54" s="2"/>
      <c r="F54" s="2"/>
      <c r="G54" s="2"/>
      <c r="H54" s="2"/>
      <c r="I54" s="2"/>
      <c r="J54" s="2"/>
      <c r="K54" s="2"/>
      <c r="L54" s="2"/>
      <c r="M54" s="2"/>
      <c r="N54" s="2"/>
      <c r="O54" s="2"/>
      <c r="P54" s="2"/>
      <c r="Q54" s="2"/>
      <c r="R54" s="2"/>
      <c r="S54" s="2"/>
    </row>
    <row r="55" spans="3:19" x14ac:dyDescent="0.2">
      <c r="C55" s="2"/>
      <c r="D55" s="2"/>
      <c r="E55" s="2"/>
      <c r="F55" s="2"/>
      <c r="G55" s="2"/>
      <c r="H55" s="2"/>
      <c r="I55" s="2"/>
      <c r="J55" s="2"/>
      <c r="K55" s="2"/>
      <c r="L55" s="2"/>
      <c r="M55" s="2"/>
      <c r="N55" s="2"/>
      <c r="O55" s="2"/>
      <c r="P55" s="2"/>
      <c r="Q55" s="2"/>
      <c r="R55" s="2"/>
      <c r="S55" s="2"/>
    </row>
    <row r="56" spans="3:19" x14ac:dyDescent="0.2">
      <c r="C56" s="2"/>
      <c r="D56" s="2"/>
      <c r="E56" s="2"/>
      <c r="F56" s="2"/>
      <c r="G56" s="2"/>
      <c r="H56" s="2"/>
      <c r="I56" s="2"/>
      <c r="J56" s="2"/>
      <c r="K56" s="2"/>
      <c r="L56" s="2"/>
      <c r="M56" s="2"/>
      <c r="N56" s="2"/>
      <c r="O56" s="2"/>
      <c r="P56" s="2"/>
      <c r="Q56" s="2"/>
      <c r="R56" s="2"/>
      <c r="S56" s="2"/>
    </row>
    <row r="57" spans="3:19" x14ac:dyDescent="0.2">
      <c r="C57" s="2"/>
      <c r="D57" s="2"/>
      <c r="E57" s="2"/>
      <c r="F57" s="2"/>
      <c r="G57" s="2"/>
      <c r="H57" s="2"/>
      <c r="I57" s="2"/>
      <c r="J57" s="2"/>
      <c r="K57" s="2"/>
      <c r="L57" s="2"/>
      <c r="M57" s="2"/>
      <c r="N57" s="2"/>
      <c r="O57" s="2"/>
      <c r="P57" s="2"/>
      <c r="Q57" s="2"/>
      <c r="R57" s="2"/>
      <c r="S57" s="2"/>
    </row>
    <row r="58" spans="3:19" x14ac:dyDescent="0.2">
      <c r="C58" s="2"/>
      <c r="D58" s="2"/>
      <c r="E58" s="2"/>
      <c r="F58" s="2"/>
      <c r="G58" s="2"/>
      <c r="H58" s="2"/>
      <c r="I58" s="2"/>
      <c r="J58" s="2"/>
      <c r="K58" s="2"/>
      <c r="L58" s="2"/>
      <c r="M58" s="2"/>
      <c r="N58" s="2"/>
      <c r="O58" s="2"/>
      <c r="P58" s="2"/>
      <c r="Q58" s="2"/>
      <c r="R58" s="2"/>
      <c r="S58" s="2"/>
    </row>
    <row r="59" spans="3:19" x14ac:dyDescent="0.2">
      <c r="C59" s="2"/>
      <c r="D59" s="2"/>
      <c r="E59" s="2"/>
      <c r="F59" s="2"/>
      <c r="G59" s="2"/>
      <c r="H59" s="2"/>
      <c r="I59" s="2"/>
      <c r="J59" s="2"/>
      <c r="K59" s="2"/>
      <c r="L59" s="2"/>
      <c r="M59" s="2"/>
      <c r="N59" s="2"/>
      <c r="O59" s="2"/>
      <c r="P59" s="2"/>
      <c r="Q59" s="2"/>
      <c r="R59" s="2"/>
      <c r="S59" s="2"/>
    </row>
    <row r="60" spans="3:19" x14ac:dyDescent="0.2">
      <c r="C60" s="2"/>
      <c r="D60" s="2"/>
      <c r="E60" s="2"/>
      <c r="F60" s="2"/>
      <c r="G60" s="2"/>
      <c r="H60" s="2"/>
      <c r="I60" s="2"/>
      <c r="J60" s="2"/>
      <c r="K60" s="2"/>
      <c r="L60" s="2"/>
      <c r="M60" s="2"/>
      <c r="N60" s="2"/>
      <c r="O60" s="2"/>
      <c r="P60" s="2"/>
      <c r="Q60" s="2"/>
      <c r="R60" s="2"/>
      <c r="S60" s="2"/>
    </row>
    <row r="61" spans="3:19" x14ac:dyDescent="0.2">
      <c r="C61" s="2"/>
      <c r="D61" s="2"/>
      <c r="E61" s="2"/>
      <c r="F61" s="2"/>
      <c r="G61" s="2"/>
      <c r="H61" s="2"/>
      <c r="I61" s="2"/>
      <c r="J61" s="2"/>
      <c r="K61" s="2"/>
      <c r="L61" s="2"/>
      <c r="M61" s="2"/>
      <c r="N61" s="2"/>
      <c r="O61" s="2"/>
      <c r="P61" s="2"/>
      <c r="Q61" s="2"/>
      <c r="R61" s="2"/>
      <c r="S61" s="2"/>
    </row>
    <row r="62" spans="3:19" x14ac:dyDescent="0.2">
      <c r="C62" s="2"/>
      <c r="D62" s="2"/>
      <c r="E62" s="2"/>
      <c r="F62" s="2"/>
      <c r="G62" s="2"/>
      <c r="H62" s="2"/>
      <c r="I62" s="2"/>
      <c r="J62" s="2"/>
      <c r="K62" s="2"/>
      <c r="L62" s="2"/>
      <c r="M62" s="2"/>
      <c r="N62" s="2"/>
      <c r="O62" s="2"/>
      <c r="P62" s="2"/>
      <c r="Q62" s="2"/>
      <c r="R62" s="2"/>
      <c r="S62" s="2"/>
    </row>
    <row r="63" spans="3:19" x14ac:dyDescent="0.2">
      <c r="C63" s="2"/>
      <c r="D63" s="2"/>
      <c r="E63" s="2"/>
      <c r="F63" s="2"/>
      <c r="G63" s="2"/>
      <c r="H63" s="2"/>
      <c r="I63" s="2"/>
      <c r="J63" s="2"/>
      <c r="K63" s="2"/>
      <c r="L63" s="2"/>
      <c r="M63" s="2"/>
      <c r="N63" s="2"/>
      <c r="O63" s="2"/>
      <c r="P63" s="2"/>
      <c r="Q63" s="2"/>
      <c r="R63" s="2"/>
      <c r="S63" s="2"/>
    </row>
    <row r="64" spans="3:19" x14ac:dyDescent="0.2">
      <c r="C64" s="2"/>
      <c r="D64" s="2"/>
      <c r="E64" s="2"/>
      <c r="F64" s="2"/>
      <c r="G64" s="2"/>
      <c r="H64" s="2"/>
      <c r="I64" s="2"/>
      <c r="J64" s="2"/>
      <c r="K64" s="2"/>
      <c r="L64" s="2"/>
      <c r="M64" s="2"/>
      <c r="N64" s="2"/>
      <c r="O64" s="2"/>
      <c r="P64" s="2"/>
      <c r="Q64" s="2"/>
      <c r="R64" s="2"/>
      <c r="S64" s="2"/>
    </row>
    <row r="65" spans="3:19" x14ac:dyDescent="0.2">
      <c r="C65" s="2"/>
      <c r="D65" s="2"/>
      <c r="E65" s="2"/>
      <c r="F65" s="2"/>
      <c r="G65" s="2"/>
      <c r="H65" s="2"/>
      <c r="I65" s="2"/>
      <c r="J65" s="2"/>
      <c r="K65" s="2"/>
      <c r="L65" s="2"/>
      <c r="M65" s="2"/>
      <c r="N65" s="2"/>
      <c r="O65" s="2"/>
      <c r="P65" s="2"/>
      <c r="Q65" s="2"/>
      <c r="R65" s="2"/>
      <c r="S65" s="2"/>
    </row>
    <row r="66" spans="3:19" x14ac:dyDescent="0.2">
      <c r="C66" s="2"/>
      <c r="D66" s="2"/>
      <c r="E66" s="2"/>
      <c r="F66" s="2"/>
      <c r="G66" s="2"/>
      <c r="H66" s="2"/>
      <c r="I66" s="2"/>
      <c r="J66" s="2"/>
      <c r="K66" s="2"/>
      <c r="L66" s="2"/>
      <c r="M66" s="2"/>
      <c r="N66" s="2"/>
      <c r="O66" s="2"/>
      <c r="P66" s="2"/>
      <c r="Q66" s="2"/>
      <c r="R66" s="2"/>
      <c r="S66" s="2"/>
    </row>
    <row r="67" spans="3:19" x14ac:dyDescent="0.2">
      <c r="C67" s="2"/>
      <c r="D67" s="2"/>
      <c r="E67" s="2"/>
      <c r="F67" s="2"/>
      <c r="G67" s="2"/>
      <c r="H67" s="2"/>
      <c r="I67" s="2"/>
      <c r="J67" s="2"/>
      <c r="K67" s="2"/>
      <c r="L67" s="2"/>
      <c r="M67" s="2"/>
      <c r="N67" s="2"/>
      <c r="O67" s="2"/>
      <c r="P67" s="2"/>
      <c r="Q67" s="2"/>
      <c r="R67" s="2"/>
      <c r="S67" s="2"/>
    </row>
    <row r="68" spans="3:19" x14ac:dyDescent="0.2">
      <c r="C68" s="2"/>
      <c r="D68" s="2"/>
      <c r="E68" s="2"/>
      <c r="F68" s="2"/>
      <c r="G68" s="2"/>
      <c r="H68" s="2"/>
      <c r="I68" s="2"/>
      <c r="J68" s="2"/>
      <c r="K68" s="2"/>
      <c r="L68" s="2"/>
      <c r="M68" s="2"/>
      <c r="N68" s="2"/>
      <c r="O68" s="2"/>
      <c r="P68" s="2"/>
      <c r="Q68" s="2"/>
      <c r="R68" s="2"/>
      <c r="S68" s="2"/>
    </row>
    <row r="69" spans="3:19" x14ac:dyDescent="0.2">
      <c r="C69" s="2"/>
      <c r="D69" s="2"/>
      <c r="E69" s="2"/>
      <c r="F69" s="2"/>
      <c r="G69" s="2"/>
      <c r="H69" s="2"/>
      <c r="I69" s="2"/>
      <c r="J69" s="2"/>
      <c r="K69" s="2"/>
      <c r="L69" s="2"/>
      <c r="M69" s="2"/>
      <c r="N69" s="2"/>
      <c r="O69" s="2"/>
      <c r="P69" s="2"/>
      <c r="Q69" s="2"/>
      <c r="R69" s="2"/>
      <c r="S69" s="2"/>
    </row>
    <row r="70" spans="3:19" x14ac:dyDescent="0.2">
      <c r="C70" s="2"/>
      <c r="D70" s="2"/>
      <c r="E70" s="2"/>
      <c r="F70" s="2"/>
      <c r="G70" s="2"/>
      <c r="H70" s="2"/>
      <c r="I70" s="2"/>
      <c r="J70" s="2"/>
      <c r="K70" s="2"/>
      <c r="L70" s="2"/>
      <c r="M70" s="2"/>
      <c r="N70" s="2"/>
      <c r="O70" s="2"/>
      <c r="P70" s="2"/>
      <c r="Q70" s="2"/>
      <c r="R70" s="2"/>
      <c r="S70" s="2"/>
    </row>
    <row r="71" spans="3:19" x14ac:dyDescent="0.2">
      <c r="C71" s="2"/>
      <c r="D71" s="2"/>
      <c r="E71" s="2"/>
      <c r="F71" s="2"/>
      <c r="G71" s="2"/>
      <c r="H71" s="2"/>
      <c r="I71" s="2"/>
      <c r="J71" s="2"/>
      <c r="K71" s="2"/>
      <c r="L71" s="2"/>
      <c r="M71" s="2"/>
      <c r="N71" s="2"/>
      <c r="O71" s="2"/>
      <c r="P71" s="2"/>
      <c r="Q71" s="2"/>
      <c r="R71" s="2"/>
      <c r="S71" s="2"/>
    </row>
    <row r="72" spans="3:19" x14ac:dyDescent="0.2">
      <c r="C72" s="2"/>
      <c r="D72" s="2"/>
      <c r="E72" s="2"/>
      <c r="F72" s="2"/>
      <c r="G72" s="2"/>
      <c r="H72" s="2"/>
      <c r="I72" s="2"/>
      <c r="J72" s="2"/>
      <c r="K72" s="2"/>
      <c r="L72" s="2"/>
      <c r="M72" s="2"/>
      <c r="N72" s="2"/>
      <c r="O72" s="2"/>
      <c r="P72" s="2"/>
      <c r="Q72" s="2"/>
      <c r="R72" s="2"/>
      <c r="S72" s="2"/>
    </row>
  </sheetData>
  <mergeCells count="4">
    <mergeCell ref="C1:I1"/>
    <mergeCell ref="J1:M1"/>
    <mergeCell ref="N1:P1"/>
    <mergeCell ref="R1:S1"/>
  </mergeCells>
  <pageMargins left="0.25" right="0.25" top="0.75" bottom="0.75" header="0.3" footer="0.3"/>
  <pageSetup scale="70" fitToHeight="0" orientation="landscape" r:id="rId1"/>
  <colBreaks count="1" manualBreakCount="1">
    <brk id="19"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92"/>
  <sheetViews>
    <sheetView tabSelected="1" topLeftCell="A35" zoomScale="115" zoomScaleNormal="115" workbookViewId="0">
      <selection activeCell="E69" sqref="E69:L71"/>
    </sheetView>
  </sheetViews>
  <sheetFormatPr baseColWidth="10" defaultColWidth="11" defaultRowHeight="16" x14ac:dyDescent="0.2"/>
  <cols>
    <col min="1" max="1" width="47.1640625" bestFit="1" customWidth="1"/>
    <col min="2" max="2" width="19.1640625" customWidth="1"/>
    <col min="3" max="3" width="17.1640625" customWidth="1"/>
    <col min="4" max="4" width="22.1640625" bestFit="1" customWidth="1"/>
    <col min="6" max="6" width="11.83203125" bestFit="1" customWidth="1"/>
  </cols>
  <sheetData>
    <row r="2" spans="1:4" x14ac:dyDescent="0.2">
      <c r="B2" s="9" t="s">
        <v>102</v>
      </c>
      <c r="C2" s="9" t="s">
        <v>100</v>
      </c>
      <c r="D2" s="9" t="s">
        <v>101</v>
      </c>
    </row>
    <row r="3" spans="1:4" x14ac:dyDescent="0.2">
      <c r="A3" s="6" t="s">
        <v>26</v>
      </c>
      <c r="B3" s="6"/>
      <c r="C3" s="6"/>
    </row>
    <row r="4" spans="1:4" x14ac:dyDescent="0.2">
      <c r="A4" s="6" t="s">
        <v>27</v>
      </c>
      <c r="B4" s="6"/>
      <c r="C4" s="6"/>
    </row>
    <row r="5" spans="1:4" x14ac:dyDescent="0.2">
      <c r="A5" t="s">
        <v>28</v>
      </c>
    </row>
    <row r="6" spans="1:4" x14ac:dyDescent="0.2">
      <c r="A6" t="s">
        <v>29</v>
      </c>
      <c r="B6" s="2">
        <v>0</v>
      </c>
      <c r="C6" s="2">
        <f>'Bubble Ledger'!C22</f>
        <v>20250</v>
      </c>
      <c r="D6" s="2">
        <f>'Bubble Ledger'!C40</f>
        <v>81738</v>
      </c>
    </row>
    <row r="7" spans="1:4" x14ac:dyDescent="0.2">
      <c r="A7" t="s">
        <v>30</v>
      </c>
      <c r="B7" s="2">
        <v>0</v>
      </c>
      <c r="C7" s="2">
        <f>'Bubble Ledger'!D22</f>
        <v>14850</v>
      </c>
      <c r="D7" s="2">
        <f>'Bubble Ledger'!D40</f>
        <v>5225</v>
      </c>
    </row>
    <row r="8" spans="1:4" x14ac:dyDescent="0.2">
      <c r="A8" t="s">
        <v>31</v>
      </c>
      <c r="B8" s="2">
        <v>0</v>
      </c>
      <c r="C8" s="2">
        <f>'Bubble Ledger'!F22+'Bubble Ledger'!E22</f>
        <v>6250</v>
      </c>
      <c r="D8" s="2">
        <f>+'Bubble Ledger'!E40+'Bubble Ledger'!F40</f>
        <v>6970</v>
      </c>
    </row>
    <row r="9" spans="1:4" x14ac:dyDescent="0.2">
      <c r="A9" t="s">
        <v>32</v>
      </c>
      <c r="B9" s="2">
        <v>0</v>
      </c>
      <c r="C9" s="2">
        <f>'Bubble Ledger'!G22</f>
        <v>35000</v>
      </c>
      <c r="D9" s="2">
        <f>'Bubble Ledger'!G40</f>
        <v>0</v>
      </c>
    </row>
    <row r="10" spans="1:4" x14ac:dyDescent="0.2">
      <c r="A10" s="18" t="s">
        <v>33</v>
      </c>
      <c r="B10" s="4">
        <f>SUM(B6:B9)</f>
        <v>0</v>
      </c>
      <c r="C10" s="4">
        <f>SUM(C6:C9)</f>
        <v>76350</v>
      </c>
      <c r="D10" s="4">
        <f>SUM(D6:D9)</f>
        <v>93933</v>
      </c>
    </row>
    <row r="11" spans="1:4" x14ac:dyDescent="0.2">
      <c r="A11" t="s">
        <v>34</v>
      </c>
      <c r="B11" s="2">
        <v>0</v>
      </c>
      <c r="C11" s="2">
        <f>'Bubble Ledger'!H22</f>
        <v>25416</v>
      </c>
      <c r="D11" s="2">
        <f>'Bubble Ledger'!H40</f>
        <v>42210</v>
      </c>
    </row>
    <row r="12" spans="1:4" x14ac:dyDescent="0.2">
      <c r="A12" t="s">
        <v>35</v>
      </c>
      <c r="B12" s="2">
        <v>0</v>
      </c>
      <c r="C12" s="2">
        <f>'Bubble Ledger'!I22</f>
        <v>0</v>
      </c>
      <c r="D12" s="2">
        <f>'Bubble Ledger'!I40</f>
        <v>0</v>
      </c>
    </row>
    <row r="13" spans="1:4" ht="17" thickBot="1" x14ac:dyDescent="0.25">
      <c r="A13" s="6" t="s">
        <v>36</v>
      </c>
      <c r="B13" s="10">
        <f>B10+B11+B12</f>
        <v>0</v>
      </c>
      <c r="C13" s="10">
        <f>C10+C11+C12</f>
        <v>101766</v>
      </c>
      <c r="D13" s="10">
        <f>D10+D11+D12</f>
        <v>136143</v>
      </c>
    </row>
    <row r="14" spans="1:4" ht="17" thickTop="1" x14ac:dyDescent="0.2">
      <c r="B14" s="5"/>
      <c r="C14" s="5"/>
      <c r="D14" s="5"/>
    </row>
    <row r="15" spans="1:4" x14ac:dyDescent="0.2">
      <c r="A15" s="6" t="s">
        <v>37</v>
      </c>
      <c r="B15" s="6"/>
      <c r="C15" s="2"/>
      <c r="D15" s="2"/>
    </row>
    <row r="16" spans="1:4" x14ac:dyDescent="0.2">
      <c r="A16" t="s">
        <v>38</v>
      </c>
      <c r="C16" s="2"/>
      <c r="D16" s="2"/>
    </row>
    <row r="17" spans="1:7" x14ac:dyDescent="0.2">
      <c r="A17" t="s">
        <v>39</v>
      </c>
      <c r="B17" s="2">
        <v>0</v>
      </c>
      <c r="C17" s="2">
        <f>'Bubble Ledger'!J22</f>
        <v>0</v>
      </c>
      <c r="D17" s="2">
        <f>'Bubble Ledger'!J40</f>
        <v>0</v>
      </c>
    </row>
    <row r="18" spans="1:7" x14ac:dyDescent="0.2">
      <c r="A18" t="s">
        <v>40</v>
      </c>
      <c r="B18" s="2">
        <v>0</v>
      </c>
      <c r="C18" s="2">
        <f>'Bubble Ledger'!K22</f>
        <v>14600</v>
      </c>
      <c r="D18" s="2">
        <f>'Bubble Ledger'!K40</f>
        <v>55350</v>
      </c>
    </row>
    <row r="19" spans="1:7" x14ac:dyDescent="0.2">
      <c r="A19" t="s">
        <v>41</v>
      </c>
      <c r="B19" s="2">
        <v>0</v>
      </c>
      <c r="C19" s="2">
        <f>'Bubble Ledger'!M22</f>
        <v>0</v>
      </c>
      <c r="D19" s="2">
        <f>'Bubble Ledger'!M40</f>
        <v>0</v>
      </c>
    </row>
    <row r="20" spans="1:7" x14ac:dyDescent="0.2">
      <c r="A20" s="25" t="s">
        <v>120</v>
      </c>
      <c r="B20" s="2">
        <v>0</v>
      </c>
      <c r="C20" s="2">
        <f>+'Bubble Ledger'!L22</f>
        <v>0</v>
      </c>
      <c r="D20" s="2">
        <f>+'Bubble Ledger'!L40</f>
        <v>30000</v>
      </c>
    </row>
    <row r="21" spans="1:7" x14ac:dyDescent="0.2">
      <c r="A21" s="18" t="s">
        <v>42</v>
      </c>
      <c r="B21" s="4">
        <f>SUM(B17:B20)</f>
        <v>0</v>
      </c>
      <c r="C21" s="4">
        <f>SUM(C17:C19)</f>
        <v>14600</v>
      </c>
      <c r="D21" s="4">
        <f>SUM(D17:D20)</f>
        <v>85350</v>
      </c>
    </row>
    <row r="22" spans="1:7" x14ac:dyDescent="0.2">
      <c r="A22" t="s">
        <v>43</v>
      </c>
      <c r="B22" s="2"/>
      <c r="C22" s="2"/>
      <c r="D22" s="2"/>
    </row>
    <row r="23" spans="1:7" x14ac:dyDescent="0.2">
      <c r="A23" s="17" t="s">
        <v>85</v>
      </c>
      <c r="B23" s="2">
        <v>0</v>
      </c>
      <c r="C23" s="2">
        <f>'Bubble Ledger'!N22</f>
        <v>1000</v>
      </c>
      <c r="D23" s="2">
        <f>'Bubble Ledger'!N40</f>
        <v>1000</v>
      </c>
    </row>
    <row r="24" spans="1:7" x14ac:dyDescent="0.2">
      <c r="A24" s="17" t="s">
        <v>86</v>
      </c>
      <c r="B24" s="2">
        <v>0</v>
      </c>
      <c r="C24" s="2">
        <f>'Bubble Ledger'!O22</f>
        <v>149000</v>
      </c>
      <c r="D24" s="2">
        <f>'Bubble Ledger'!O40</f>
        <v>119000</v>
      </c>
    </row>
    <row r="25" spans="1:7" x14ac:dyDescent="0.2">
      <c r="A25" t="s">
        <v>44</v>
      </c>
      <c r="B25" s="2">
        <v>0</v>
      </c>
      <c r="C25" s="2">
        <f>'Bubble Ledger'!P22</f>
        <v>-62834</v>
      </c>
      <c r="D25" s="2">
        <f>'Bubble Ledger'!P40</f>
        <v>-69207</v>
      </c>
    </row>
    <row r="26" spans="1:7" x14ac:dyDescent="0.2">
      <c r="A26" t="s">
        <v>45</v>
      </c>
      <c r="B26" s="4">
        <f>B23+B24+B25</f>
        <v>0</v>
      </c>
      <c r="C26" s="4">
        <f>C23+C24+C25</f>
        <v>87166</v>
      </c>
      <c r="D26" s="4">
        <f>D23+D24+D25</f>
        <v>50793</v>
      </c>
    </row>
    <row r="27" spans="1:7" ht="17" thickBot="1" x14ac:dyDescent="0.25">
      <c r="A27" s="6" t="s">
        <v>46</v>
      </c>
      <c r="B27" s="10">
        <f>B26+B21</f>
        <v>0</v>
      </c>
      <c r="C27" s="10">
        <f>C26+C21</f>
        <v>101766</v>
      </c>
      <c r="D27" s="46">
        <f>D26+D21</f>
        <v>136143</v>
      </c>
    </row>
    <row r="28" spans="1:7" ht="17" thickTop="1" x14ac:dyDescent="0.2"/>
    <row r="29" spans="1:7" x14ac:dyDescent="0.2">
      <c r="A29" s="11"/>
      <c r="B29" s="11"/>
      <c r="C29" s="12" t="s">
        <v>103</v>
      </c>
      <c r="D29" s="12"/>
    </row>
    <row r="30" spans="1:7" x14ac:dyDescent="0.2">
      <c r="C30" s="13" t="s">
        <v>104</v>
      </c>
      <c r="D30" s="13" t="s">
        <v>124</v>
      </c>
    </row>
    <row r="31" spans="1:7" x14ac:dyDescent="0.2">
      <c r="A31" s="6" t="s">
        <v>47</v>
      </c>
      <c r="B31" s="6"/>
      <c r="C31" s="6"/>
    </row>
    <row r="32" spans="1:7" x14ac:dyDescent="0.2">
      <c r="A32" t="s">
        <v>10</v>
      </c>
      <c r="C32" s="2">
        <f>'Bubble Ledger'!R20</f>
        <v>162881</v>
      </c>
      <c r="D32" s="2">
        <f>+'Bubble Ledger'!R38</f>
        <v>318249</v>
      </c>
      <c r="F32" s="55"/>
      <c r="G32" s="55"/>
    </row>
    <row r="33" spans="1:6" x14ac:dyDescent="0.2">
      <c r="A33" t="s">
        <v>118</v>
      </c>
      <c r="C33" s="2">
        <f>+'Bubble Ledger'!S3+'Bubble Ledger'!S10+'Bubble Ledger'!S18+'Bubble Ledger'!S8+'Bubble Ledger'!H19</f>
        <v>-146515</v>
      </c>
      <c r="D33" s="2">
        <f>+'Bubble Ledger'!S37+'Bubble Ledger'!S34+'Bubble Ledger'!H35</f>
        <v>-234472</v>
      </c>
      <c r="E33" s="52"/>
      <c r="F33" s="52"/>
    </row>
    <row r="34" spans="1:6" x14ac:dyDescent="0.2">
      <c r="A34" t="s">
        <v>76</v>
      </c>
      <c r="C34" s="4">
        <f>C32+C33</f>
        <v>16366</v>
      </c>
      <c r="D34" s="4">
        <f>D32+D33</f>
        <v>83777</v>
      </c>
    </row>
    <row r="35" spans="1:6" x14ac:dyDescent="0.2">
      <c r="A35" t="s">
        <v>15</v>
      </c>
      <c r="C35" s="2">
        <f>+'Bubble Ledger'!S4+'Bubble Ledger'!S5+'Bubble Ledger'!S11+'Bubble Ledger'!S12+'Bubble Ledger'!S15</f>
        <v>-78400</v>
      </c>
      <c r="D35" s="2">
        <f>+'Bubble Ledger'!S24+'Bubble Ledger'!S26+'Bubble Ledger'!S29+'Bubble Ledger'!S31+'Bubble Ledger'!S28</f>
        <v>-90150</v>
      </c>
    </row>
    <row r="36" spans="1:6" x14ac:dyDescent="0.2">
      <c r="A36" t="s">
        <v>119</v>
      </c>
      <c r="C36" s="8">
        <v>0</v>
      </c>
      <c r="D36" s="8">
        <v>0</v>
      </c>
    </row>
    <row r="37" spans="1:6" x14ac:dyDescent="0.2">
      <c r="A37" t="s">
        <v>48</v>
      </c>
      <c r="C37" s="2">
        <f>+C34+C35+C36</f>
        <v>-62034</v>
      </c>
      <c r="D37" s="2">
        <f>D34+D35+D36</f>
        <v>-6373</v>
      </c>
    </row>
    <row r="38" spans="1:6" x14ac:dyDescent="0.2">
      <c r="A38" t="s">
        <v>19</v>
      </c>
      <c r="C38" s="2">
        <f>+'Bubble Ledger'!S14</f>
        <v>-800</v>
      </c>
      <c r="D38" s="2">
        <v>0</v>
      </c>
    </row>
    <row r="39" spans="1:6" ht="17" thickBot="1" x14ac:dyDescent="0.25">
      <c r="A39" t="s">
        <v>49</v>
      </c>
      <c r="C39" s="10">
        <f>+C37+C38</f>
        <v>-62834</v>
      </c>
      <c r="D39" s="10">
        <f>+D37+D38</f>
        <v>-6373</v>
      </c>
    </row>
    <row r="40" spans="1:6" ht="17" thickTop="1" x14ac:dyDescent="0.2">
      <c r="C40" s="5"/>
      <c r="D40" s="5"/>
    </row>
    <row r="42" spans="1:6" x14ac:dyDescent="0.2">
      <c r="C42" s="12" t="s">
        <v>103</v>
      </c>
      <c r="D42" s="12"/>
    </row>
    <row r="43" spans="1:6" x14ac:dyDescent="0.2">
      <c r="C43" s="13" t="s">
        <v>104</v>
      </c>
      <c r="D43" s="13" t="s">
        <v>124</v>
      </c>
    </row>
    <row r="44" spans="1:6" x14ac:dyDescent="0.2">
      <c r="A44" s="6" t="s">
        <v>58</v>
      </c>
      <c r="B44" s="6"/>
      <c r="C44" s="6"/>
      <c r="D44" s="2"/>
    </row>
    <row r="45" spans="1:6" x14ac:dyDescent="0.2">
      <c r="A45" t="s">
        <v>69</v>
      </c>
      <c r="D45" s="2"/>
    </row>
    <row r="46" spans="1:6" x14ac:dyDescent="0.2">
      <c r="A46" t="s">
        <v>59</v>
      </c>
      <c r="C46" s="2">
        <f>C39</f>
        <v>-62834</v>
      </c>
      <c r="D46" s="2">
        <f>D39</f>
        <v>-6373</v>
      </c>
    </row>
    <row r="47" spans="1:6" x14ac:dyDescent="0.2">
      <c r="A47" s="17" t="s">
        <v>60</v>
      </c>
      <c r="B47" s="17"/>
      <c r="C47" s="2"/>
      <c r="D47" s="2"/>
    </row>
    <row r="48" spans="1:6" x14ac:dyDescent="0.2">
      <c r="A48" s="18" t="s">
        <v>61</v>
      </c>
      <c r="B48" s="18"/>
      <c r="C48" s="2">
        <f>-'Bubble Ledger'!H19</f>
        <v>2824</v>
      </c>
      <c r="D48" s="2">
        <f>-'Bubble Ledger'!H35</f>
        <v>5456</v>
      </c>
    </row>
    <row r="49" spans="1:12" x14ac:dyDescent="0.2">
      <c r="A49" s="17" t="s">
        <v>62</v>
      </c>
      <c r="B49" s="17"/>
      <c r="C49" s="2"/>
      <c r="D49" s="2"/>
    </row>
    <row r="50" spans="1:12" x14ac:dyDescent="0.2">
      <c r="A50" s="18" t="s">
        <v>63</v>
      </c>
      <c r="B50" s="18"/>
      <c r="C50" s="2">
        <f>-(C7-B7)</f>
        <v>-14850</v>
      </c>
      <c r="D50" s="2">
        <f>-(D7-C7)</f>
        <v>9625</v>
      </c>
    </row>
    <row r="51" spans="1:12" x14ac:dyDescent="0.2">
      <c r="A51" s="18" t="s">
        <v>64</v>
      </c>
      <c r="B51" s="18"/>
      <c r="C51" s="2">
        <f t="shared" ref="C51:D52" si="0">-(C8-B8)</f>
        <v>-6250</v>
      </c>
      <c r="D51" s="2">
        <f t="shared" si="0"/>
        <v>-720</v>
      </c>
    </row>
    <row r="52" spans="1:12" ht="17" thickBot="1" x14ac:dyDescent="0.25">
      <c r="A52" s="18" t="s">
        <v>65</v>
      </c>
      <c r="B52" s="18"/>
      <c r="C52" s="2">
        <f t="shared" si="0"/>
        <v>-35000</v>
      </c>
      <c r="D52" s="2">
        <f t="shared" si="0"/>
        <v>35000</v>
      </c>
    </row>
    <row r="53" spans="1:12" ht="17" thickBot="1" x14ac:dyDescent="0.25">
      <c r="A53" s="18" t="s">
        <v>66</v>
      </c>
      <c r="B53" s="18"/>
      <c r="C53" s="2">
        <f>C18-B18</f>
        <v>14600</v>
      </c>
      <c r="D53" s="2">
        <f>D18-C18-D69</f>
        <v>28500</v>
      </c>
      <c r="E53" s="60" t="s">
        <v>153</v>
      </c>
      <c r="F53" s="61"/>
      <c r="G53" s="61"/>
      <c r="H53" s="61"/>
      <c r="I53" s="61"/>
      <c r="J53" s="61"/>
      <c r="K53" s="61"/>
      <c r="L53" s="62"/>
    </row>
    <row r="54" spans="1:12" x14ac:dyDescent="0.2">
      <c r="A54" s="18" t="s">
        <v>125</v>
      </c>
      <c r="B54" s="18"/>
      <c r="C54" s="2">
        <f>C20-B20</f>
        <v>0</v>
      </c>
      <c r="D54" s="2">
        <f>D20-C20</f>
        <v>30000</v>
      </c>
    </row>
    <row r="55" spans="1:12" x14ac:dyDescent="0.2">
      <c r="A55" s="18" t="s">
        <v>67</v>
      </c>
      <c r="B55" s="18"/>
      <c r="C55" s="8">
        <f>C19-B19</f>
        <v>0</v>
      </c>
      <c r="D55" s="8">
        <f>D19-C19</f>
        <v>0</v>
      </c>
    </row>
    <row r="56" spans="1:12" x14ac:dyDescent="0.2">
      <c r="A56" s="20" t="s">
        <v>71</v>
      </c>
      <c r="B56" s="18"/>
      <c r="C56" s="2">
        <f>SUM(C46:C55)</f>
        <v>-101510</v>
      </c>
      <c r="D56" s="2">
        <f>SUM(D46:D55)</f>
        <v>101488</v>
      </c>
    </row>
    <row r="57" spans="1:12" x14ac:dyDescent="0.2">
      <c r="A57" t="s">
        <v>70</v>
      </c>
      <c r="C57" s="2"/>
      <c r="D57" s="2"/>
    </row>
    <row r="58" spans="1:12" x14ac:dyDescent="0.2">
      <c r="A58" t="s">
        <v>53</v>
      </c>
      <c r="C58" s="2">
        <f>-'Bubble Ledger'!H4-'Bubble Ledger'!H6</f>
        <v>-28240</v>
      </c>
      <c r="D58" s="2">
        <f>-'Bubble Ledger'!H25</f>
        <v>-10000</v>
      </c>
    </row>
    <row r="59" spans="1:12" x14ac:dyDescent="0.2">
      <c r="A59" s="20" t="s">
        <v>72</v>
      </c>
      <c r="C59" s="4">
        <f>SUM(C58:C58)</f>
        <v>-28240</v>
      </c>
      <c r="D59" s="4">
        <f>SUM(D58:D58)</f>
        <v>-10000</v>
      </c>
    </row>
    <row r="60" spans="1:12" x14ac:dyDescent="0.2">
      <c r="A60" t="s">
        <v>73</v>
      </c>
      <c r="C60" s="2"/>
      <c r="D60" s="2"/>
    </row>
    <row r="61" spans="1:12" x14ac:dyDescent="0.2">
      <c r="A61" t="s">
        <v>54</v>
      </c>
      <c r="C61" s="45">
        <v>150000</v>
      </c>
      <c r="D61" s="2">
        <v>0</v>
      </c>
    </row>
    <row r="62" spans="1:12" x14ac:dyDescent="0.2">
      <c r="A62" s="25" t="s">
        <v>145</v>
      </c>
      <c r="C62" s="2"/>
      <c r="D62" s="2">
        <f>+'Bubble Ledger'!C27</f>
        <v>-30000</v>
      </c>
    </row>
    <row r="63" spans="1:12" x14ac:dyDescent="0.2">
      <c r="A63" t="s">
        <v>135</v>
      </c>
      <c r="C63" s="2">
        <v>0</v>
      </c>
      <c r="D63" s="2">
        <f>+'Bubble Ledger'!J13+'Bubble Ledger'!J14</f>
        <v>0</v>
      </c>
    </row>
    <row r="64" spans="1:12" x14ac:dyDescent="0.2">
      <c r="A64" s="20" t="s">
        <v>74</v>
      </c>
      <c r="C64" s="14">
        <f>SUM(C61:C63)</f>
        <v>150000</v>
      </c>
      <c r="D64" s="14">
        <f>SUM(D61:D63)</f>
        <v>-30000</v>
      </c>
    </row>
    <row r="65" spans="1:12" x14ac:dyDescent="0.2">
      <c r="A65" t="s">
        <v>75</v>
      </c>
      <c r="C65" s="5">
        <f>C56+C59+C64</f>
        <v>20250</v>
      </c>
      <c r="D65" s="5">
        <f>D56+D59+D64</f>
        <v>61488</v>
      </c>
    </row>
    <row r="66" spans="1:12" x14ac:dyDescent="0.2">
      <c r="A66" t="s">
        <v>56</v>
      </c>
      <c r="C66" s="8">
        <f>B6</f>
        <v>0</v>
      </c>
      <c r="D66" s="8">
        <f>+C6</f>
        <v>20250</v>
      </c>
      <c r="G66" s="40"/>
    </row>
    <row r="67" spans="1:12" ht="17" thickBot="1" x14ac:dyDescent="0.25">
      <c r="A67" t="s">
        <v>57</v>
      </c>
      <c r="C67" s="15">
        <f>C66+C65</f>
        <v>20250</v>
      </c>
      <c r="D67" s="15">
        <f>D66+D65</f>
        <v>81738</v>
      </c>
      <c r="E67" s="44">
        <f>+'Bubble Financials'!D6-D67</f>
        <v>0</v>
      </c>
      <c r="F67" s="3"/>
      <c r="G67" s="43"/>
    </row>
    <row r="68" spans="1:12" ht="18" thickTop="1" thickBot="1" x14ac:dyDescent="0.25">
      <c r="A68" s="6" t="s">
        <v>149</v>
      </c>
      <c r="C68" s="5"/>
      <c r="D68" s="5"/>
      <c r="F68" s="3"/>
      <c r="G68" s="43"/>
    </row>
    <row r="69" spans="1:12" x14ac:dyDescent="0.2">
      <c r="A69" t="s">
        <v>150</v>
      </c>
      <c r="C69" s="5">
        <v>0</v>
      </c>
      <c r="D69" s="5">
        <f>'Bubble Ledger'!H30</f>
        <v>12250</v>
      </c>
      <c r="E69" s="63" t="s">
        <v>152</v>
      </c>
      <c r="F69" s="64"/>
      <c r="G69" s="64"/>
      <c r="H69" s="64"/>
      <c r="I69" s="64"/>
      <c r="J69" s="64"/>
      <c r="K69" s="64"/>
      <c r="L69" s="65"/>
    </row>
    <row r="70" spans="1:12" x14ac:dyDescent="0.2">
      <c r="E70" s="66"/>
      <c r="F70" s="67"/>
      <c r="G70" s="67"/>
      <c r="H70" s="67"/>
      <c r="I70" s="67"/>
      <c r="J70" s="67"/>
      <c r="K70" s="67"/>
      <c r="L70" s="68"/>
    </row>
    <row r="71" spans="1:12" ht="17" thickBot="1" x14ac:dyDescent="0.25">
      <c r="E71" s="69"/>
      <c r="F71" s="70"/>
      <c r="G71" s="70"/>
      <c r="H71" s="70"/>
      <c r="I71" s="70"/>
      <c r="J71" s="70"/>
      <c r="K71" s="70"/>
      <c r="L71" s="71"/>
    </row>
    <row r="72" spans="1:12" x14ac:dyDescent="0.2">
      <c r="C72" s="12" t="s">
        <v>103</v>
      </c>
      <c r="D72" s="12"/>
    </row>
    <row r="73" spans="1:12" x14ac:dyDescent="0.2">
      <c r="C73" s="13" t="s">
        <v>104</v>
      </c>
      <c r="D73" s="13" t="s">
        <v>124</v>
      </c>
    </row>
    <row r="74" spans="1:12" x14ac:dyDescent="0.2">
      <c r="A74" s="6" t="s">
        <v>50</v>
      </c>
      <c r="B74" s="6"/>
      <c r="C74" s="6"/>
      <c r="D74" s="2"/>
    </row>
    <row r="75" spans="1:12" x14ac:dyDescent="0.2">
      <c r="A75" t="s">
        <v>69</v>
      </c>
      <c r="D75" s="2"/>
    </row>
    <row r="76" spans="1:12" x14ac:dyDescent="0.2">
      <c r="A76" t="s">
        <v>51</v>
      </c>
      <c r="C76" s="47">
        <f>+'Bubble Ledger'!C17</f>
        <v>148031</v>
      </c>
      <c r="D76" s="47">
        <f>+'Bubble Ledger'!C36+'Bubble Ledger'!C32</f>
        <v>357874</v>
      </c>
    </row>
    <row r="77" spans="1:12" x14ac:dyDescent="0.2">
      <c r="A77" t="s">
        <v>77</v>
      </c>
      <c r="C77" s="48">
        <f>+'Bubble Ledger'!C4+'Bubble Ledger'!H4+'Bubble Ledger'!C5+'Bubble Ledger'!C6+'Bubble Ledger'!H6+'Bubble Ledger'!C10+'Bubble Ledger'!C7+'Bubble Ledger'!C13+'Bubble Ledger'!C16+'Bubble Ledger'!C8</f>
        <v>-144741</v>
      </c>
      <c r="D77" s="48">
        <f>'Bubble Ledger'!C26+'Bubble Ledger'!C29+'Bubble Ledger'!C33+'Bubble Ledger'!C34</f>
        <v>-220386</v>
      </c>
    </row>
    <row r="78" spans="1:12" x14ac:dyDescent="0.2">
      <c r="A78" t="s">
        <v>52</v>
      </c>
      <c r="C78" s="49">
        <f>+'Bubble Ledger'!C11+'Bubble Ledger'!C12+'Bubble Ledger'!C14+'Bubble Ledger'!C15</f>
        <v>-104800</v>
      </c>
      <c r="D78" s="49">
        <f>'Bubble Ledger'!C24</f>
        <v>-36000</v>
      </c>
    </row>
    <row r="79" spans="1:12" x14ac:dyDescent="0.2">
      <c r="A79" s="20" t="s">
        <v>71</v>
      </c>
      <c r="C79" s="4">
        <f>SUM(C76:C78)</f>
        <v>-101510</v>
      </c>
      <c r="D79" s="4">
        <f>SUM(D76:D78)</f>
        <v>101488</v>
      </c>
    </row>
    <row r="80" spans="1:12" x14ac:dyDescent="0.2">
      <c r="A80" t="s">
        <v>70</v>
      </c>
      <c r="C80" s="2"/>
      <c r="D80" s="2"/>
    </row>
    <row r="81" spans="1:5" x14ac:dyDescent="0.2">
      <c r="A81" t="s">
        <v>53</v>
      </c>
      <c r="C81" s="51">
        <f>+'Bubble Ledger'!C6-'Bubble Ledger'!H4</f>
        <v>-28240</v>
      </c>
      <c r="D81" s="51">
        <f>'Bubble Ledger'!C25</f>
        <v>-10000</v>
      </c>
    </row>
    <row r="82" spans="1:5" x14ac:dyDescent="0.2">
      <c r="A82" s="20" t="s">
        <v>72</v>
      </c>
      <c r="C82" s="4">
        <f>C81</f>
        <v>-28240</v>
      </c>
      <c r="D82" s="4">
        <f>D81</f>
        <v>-10000</v>
      </c>
    </row>
    <row r="83" spans="1:5" x14ac:dyDescent="0.2">
      <c r="A83" t="s">
        <v>73</v>
      </c>
      <c r="C83" s="2"/>
      <c r="D83" s="2"/>
    </row>
    <row r="84" spans="1:5" x14ac:dyDescent="0.2">
      <c r="A84" t="s">
        <v>54</v>
      </c>
      <c r="C84" s="50">
        <f>'Bubble Ledger'!C3</f>
        <v>150000</v>
      </c>
      <c r="D84" s="2">
        <v>0</v>
      </c>
    </row>
    <row r="85" spans="1:5" x14ac:dyDescent="0.2">
      <c r="A85" s="25" t="s">
        <v>145</v>
      </c>
      <c r="C85" s="2">
        <v>0</v>
      </c>
      <c r="D85" s="50">
        <f>+'Bubble Ledger'!C27</f>
        <v>-30000</v>
      </c>
    </row>
    <row r="86" spans="1:5" x14ac:dyDescent="0.2">
      <c r="A86" t="s">
        <v>55</v>
      </c>
      <c r="C86" s="2">
        <v>0</v>
      </c>
      <c r="D86" s="2">
        <v>0</v>
      </c>
    </row>
    <row r="87" spans="1:5" x14ac:dyDescent="0.2">
      <c r="A87" s="20" t="s">
        <v>74</v>
      </c>
      <c r="C87" s="14">
        <f>SUM(C84:C86)</f>
        <v>150000</v>
      </c>
      <c r="D87" s="14">
        <f>SUM(D84:D86)</f>
        <v>-30000</v>
      </c>
    </row>
    <row r="88" spans="1:5" x14ac:dyDescent="0.2">
      <c r="A88" t="s">
        <v>75</v>
      </c>
      <c r="C88" s="5">
        <f>C79+C82+C87</f>
        <v>20250</v>
      </c>
      <c r="D88" s="5">
        <f>D79+D82+D87</f>
        <v>61488</v>
      </c>
    </row>
    <row r="89" spans="1:5" x14ac:dyDescent="0.2">
      <c r="A89" t="s">
        <v>56</v>
      </c>
      <c r="C89" s="8">
        <f>B6</f>
        <v>0</v>
      </c>
      <c r="D89" s="8">
        <f>+C6</f>
        <v>20250</v>
      </c>
    </row>
    <row r="90" spans="1:5" ht="17" thickBot="1" x14ac:dyDescent="0.25">
      <c r="A90" t="s">
        <v>57</v>
      </c>
      <c r="B90" s="44">
        <f>+C6-C90</f>
        <v>0</v>
      </c>
      <c r="C90" s="15">
        <f>+C89+C88</f>
        <v>20250</v>
      </c>
      <c r="D90" s="15">
        <f>D89+D88</f>
        <v>81738</v>
      </c>
      <c r="E90" s="44">
        <f>+D6-D90</f>
        <v>0</v>
      </c>
    </row>
    <row r="91" spans="1:5" ht="17" thickTop="1" x14ac:dyDescent="0.2">
      <c r="A91" s="6" t="s">
        <v>149</v>
      </c>
      <c r="D91" s="16"/>
    </row>
    <row r="92" spans="1:5" x14ac:dyDescent="0.2">
      <c r="A92" t="s">
        <v>150</v>
      </c>
      <c r="C92" s="5">
        <v>0</v>
      </c>
      <c r="D92" s="5">
        <f>'Bubble Ledger'!H30</f>
        <v>12250</v>
      </c>
    </row>
  </sheetData>
  <mergeCells count="1">
    <mergeCell ref="E69:L71"/>
  </mergeCells>
  <pageMargins left="0.7" right="0.7" top="0.75" bottom="0.75" header="0.3" footer="0.3"/>
  <pageSetup scale="81" orientation="portrait" r:id="rId1"/>
  <rowBreaks count="1" manualBreakCount="1">
    <brk id="7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Bubble Ledger</vt:lpstr>
      <vt:lpstr>Bubble Financials</vt:lpstr>
      <vt:lpstr>'Bubble Ledger'!Print_Area</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 Herrmann</dc:creator>
  <cp:lastModifiedBy>Wang, Charles</cp:lastModifiedBy>
  <cp:lastPrinted>2022-08-24T21:54:48Z</cp:lastPrinted>
  <dcterms:created xsi:type="dcterms:W3CDTF">2021-08-10T22:13:00Z</dcterms:created>
  <dcterms:modified xsi:type="dcterms:W3CDTF">2025-09-09T18:45:56Z</dcterms:modified>
</cp:coreProperties>
</file>