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election-night-app/election-night-graphics/data/"/>
    </mc:Choice>
  </mc:AlternateContent>
  <xr:revisionPtr revIDLastSave="0" documentId="10_ncr:8100000_{CFBC50AB-384A-2C46-8846-B1C837E74647}" xr6:coauthVersionLast="34" xr6:coauthVersionMax="34" xr10:uidLastSave="{00000000-0000-0000-0000-000000000000}"/>
  <bookViews>
    <workbookView xWindow="26540" yWindow="3760" windowWidth="22940" windowHeight="21240" firstSheet="2" activeTab="3" xr2:uid="{EF519B7F-F581-D644-9218-2E498586D9F3}"/>
  </bookViews>
  <sheets>
    <sheet name="turnout-state" sheetId="1" r:id="rId1"/>
    <sheet name="turnout-countyparty" sheetId="2" r:id="rId2"/>
    <sheet name="turnout-earlyvoting" sheetId="3" r:id="rId3"/>
    <sheet name="voting-county" sheetId="4" r:id="rId4"/>
    <sheet name="earlybycand" sheetId="5" r:id="rId5"/>
    <sheet name="mdrepoutcomes" sheetId="6" r:id="rId6"/>
    <sheet name="graphic1" sheetId="7" r:id="rId7"/>
    <sheet name="graphic2" sheetId="8" r:id="rId8"/>
    <sheet name="graphic3" sheetId="10" r:id="rId9"/>
    <sheet name="graphic4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4" l="1"/>
  <c r="O10" i="4"/>
  <c r="N3" i="4"/>
  <c r="L3" i="5"/>
  <c r="L2" i="5"/>
  <c r="K3" i="5"/>
  <c r="K2" i="5"/>
  <c r="F4" i="5"/>
  <c r="T3" i="4" l="1"/>
  <c r="D12" i="8"/>
  <c r="D10" i="8"/>
  <c r="D16" i="8"/>
  <c r="D19" i="8"/>
  <c r="D11" i="8"/>
  <c r="D21" i="8"/>
  <c r="D6" i="8"/>
  <c r="D4" i="8"/>
  <c r="D22" i="8"/>
  <c r="D7" i="8"/>
  <c r="D20" i="8"/>
  <c r="D14" i="8"/>
  <c r="D5" i="8"/>
  <c r="D23" i="8"/>
  <c r="D3" i="8"/>
  <c r="D2" i="8"/>
  <c r="D17" i="8"/>
  <c r="D13" i="8"/>
  <c r="D25" i="8"/>
  <c r="D18" i="8"/>
  <c r="D9" i="8"/>
  <c r="D8" i="8"/>
  <c r="D15" i="8"/>
  <c r="D24" i="8"/>
  <c r="B15" i="8"/>
  <c r="B8" i="8"/>
  <c r="B9" i="8"/>
  <c r="B18" i="8"/>
  <c r="B25" i="8"/>
  <c r="B13" i="8"/>
  <c r="B17" i="8"/>
  <c r="B2" i="8"/>
  <c r="B3" i="8"/>
  <c r="B23" i="8"/>
  <c r="B5" i="8"/>
  <c r="B1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25" i="7"/>
  <c r="C24" i="7"/>
  <c r="C23" i="7"/>
  <c r="C22" i="7"/>
  <c r="C21" i="7"/>
  <c r="C20" i="7"/>
  <c r="C19" i="7"/>
  <c r="C18" i="7"/>
  <c r="C17" i="7"/>
  <c r="C16" i="7"/>
  <c r="C15" i="7"/>
  <c r="C14" i="7"/>
  <c r="R7" i="4" l="1"/>
  <c r="R8" i="4"/>
  <c r="R9" i="4"/>
  <c r="R10" i="4"/>
  <c r="R11" i="4"/>
  <c r="R15" i="4"/>
  <c r="R16" i="4"/>
  <c r="R17" i="4"/>
  <c r="R18" i="4"/>
  <c r="R19" i="4"/>
  <c r="R23" i="4"/>
  <c r="R24" i="4"/>
  <c r="R25" i="4"/>
  <c r="R26" i="4"/>
  <c r="R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O3" i="4"/>
  <c r="L3" i="4"/>
  <c r="J3" i="5"/>
  <c r="J2" i="5"/>
  <c r="I3" i="5"/>
  <c r="I2" i="5"/>
  <c r="E3" i="5"/>
  <c r="E2" i="5"/>
  <c r="H3" i="5"/>
  <c r="D3" i="5"/>
  <c r="H2" i="5"/>
  <c r="D2" i="5"/>
  <c r="M28" i="4"/>
  <c r="T2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I4" i="4"/>
  <c r="R4" i="4" s="1"/>
  <c r="I5" i="4"/>
  <c r="R5" i="4" s="1"/>
  <c r="I6" i="4"/>
  <c r="R6" i="4" s="1"/>
  <c r="I7" i="4"/>
  <c r="I8" i="4"/>
  <c r="I9" i="4"/>
  <c r="I10" i="4"/>
  <c r="I11" i="4"/>
  <c r="I12" i="4"/>
  <c r="R12" i="4" s="1"/>
  <c r="I13" i="4"/>
  <c r="R13" i="4" s="1"/>
  <c r="I14" i="4"/>
  <c r="R14" i="4" s="1"/>
  <c r="I15" i="4"/>
  <c r="I16" i="4"/>
  <c r="I17" i="4"/>
  <c r="I18" i="4"/>
  <c r="I19" i="4"/>
  <c r="I20" i="4"/>
  <c r="R20" i="4" s="1"/>
  <c r="I21" i="4"/>
  <c r="R21" i="4" s="1"/>
  <c r="I22" i="4"/>
  <c r="R22" i="4" s="1"/>
  <c r="I23" i="4"/>
  <c r="I24" i="4"/>
  <c r="I25" i="4"/>
  <c r="I26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H28" i="4"/>
  <c r="H29" i="4" s="1"/>
  <c r="G28" i="4"/>
  <c r="G29" i="4" s="1"/>
  <c r="C28" i="4"/>
  <c r="C29" i="4" s="1"/>
  <c r="B28" i="4"/>
  <c r="Q1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J3" i="4"/>
  <c r="P3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Q17" i="4" s="1"/>
  <c r="K18" i="4"/>
  <c r="K19" i="4"/>
  <c r="K20" i="4"/>
  <c r="K21" i="4"/>
  <c r="K22" i="4"/>
  <c r="K23" i="4"/>
  <c r="K24" i="4"/>
  <c r="K25" i="4"/>
  <c r="K26" i="4"/>
  <c r="J4" i="4"/>
  <c r="J5" i="4"/>
  <c r="J6" i="4"/>
  <c r="J7" i="4"/>
  <c r="J8" i="4"/>
  <c r="J9" i="4"/>
  <c r="J10" i="4"/>
  <c r="P10" i="4" s="1"/>
  <c r="J11" i="4"/>
  <c r="P11" i="4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Q3" i="4" l="1"/>
  <c r="P25" i="4"/>
  <c r="P17" i="4"/>
  <c r="P9" i="4"/>
  <c r="Q24" i="4"/>
  <c r="Q8" i="4"/>
  <c r="B29" i="4"/>
  <c r="P16" i="4"/>
  <c r="P8" i="4"/>
  <c r="Q23" i="4"/>
  <c r="Q15" i="4"/>
  <c r="Q7" i="4"/>
  <c r="P24" i="4"/>
  <c r="Q22" i="4"/>
  <c r="Q6" i="4"/>
  <c r="P15" i="4"/>
  <c r="Q14" i="4"/>
  <c r="P20" i="4"/>
  <c r="P7" i="4"/>
  <c r="P23" i="4"/>
  <c r="P18" i="4"/>
  <c r="Q25" i="4"/>
  <c r="Q9" i="4"/>
  <c r="P14" i="4"/>
  <c r="Q20" i="4"/>
  <c r="Q19" i="4"/>
  <c r="P13" i="4"/>
  <c r="P12" i="4"/>
  <c r="Q10" i="4"/>
  <c r="P6" i="4"/>
  <c r="Q5" i="4"/>
  <c r="P22" i="4"/>
  <c r="Q13" i="4"/>
  <c r="P5" i="4"/>
  <c r="Q12" i="4"/>
  <c r="P4" i="4"/>
  <c r="P19" i="4"/>
  <c r="Q18" i="4"/>
  <c r="P26" i="4"/>
  <c r="Q21" i="4"/>
  <c r="P21" i="4"/>
  <c r="Q4" i="4"/>
  <c r="Q11" i="4"/>
  <c r="Q26" i="4"/>
  <c r="E15" i="3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<sst xmlns="http://schemas.openxmlformats.org/spreadsheetml/2006/main" count="772" uniqueCount="86">
  <si>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</si>
  <si>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</si>
  <si>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</si>
  <si>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</si>
  <si>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</si>
  <si>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</si>
  <si>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</si>
  <si>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</si>
  <si>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</si>
  <si>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</si>
  <si>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</si>
  <si>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</si>
  <si>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</si>
  <si>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</si>
  <si>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</si>
  <si>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</si>
  <si>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</si>
  <si>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</si>
  <si>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</si>
  <si>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</si>
  <si>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</si>
  <si>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</si>
  <si>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</si>
  <si>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</si>
  <si>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</si>
  <si>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</si>
  <si>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</si>
  <si>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</si>
  <si>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</si>
  <si>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</si>
  <si>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</si>
  <si>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</si>
  <si>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</si>
  <si>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</si>
  <si>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</si>
  <si>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</si>
  <si>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</si>
  <si>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</si>
  <si>
    <t>Hogan 2018</t>
  </si>
  <si>
    <t>Dem. 2018</t>
  </si>
  <si>
    <t>All votes</t>
  </si>
  <si>
    <t>2014 margin vs. 2018 margin</t>
  </si>
  <si>
    <t>Hogan 2014</t>
  </si>
  <si>
    <t>Dem. 2014</t>
  </si>
  <si>
    <t>All except absentee, missing precincts from mont. And pg</t>
  </si>
  <si>
    <t>Hogan 2014 pct.</t>
  </si>
  <si>
    <t>Dem 2014 pct</t>
  </si>
  <si>
    <t>Hogan 2018 pct</t>
  </si>
  <si>
    <t>Dem 2018 pct</t>
  </si>
  <si>
    <t>Hogan pct chg</t>
  </si>
  <si>
    <t>Dem pct chg</t>
  </si>
  <si>
    <t>Hogan chg</t>
  </si>
  <si>
    <t>Dem chg</t>
  </si>
  <si>
    <t>Hogan pct pt change</t>
  </si>
  <si>
    <t>Dem pct pt chg</t>
  </si>
  <si>
    <t>*figures don't include other candidates</t>
  </si>
  <si>
    <t>Total hog/dem votes</t>
  </si>
  <si>
    <t>Turnout pct chg</t>
  </si>
  <si>
    <t>Eligible Rep. voters 2018</t>
  </si>
  <si>
    <t>Hogan-Rep diff</t>
  </si>
  <si>
    <t>Pct early 2014</t>
  </si>
  <si>
    <t>2014 early votes</t>
  </si>
  <si>
    <t>2014 election day votes</t>
  </si>
  <si>
    <t>2018 early votes</t>
  </si>
  <si>
    <t>2018 election day votes</t>
  </si>
  <si>
    <t>Hogan</t>
  </si>
  <si>
    <t>Dem</t>
  </si>
  <si>
    <t>Pct early 2018</t>
  </si>
  <si>
    <t>All 2014 (minus abs.)</t>
  </si>
  <si>
    <t>All 2018 (minus abs.)</t>
  </si>
  <si>
    <t>Pct chg early</t>
  </si>
  <si>
    <t>Hogan Votes 2014</t>
  </si>
  <si>
    <t>Hogan Votes 2018</t>
  </si>
  <si>
    <t>Pct Hogan 2014</t>
  </si>
  <si>
    <t>Pct Hogan 2018</t>
  </si>
  <si>
    <t>All Gov. Votes 2014</t>
  </si>
  <si>
    <t>All Gov. Votes 2018</t>
  </si>
  <si>
    <t>Pct Pt Diff</t>
  </si>
  <si>
    <t>Pct Chg</t>
  </si>
  <si>
    <t>Rep</t>
  </si>
  <si>
    <t>Other</t>
  </si>
  <si>
    <t>Pct early vote 2014</t>
  </si>
  <si>
    <t>Pct early vote 2018</t>
  </si>
  <si>
    <t>2018 total votes cast</t>
  </si>
  <si>
    <t>2014 total votes cast</t>
  </si>
  <si>
    <t>diff: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</si>
</sst>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409]#,##0;\(#,##0\)"/>
    <numFmt numFmtId="165" formatCode="0.0%"/>
    <numFmt numFmtId="166" formatCode="_(* #,##0_);_(* \(#,##0\);_(* &quot;-&quot;??_);_(@_)"/>
    <numFmt numFmtId="167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5" fontId="0" fillId="0" borderId="0" xfId="0" applyNumberFormat="1"/>
    <xf numFmtId="165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65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66" fontId="4" fillId="0" borderId="0" xfId="1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right" vertical="center" wrapText="1" readingOrder="1"/>
    </xf>
    <xf numFmtId="166" fontId="7" fillId="0" borderId="0" xfId="1" applyNumberFormat="1" applyFont="1" applyFill="1" applyBorder="1" applyAlignment="1">
      <alignment horizontal="right" vertical="top" wrapText="1" readingOrder="1"/>
    </xf>
    <xf numFmtId="166" fontId="4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165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65" fontId="6" fillId="0" borderId="0" xfId="0" applyNumberFormat="1" applyFont="1"/>
    <xf numFmtId="165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65" fontId="9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2" borderId="0" xfId="0" applyFont="1" applyFill="1"/>
    <xf numFmtId="165" fontId="9" fillId="2" borderId="0" xfId="2" applyNumberFormat="1" applyFont="1" applyFill="1"/>
    <xf numFmtId="165" fontId="0" fillId="2" borderId="0" xfId="2" applyNumberFormat="1" applyFont="1" applyFill="1"/>
    <xf numFmtId="3" fontId="9" fillId="2" borderId="0" xfId="0" applyNumberFormat="1" applyFont="1" applyFill="1"/>
    <xf numFmtId="0" fontId="7" fillId="3" borderId="0" xfId="0" applyNumberFormat="1" applyFont="1" applyFill="1" applyBorder="1" applyAlignment="1">
      <alignment vertical="top" wrapText="1" readingOrder="1"/>
    </xf>
    <xf numFmtId="3" fontId="9" fillId="3" borderId="0" xfId="0" applyNumberFormat="1" applyFont="1" applyFill="1"/>
    <xf numFmtId="165" fontId="9" fillId="3" borderId="0" xfId="2" applyNumberFormat="1" applyFont="1" applyFill="1"/>
    <xf numFmtId="3" fontId="8" fillId="3" borderId="0" xfId="0" applyNumberFormat="1" applyFont="1" applyFill="1"/>
    <xf numFmtId="165" fontId="0" fillId="3" borderId="0" xfId="2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/>
    <xf numFmtId="165" fontId="9" fillId="0" borderId="0" xfId="2" applyNumberFormat="1" applyFont="1" applyFill="1"/>
    <xf numFmtId="3" fontId="8" fillId="0" borderId="0" xfId="0" applyNumberFormat="1" applyFont="1" applyFill="1"/>
    <xf numFmtId="165" fontId="0" fillId="0" borderId="0" xfId="2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Font="1"/>
    <xf numFmtId="166" fontId="9" fillId="0" borderId="0" xfId="1" applyNumberFormat="1" applyFont="1"/>
    <xf numFmtId="3" fontId="0" fillId="0" borderId="0" xfId="0" applyNumberFormat="1" applyFont="1" applyFill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AA58-2A10-2443-AFEF-0B7DF7E2AB0B}">
  <dimension ref="A1:D15"/>
  <sheetViews>
    <sheetView workbookViewId="0">
      <selection activeCell="D13" sqref="D13"/>
    </sheetView>
  </sheetViews>
  <sheetFormatPr baseColWidth="10" defaultRowHeight="16" x14ac:dyDescent="0.2"/>
  <cols>
    <col min="1" max="1" width="16.83203125" customWidth="1"/>
    <col min="2" max="2" width="7.6640625" bestFit="1" customWidth="1"/>
  </cols>
  <sheetData>
    <row r="1" spans="1:4" x14ac:dyDescent="0.2">
      <c r="A1" s="12" t="s">
        <v>1</v>
      </c>
      <c r="B1" s="12" t="s">
        <v>79</v>
      </c>
      <c r="C1" s="12" t="s">
        <v>65</v>
      </c>
    </row>
    <row r="2" spans="1:4" x14ac:dyDescent="0.2">
      <c r="A2" s="6" t="s">
        <v>9</v>
      </c>
      <c r="B2" s="59">
        <v>142739</v>
      </c>
      <c r="C2" s="57">
        <v>45371</v>
      </c>
      <c r="D2" s="31"/>
    </row>
    <row r="3" spans="1:4" s="61" customFormat="1" x14ac:dyDescent="0.2">
      <c r="A3" s="6" t="s">
        <v>21</v>
      </c>
      <c r="B3" s="59">
        <v>112995</v>
      </c>
      <c r="C3" s="57">
        <v>45578</v>
      </c>
      <c r="D3" s="31"/>
    </row>
    <row r="4" spans="1:4" s="61" customFormat="1" x14ac:dyDescent="0.2">
      <c r="A4" s="6" t="s">
        <v>7</v>
      </c>
      <c r="B4" s="31">
        <v>134806</v>
      </c>
      <c r="C4" s="33">
        <v>13179</v>
      </c>
      <c r="D4" s="31"/>
    </row>
    <row r="5" spans="1:4" s="61" customFormat="1" x14ac:dyDescent="0.2">
      <c r="A5" s="6" t="s">
        <v>22</v>
      </c>
      <c r="B5" s="59">
        <v>40500</v>
      </c>
      <c r="C5" s="57">
        <v>43095</v>
      </c>
      <c r="D5" s="31"/>
    </row>
    <row r="6" spans="1:4" s="61" customFormat="1" x14ac:dyDescent="0.2">
      <c r="A6" s="6" t="s">
        <v>18</v>
      </c>
      <c r="B6" s="59">
        <v>77772</v>
      </c>
      <c r="C6" s="57">
        <v>4688</v>
      </c>
      <c r="D6" s="31"/>
    </row>
    <row r="7" spans="1:4" s="61" customFormat="1" x14ac:dyDescent="0.2">
      <c r="A7" s="6" t="s">
        <v>19</v>
      </c>
      <c r="B7" s="59">
        <v>55158</v>
      </c>
      <c r="C7" s="57">
        <v>21752</v>
      </c>
      <c r="D7" s="31"/>
    </row>
    <row r="8" spans="1:4" s="61" customFormat="1" x14ac:dyDescent="0.2">
      <c r="A8" s="6" t="s">
        <v>16</v>
      </c>
      <c r="B8" s="59">
        <v>67012</v>
      </c>
      <c r="C8" s="57">
        <v>1542</v>
      </c>
      <c r="D8" s="31"/>
    </row>
    <row r="9" spans="1:4" s="61" customFormat="1" x14ac:dyDescent="0.2">
      <c r="A9" s="6" t="s">
        <v>8</v>
      </c>
      <c r="B9" s="59">
        <v>30873</v>
      </c>
      <c r="C9" s="57">
        <v>23263</v>
      </c>
      <c r="D9" s="31"/>
    </row>
    <row r="10" spans="1:4" s="61" customFormat="1" x14ac:dyDescent="0.2">
      <c r="A10" s="6" t="s">
        <v>14</v>
      </c>
      <c r="B10" s="59">
        <v>24871</v>
      </c>
      <c r="C10" s="57">
        <v>5423</v>
      </c>
      <c r="D10" s="31"/>
    </row>
    <row r="11" spans="1:4" s="61" customFormat="1" x14ac:dyDescent="0.2">
      <c r="A11" s="6" t="s">
        <v>10</v>
      </c>
      <c r="B11" s="59">
        <v>27415</v>
      </c>
      <c r="C11" s="57">
        <v>684</v>
      </c>
      <c r="D11" s="31"/>
    </row>
    <row r="12" spans="1:4" s="61" customFormat="1" x14ac:dyDescent="0.2">
      <c r="A12" s="6" t="s">
        <v>23</v>
      </c>
      <c r="B12" s="59">
        <v>17896</v>
      </c>
      <c r="C12" s="57">
        <v>822</v>
      </c>
      <c r="D12" s="31"/>
    </row>
    <row r="13" spans="1:4" s="61" customFormat="1" x14ac:dyDescent="0.2">
      <c r="A13" s="6" t="s">
        <v>26</v>
      </c>
      <c r="B13" s="31">
        <v>11535</v>
      </c>
      <c r="C13" s="33">
        <v>1821</v>
      </c>
      <c r="D13" s="31"/>
    </row>
    <row r="14" spans="1:4" s="61" customFormat="1" x14ac:dyDescent="0.2">
      <c r="A14" s="6" t="s">
        <v>15</v>
      </c>
      <c r="B14" s="59">
        <v>8182</v>
      </c>
      <c r="C14" s="57">
        <v>539</v>
      </c>
      <c r="D14" s="31"/>
    </row>
    <row r="15" spans="1:4" x14ac:dyDescent="0.2">
      <c r="A15" s="6" t="s">
        <v>20</v>
      </c>
      <c r="B15" s="59">
        <v>4786</v>
      </c>
      <c r="C15" s="57">
        <v>1278</v>
      </c>
      <c r="D15" s="31"/>
    </row>
  </sheetData>
  <sortState ref="A2:D15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topLeftCell="A43" workbookViewId="0">
      <selection activeCell="F89" sqref="F89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50">
        <v>2014</v>
      </c>
      <c r="B65" s="42" t="s">
        <v>21</v>
      </c>
      <c r="C65" s="51" t="s">
        <v>30</v>
      </c>
      <c r="D65" s="52">
        <v>125358</v>
      </c>
      <c r="E65" s="53">
        <v>357137</v>
      </c>
      <c r="F65" s="54">
        <f t="shared" si="0"/>
        <v>0.35100815653376716</v>
      </c>
      <c r="G65" s="50" t="s">
        <v>34</v>
      </c>
    </row>
    <row r="66" spans="1:7" x14ac:dyDescent="0.2">
      <c r="A66" s="50">
        <v>2014</v>
      </c>
      <c r="B66" s="42" t="s">
        <v>22</v>
      </c>
      <c r="C66" s="51" t="s">
        <v>30</v>
      </c>
      <c r="D66" s="52">
        <v>133677</v>
      </c>
      <c r="E66" s="53">
        <v>427946</v>
      </c>
      <c r="F66" s="54">
        <f t="shared" si="0"/>
        <v>0.31236885027550204</v>
      </c>
      <c r="G66" s="50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50">
        <v>2014</v>
      </c>
      <c r="B89" s="42" t="s">
        <v>21</v>
      </c>
      <c r="C89" s="51" t="s">
        <v>31</v>
      </c>
      <c r="D89" s="52">
        <v>48623</v>
      </c>
      <c r="E89" s="53">
        <v>121520</v>
      </c>
      <c r="F89" s="54">
        <f t="shared" si="1"/>
        <v>0.40012343647136273</v>
      </c>
      <c r="G89" s="50" t="s">
        <v>34</v>
      </c>
    </row>
    <row r="90" spans="1:7" x14ac:dyDescent="0.2">
      <c r="A90" s="50">
        <v>2014</v>
      </c>
      <c r="B90" s="42" t="s">
        <v>22</v>
      </c>
      <c r="C90" s="51" t="s">
        <v>31</v>
      </c>
      <c r="D90" s="52">
        <v>14013</v>
      </c>
      <c r="E90" s="53">
        <v>41780</v>
      </c>
      <c r="F90" s="54">
        <f t="shared" si="1"/>
        <v>0.33539971278123504</v>
      </c>
      <c r="G90" s="50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EE2-8F56-3043-918D-52D7AD3C50B1}">
  <dimension ref="A1:T36"/>
  <sheetViews>
    <sheetView tabSelected="1" workbookViewId="0">
      <selection activeCell="T18" sqref="T18"/>
    </sheetView>
  </sheetViews>
  <sheetFormatPr baseColWidth="10" defaultRowHeight="16" x14ac:dyDescent="0.2"/>
  <cols>
    <col min="1" max="1" width="18.33203125" bestFit="1" customWidth="1"/>
    <col min="4" max="4" width="18.5" bestFit="1" customWidth="1"/>
    <col min="5" max="5" width="14.5" style="37" bestFit="1" customWidth="1"/>
    <col min="6" max="6" width="12.6640625" bestFit="1" customWidth="1"/>
    <col min="9" max="9" width="18.5" bestFit="1" customWidth="1"/>
    <col min="10" max="10" width="14" style="37" bestFit="1" customWidth="1"/>
    <col min="11" max="11" width="12.6640625" bestFit="1" customWidth="1"/>
    <col min="12" max="12" width="12.83203125" bestFit="1" customWidth="1"/>
    <col min="14" max="14" width="12.83203125" bestFit="1" customWidth="1"/>
    <col min="15" max="15" width="11.5" bestFit="1" customWidth="1"/>
    <col min="16" max="16" width="18.1640625" bestFit="1" customWidth="1"/>
    <col min="17" max="17" width="13.6640625" bestFit="1" customWidth="1"/>
    <col min="18" max="18" width="13.83203125" bestFit="1" customWidth="1"/>
    <col min="19" max="19" width="21.83203125" bestFit="1" customWidth="1"/>
    <col min="20" max="20" width="13.6640625" bestFit="1" customWidth="1"/>
  </cols>
  <sheetData>
    <row r="1" spans="1:20" x14ac:dyDescent="0.2">
      <c r="B1" t="s">
        <v>40</v>
      </c>
      <c r="G1" t="s">
        <v>44</v>
      </c>
    </row>
    <row r="2" spans="1:20" s="12" customFormat="1" x14ac:dyDescent="0.2">
      <c r="A2" s="12" t="s">
        <v>1</v>
      </c>
      <c r="B2" s="12" t="s">
        <v>42</v>
      </c>
      <c r="C2" s="12" t="s">
        <v>43</v>
      </c>
      <c r="D2" s="12" t="s">
        <v>56</v>
      </c>
      <c r="E2" s="38" t="s">
        <v>45</v>
      </c>
      <c r="F2" s="12" t="s">
        <v>46</v>
      </c>
      <c r="G2" s="12" t="s">
        <v>38</v>
      </c>
      <c r="H2" s="12" t="s">
        <v>39</v>
      </c>
      <c r="I2" s="12" t="s">
        <v>56</v>
      </c>
      <c r="J2" s="38" t="s">
        <v>47</v>
      </c>
      <c r="K2" s="12" t="s">
        <v>48</v>
      </c>
      <c r="L2" s="12" t="s">
        <v>51</v>
      </c>
      <c r="M2" s="12" t="s">
        <v>52</v>
      </c>
      <c r="N2" s="12" t="s">
        <v>49</v>
      </c>
      <c r="O2" s="12" t="s">
        <v>50</v>
      </c>
      <c r="P2" s="12" t="s">
        <v>53</v>
      </c>
      <c r="Q2" s="12" t="s">
        <v>54</v>
      </c>
      <c r="R2" s="12" t="s">
        <v>57</v>
      </c>
      <c r="S2" s="12" t="s">
        <v>58</v>
      </c>
      <c r="T2" s="12" t="s">
        <v>59</v>
      </c>
    </row>
    <row r="3" spans="1:20" x14ac:dyDescent="0.2">
      <c r="A3" s="6" t="s">
        <v>6</v>
      </c>
      <c r="B3" s="34">
        <v>15410</v>
      </c>
      <c r="C3" s="34">
        <v>4629</v>
      </c>
      <c r="D3" s="34">
        <f>SUM(B3:C3)</f>
        <v>20039</v>
      </c>
      <c r="E3" s="39">
        <f t="shared" ref="E3:E26" si="0">B3/SUM($B3:$C3)</f>
        <v>0.76900044912420784</v>
      </c>
      <c r="F3" s="35">
        <f t="shared" ref="F3:F26" si="1">C3/SUM($B3:$C3)</f>
        <v>0.23099955087579221</v>
      </c>
      <c r="G3" s="33">
        <v>18048</v>
      </c>
      <c r="H3" s="33">
        <v>3205</v>
      </c>
      <c r="I3" s="33">
        <f>SUM(G3:H3)</f>
        <v>21253</v>
      </c>
      <c r="J3" s="40">
        <f t="shared" ref="J3:J26" si="2">G3/SUM($G3:$H3)</f>
        <v>0.84919776031619065</v>
      </c>
      <c r="K3" s="36">
        <f t="shared" ref="K3:K26" si="3">H3/SUM($G3:$H3)</f>
        <v>0.15080223968380935</v>
      </c>
      <c r="L3" s="31">
        <f>G3-B3</f>
        <v>2638</v>
      </c>
      <c r="M3" s="31">
        <f>H3-C3</f>
        <v>-1424</v>
      </c>
      <c r="N3" s="36">
        <f>(G3-B3)/B3</f>
        <v>0.17118754055807917</v>
      </c>
      <c r="O3" s="36">
        <f>(H3-C3)/C3</f>
        <v>-0.3076258371138475</v>
      </c>
      <c r="P3" s="4">
        <f>J3-E3</f>
        <v>8.0197311191982812E-2</v>
      </c>
      <c r="Q3" s="4">
        <f>K3-F3</f>
        <v>-8.0197311191982867E-2</v>
      </c>
      <c r="R3" s="36">
        <f>(I3-D3)/D3</f>
        <v>6.0581865362543043E-2</v>
      </c>
      <c r="S3" s="31">
        <v>21549</v>
      </c>
      <c r="T3" s="31">
        <f>G3-S3</f>
        <v>-3501</v>
      </c>
    </row>
    <row r="4" spans="1:20" x14ac:dyDescent="0.2">
      <c r="A4" s="6" t="s">
        <v>7</v>
      </c>
      <c r="B4" s="34">
        <v>119195</v>
      </c>
      <c r="C4" s="34">
        <v>58001</v>
      </c>
      <c r="D4" s="34">
        <f t="shared" ref="D4:D26" si="4">SUM(B4:C4)</f>
        <v>177196</v>
      </c>
      <c r="E4" s="39">
        <f t="shared" si="0"/>
        <v>0.67267319804058778</v>
      </c>
      <c r="F4" s="35">
        <f t="shared" si="1"/>
        <v>0.32732680195941216</v>
      </c>
      <c r="G4" s="33">
        <v>147985</v>
      </c>
      <c r="H4" s="33">
        <v>63388</v>
      </c>
      <c r="I4" s="33">
        <f t="shared" ref="I4:I26" si="5">SUM(G4:H4)</f>
        <v>211373</v>
      </c>
      <c r="J4" s="40">
        <f t="shared" si="2"/>
        <v>0.70011307025968317</v>
      </c>
      <c r="K4" s="36">
        <f t="shared" si="3"/>
        <v>0.29988692974031689</v>
      </c>
      <c r="L4" s="31">
        <f t="shared" ref="L4:L26" si="6">G4-B4</f>
        <v>28790</v>
      </c>
      <c r="M4" s="31">
        <f t="shared" ref="M4:M26" si="7">H4-C4</f>
        <v>5387</v>
      </c>
      <c r="N4" s="36">
        <f t="shared" ref="N4:N26" si="8">(G4-B4)/B4</f>
        <v>0.24153697722219891</v>
      </c>
      <c r="O4" s="36">
        <f t="shared" ref="O4:O26" si="9">(H4-C4)/C4</f>
        <v>9.2877709005017156E-2</v>
      </c>
      <c r="P4" s="4">
        <f t="shared" ref="P4:P26" si="10">J4-E4</f>
        <v>2.7439872219095385E-2</v>
      </c>
      <c r="Q4" s="4">
        <f t="shared" ref="Q4:Q26" si="11">K4-F4</f>
        <v>-2.7439872219095274E-2</v>
      </c>
      <c r="R4" s="36">
        <f t="shared" ref="R4:R26" si="12">(I4-D4)/D4</f>
        <v>0.19287681437504234</v>
      </c>
      <c r="S4" s="31">
        <v>134806</v>
      </c>
      <c r="T4" s="31">
        <f t="shared" ref="T4:T26" si="13">G4-S4</f>
        <v>13179</v>
      </c>
    </row>
    <row r="5" spans="1:20" s="49" customFormat="1" x14ac:dyDescent="0.2">
      <c r="A5" s="42" t="s">
        <v>8</v>
      </c>
      <c r="B5" s="43">
        <v>30845</v>
      </c>
      <c r="C5" s="43">
        <v>106213</v>
      </c>
      <c r="D5" s="43">
        <f t="shared" si="4"/>
        <v>137058</v>
      </c>
      <c r="E5" s="44">
        <f t="shared" si="0"/>
        <v>0.22505070845919245</v>
      </c>
      <c r="F5" s="44">
        <f t="shared" si="1"/>
        <v>0.77494929154080749</v>
      </c>
      <c r="G5" s="45">
        <v>54136</v>
      </c>
      <c r="H5" s="45">
        <v>113142</v>
      </c>
      <c r="I5" s="45">
        <f t="shared" si="5"/>
        <v>167278</v>
      </c>
      <c r="J5" s="46">
        <f t="shared" si="2"/>
        <v>0.32362892908810481</v>
      </c>
      <c r="K5" s="46">
        <f t="shared" si="3"/>
        <v>0.67637107091189519</v>
      </c>
      <c r="L5" s="47">
        <f t="shared" si="6"/>
        <v>23291</v>
      </c>
      <c r="M5" s="47">
        <f t="shared" si="7"/>
        <v>6929</v>
      </c>
      <c r="N5" s="46">
        <f t="shared" si="8"/>
        <v>0.75509807100016213</v>
      </c>
      <c r="O5" s="46">
        <f t="shared" si="9"/>
        <v>6.5236835415627095E-2</v>
      </c>
      <c r="P5" s="48">
        <f t="shared" si="10"/>
        <v>9.8578220628912361E-2</v>
      </c>
      <c r="Q5" s="48">
        <f t="shared" si="11"/>
        <v>-9.8578220628912305E-2</v>
      </c>
      <c r="R5" s="36">
        <f t="shared" si="12"/>
        <v>0.22049059522246056</v>
      </c>
      <c r="S5" s="47">
        <v>30873</v>
      </c>
      <c r="T5" s="47">
        <f t="shared" si="13"/>
        <v>23263</v>
      </c>
    </row>
    <row r="6" spans="1:20" s="61" customFormat="1" x14ac:dyDescent="0.2">
      <c r="A6" s="6" t="s">
        <v>9</v>
      </c>
      <c r="B6" s="55">
        <v>155936</v>
      </c>
      <c r="C6" s="55">
        <v>102734</v>
      </c>
      <c r="D6" s="55">
        <f t="shared" si="4"/>
        <v>258670</v>
      </c>
      <c r="E6" s="39">
        <f t="shared" si="0"/>
        <v>0.6028375922990683</v>
      </c>
      <c r="F6" s="56">
        <f t="shared" si="1"/>
        <v>0.3971624077009317</v>
      </c>
      <c r="G6" s="57">
        <v>188110</v>
      </c>
      <c r="H6" s="57">
        <v>113565</v>
      </c>
      <c r="I6" s="57">
        <f t="shared" si="5"/>
        <v>301675</v>
      </c>
      <c r="J6" s="40">
        <f t="shared" si="2"/>
        <v>0.62355183558465233</v>
      </c>
      <c r="K6" s="58">
        <f t="shared" si="3"/>
        <v>0.37644816441534762</v>
      </c>
      <c r="L6" s="59">
        <f t="shared" si="6"/>
        <v>32174</v>
      </c>
      <c r="M6" s="59">
        <f t="shared" si="7"/>
        <v>10831</v>
      </c>
      <c r="N6" s="36">
        <f t="shared" si="8"/>
        <v>0.20632823722552843</v>
      </c>
      <c r="O6" s="36">
        <f t="shared" si="9"/>
        <v>0.10542760916541749</v>
      </c>
      <c r="P6" s="60">
        <f t="shared" si="10"/>
        <v>2.0714243285584022E-2</v>
      </c>
      <c r="Q6" s="60">
        <f t="shared" si="11"/>
        <v>-2.0714243285584077E-2</v>
      </c>
      <c r="R6" s="36">
        <f t="shared" si="12"/>
        <v>0.16625430084663859</v>
      </c>
      <c r="S6" s="59">
        <v>142739</v>
      </c>
      <c r="T6" s="31">
        <f t="shared" si="13"/>
        <v>45371</v>
      </c>
    </row>
    <row r="7" spans="1:20" x14ac:dyDescent="0.2">
      <c r="A7" s="6" t="s">
        <v>10</v>
      </c>
      <c r="B7" s="34">
        <v>22739</v>
      </c>
      <c r="C7" s="34">
        <v>9579</v>
      </c>
      <c r="D7" s="34">
        <f t="shared" si="4"/>
        <v>32318</v>
      </c>
      <c r="E7" s="39">
        <f t="shared" si="0"/>
        <v>0.70360170802648681</v>
      </c>
      <c r="F7" s="35">
        <f t="shared" si="1"/>
        <v>0.29639829197351319</v>
      </c>
      <c r="G7" s="33">
        <v>28099</v>
      </c>
      <c r="H7" s="33">
        <v>8452</v>
      </c>
      <c r="I7" s="33">
        <f t="shared" si="5"/>
        <v>36551</v>
      </c>
      <c r="J7" s="40">
        <f t="shared" si="2"/>
        <v>0.76876145659489481</v>
      </c>
      <c r="K7" s="36">
        <f t="shared" si="3"/>
        <v>0.23123854340510519</v>
      </c>
      <c r="L7" s="31">
        <f t="shared" si="6"/>
        <v>5360</v>
      </c>
      <c r="M7" s="31">
        <f t="shared" si="7"/>
        <v>-1127</v>
      </c>
      <c r="N7" s="36">
        <f t="shared" si="8"/>
        <v>0.23571836932143014</v>
      </c>
      <c r="O7" s="36">
        <f t="shared" si="9"/>
        <v>-0.11765319970769392</v>
      </c>
      <c r="P7" s="4">
        <f t="shared" si="10"/>
        <v>6.5159748568408005E-2</v>
      </c>
      <c r="Q7" s="4">
        <f t="shared" si="11"/>
        <v>-6.5159748568408005E-2</v>
      </c>
      <c r="R7" s="36">
        <f t="shared" si="12"/>
        <v>0.13097963982919736</v>
      </c>
      <c r="S7" s="31">
        <v>27415</v>
      </c>
      <c r="T7" s="31">
        <f t="shared" si="13"/>
        <v>684</v>
      </c>
    </row>
    <row r="8" spans="1:20" x14ac:dyDescent="0.2">
      <c r="A8" s="6" t="s">
        <v>11</v>
      </c>
      <c r="B8" s="34">
        <v>7144</v>
      </c>
      <c r="C8" s="34">
        <v>1931</v>
      </c>
      <c r="D8" s="34">
        <f t="shared" si="4"/>
        <v>9075</v>
      </c>
      <c r="E8" s="39">
        <f t="shared" si="0"/>
        <v>0.78721763085399454</v>
      </c>
      <c r="F8" s="35">
        <f t="shared" si="1"/>
        <v>0.21278236914600551</v>
      </c>
      <c r="G8" s="32">
        <v>9166</v>
      </c>
      <c r="H8" s="33">
        <v>1795</v>
      </c>
      <c r="I8" s="33">
        <f t="shared" si="5"/>
        <v>10961</v>
      </c>
      <c r="J8" s="40">
        <f t="shared" si="2"/>
        <v>0.83623756956482076</v>
      </c>
      <c r="K8" s="36">
        <f t="shared" si="3"/>
        <v>0.16376243043517927</v>
      </c>
      <c r="L8" s="31">
        <f t="shared" si="6"/>
        <v>2022</v>
      </c>
      <c r="M8" s="31">
        <f t="shared" si="7"/>
        <v>-136</v>
      </c>
      <c r="N8" s="36">
        <f t="shared" si="8"/>
        <v>0.28303471444568867</v>
      </c>
      <c r="O8" s="36">
        <f t="shared" si="9"/>
        <v>-7.0429829104091138E-2</v>
      </c>
      <c r="P8" s="4">
        <f t="shared" si="10"/>
        <v>4.9019938710826216E-2</v>
      </c>
      <c r="Q8" s="4">
        <f t="shared" si="11"/>
        <v>-4.9019938710826244E-2</v>
      </c>
      <c r="R8" s="36">
        <f t="shared" si="12"/>
        <v>0.20782369146005511</v>
      </c>
      <c r="S8" s="31">
        <v>9390</v>
      </c>
      <c r="T8" s="31">
        <f t="shared" si="13"/>
        <v>-224</v>
      </c>
    </row>
    <row r="9" spans="1:20" x14ac:dyDescent="0.2">
      <c r="A9" s="6" t="s">
        <v>12</v>
      </c>
      <c r="B9" s="34">
        <v>52951</v>
      </c>
      <c r="C9" s="34">
        <v>10349</v>
      </c>
      <c r="D9" s="34">
        <f t="shared" si="4"/>
        <v>63300</v>
      </c>
      <c r="E9" s="39">
        <f t="shared" si="0"/>
        <v>0.83650868878357032</v>
      </c>
      <c r="F9" s="35">
        <f t="shared" si="1"/>
        <v>0.16349131121642971</v>
      </c>
      <c r="G9" s="33">
        <v>60214</v>
      </c>
      <c r="H9" s="33">
        <v>10831</v>
      </c>
      <c r="I9" s="33">
        <f t="shared" si="5"/>
        <v>71045</v>
      </c>
      <c r="J9" s="40">
        <f t="shared" si="2"/>
        <v>0.84754732915757613</v>
      </c>
      <c r="K9" s="36">
        <f t="shared" si="3"/>
        <v>0.15245267084242381</v>
      </c>
      <c r="L9" s="31">
        <f t="shared" si="6"/>
        <v>7263</v>
      </c>
      <c r="M9" s="31">
        <f t="shared" si="7"/>
        <v>482</v>
      </c>
      <c r="N9" s="36">
        <f t="shared" si="8"/>
        <v>0.13716454835602726</v>
      </c>
      <c r="O9" s="36">
        <f t="shared" si="9"/>
        <v>4.6574548265532902E-2</v>
      </c>
      <c r="P9" s="4">
        <f t="shared" si="10"/>
        <v>1.1038640374005815E-2</v>
      </c>
      <c r="Q9" s="4">
        <f t="shared" si="11"/>
        <v>-1.1038640374005898E-2</v>
      </c>
      <c r="R9" s="36">
        <f t="shared" si="12"/>
        <v>0.12235387045813587</v>
      </c>
      <c r="S9" s="31">
        <v>62908</v>
      </c>
      <c r="T9" s="31">
        <f t="shared" si="13"/>
        <v>-2694</v>
      </c>
    </row>
    <row r="10" spans="1:20" x14ac:dyDescent="0.2">
      <c r="A10" s="6" t="s">
        <v>13</v>
      </c>
      <c r="B10" s="34">
        <v>20699</v>
      </c>
      <c r="C10" s="34">
        <v>5467</v>
      </c>
      <c r="D10" s="34">
        <f t="shared" si="4"/>
        <v>26166</v>
      </c>
      <c r="E10" s="39">
        <f t="shared" si="0"/>
        <v>0.79106474050294273</v>
      </c>
      <c r="F10" s="35">
        <f t="shared" si="1"/>
        <v>0.20893525949705724</v>
      </c>
      <c r="G10" s="33">
        <v>26171</v>
      </c>
      <c r="H10" s="33">
        <v>6911</v>
      </c>
      <c r="I10" s="33">
        <f t="shared" si="5"/>
        <v>33082</v>
      </c>
      <c r="J10" s="40">
        <f t="shared" si="2"/>
        <v>0.79109485520827039</v>
      </c>
      <c r="K10" s="36">
        <f t="shared" si="3"/>
        <v>0.20890514479172964</v>
      </c>
      <c r="L10" s="31">
        <f t="shared" si="6"/>
        <v>5472</v>
      </c>
      <c r="M10" s="31">
        <f t="shared" si="7"/>
        <v>1444</v>
      </c>
      <c r="N10" s="36">
        <f t="shared" si="8"/>
        <v>0.26436059713029614</v>
      </c>
      <c r="O10" s="36">
        <f>(H10-C10)/C10</f>
        <v>0.26413023596122187</v>
      </c>
      <c r="P10" s="4">
        <f t="shared" si="10"/>
        <v>3.0114705327655145E-5</v>
      </c>
      <c r="Q10" s="4">
        <f t="shared" si="11"/>
        <v>-3.0114705327599633E-5</v>
      </c>
      <c r="R10" s="36">
        <f t="shared" si="12"/>
        <v>0.26431246655965757</v>
      </c>
      <c r="S10" s="31">
        <v>28190</v>
      </c>
      <c r="T10" s="31">
        <f t="shared" si="13"/>
        <v>-2019</v>
      </c>
    </row>
    <row r="11" spans="1:20" x14ac:dyDescent="0.2">
      <c r="A11" s="6" t="s">
        <v>14</v>
      </c>
      <c r="B11" s="34">
        <v>22268</v>
      </c>
      <c r="C11" s="34">
        <v>24601</v>
      </c>
      <c r="D11" s="34">
        <f t="shared" si="4"/>
        <v>46869</v>
      </c>
      <c r="E11" s="39">
        <f t="shared" si="0"/>
        <v>0.47511148093622652</v>
      </c>
      <c r="F11" s="35">
        <f t="shared" si="1"/>
        <v>0.52488851906377354</v>
      </c>
      <c r="G11" s="33">
        <v>30294</v>
      </c>
      <c r="H11" s="33">
        <v>30274</v>
      </c>
      <c r="I11" s="33">
        <f t="shared" si="5"/>
        <v>60568</v>
      </c>
      <c r="J11" s="40">
        <f t="shared" si="2"/>
        <v>0.50016510368511424</v>
      </c>
      <c r="K11" s="36">
        <f t="shared" si="3"/>
        <v>0.49983489631488576</v>
      </c>
      <c r="L11" s="31">
        <f t="shared" si="6"/>
        <v>8026</v>
      </c>
      <c r="M11" s="31">
        <f t="shared" si="7"/>
        <v>5673</v>
      </c>
      <c r="N11" s="36">
        <f t="shared" si="8"/>
        <v>0.36042751931022093</v>
      </c>
      <c r="O11" s="36">
        <f t="shared" si="9"/>
        <v>0.23060038209828868</v>
      </c>
      <c r="P11" s="4">
        <f t="shared" si="10"/>
        <v>2.5053622748887727E-2</v>
      </c>
      <c r="Q11" s="4">
        <f t="shared" si="11"/>
        <v>-2.5053622748887783E-2</v>
      </c>
      <c r="R11" s="36">
        <f t="shared" si="12"/>
        <v>0.29228274552476052</v>
      </c>
      <c r="S11" s="31">
        <v>24871</v>
      </c>
      <c r="T11" s="31">
        <f t="shared" si="13"/>
        <v>5423</v>
      </c>
    </row>
    <row r="12" spans="1:20" x14ac:dyDescent="0.2">
      <c r="A12" s="6" t="s">
        <v>15</v>
      </c>
      <c r="B12" s="34">
        <v>7276</v>
      </c>
      <c r="C12" s="34">
        <v>3252</v>
      </c>
      <c r="D12" s="34">
        <f t="shared" si="4"/>
        <v>10528</v>
      </c>
      <c r="E12" s="39">
        <f t="shared" si="0"/>
        <v>0.69110942249240126</v>
      </c>
      <c r="F12" s="35">
        <f t="shared" si="1"/>
        <v>0.3088905775075988</v>
      </c>
      <c r="G12" s="33">
        <v>8721</v>
      </c>
      <c r="H12" s="33">
        <v>2844</v>
      </c>
      <c r="I12" s="33">
        <f t="shared" si="5"/>
        <v>11565</v>
      </c>
      <c r="J12" s="40">
        <f t="shared" si="2"/>
        <v>0.75408560311284045</v>
      </c>
      <c r="K12" s="36">
        <f t="shared" si="3"/>
        <v>0.24591439688715952</v>
      </c>
      <c r="L12" s="31">
        <f t="shared" si="6"/>
        <v>1445</v>
      </c>
      <c r="M12" s="31">
        <f t="shared" si="7"/>
        <v>-408</v>
      </c>
      <c r="N12" s="36">
        <f t="shared" si="8"/>
        <v>0.19859813084112149</v>
      </c>
      <c r="O12" s="36">
        <f t="shared" si="9"/>
        <v>-0.12546125461254612</v>
      </c>
      <c r="P12" s="4">
        <f t="shared" si="10"/>
        <v>6.2976180620439193E-2</v>
      </c>
      <c r="Q12" s="4">
        <f t="shared" si="11"/>
        <v>-6.2976180620439276E-2</v>
      </c>
      <c r="R12" s="36">
        <f t="shared" si="12"/>
        <v>9.8499240121580553E-2</v>
      </c>
      <c r="S12" s="31">
        <v>8182</v>
      </c>
      <c r="T12" s="31">
        <f t="shared" si="13"/>
        <v>539</v>
      </c>
    </row>
    <row r="13" spans="1:20" x14ac:dyDescent="0.2">
      <c r="A13" s="6" t="s">
        <v>16</v>
      </c>
      <c r="B13" s="34">
        <v>50715</v>
      </c>
      <c r="C13" s="34">
        <v>27682</v>
      </c>
      <c r="D13" s="34">
        <f t="shared" si="4"/>
        <v>78397</v>
      </c>
      <c r="E13" s="39">
        <f t="shared" si="0"/>
        <v>0.6468997538171104</v>
      </c>
      <c r="F13" s="35">
        <f t="shared" si="1"/>
        <v>0.35310024618288965</v>
      </c>
      <c r="G13" s="33">
        <v>68554</v>
      </c>
      <c r="H13" s="33">
        <v>30060</v>
      </c>
      <c r="I13" s="33">
        <f t="shared" si="5"/>
        <v>98614</v>
      </c>
      <c r="J13" s="40">
        <f t="shared" si="2"/>
        <v>0.69517512726387731</v>
      </c>
      <c r="K13" s="36">
        <f t="shared" si="3"/>
        <v>0.30482487273612269</v>
      </c>
      <c r="L13" s="31">
        <f t="shared" si="6"/>
        <v>17839</v>
      </c>
      <c r="M13" s="31">
        <f t="shared" si="7"/>
        <v>2378</v>
      </c>
      <c r="N13" s="36">
        <f t="shared" si="8"/>
        <v>0.35174997535245983</v>
      </c>
      <c r="O13" s="36">
        <f t="shared" si="9"/>
        <v>8.59041976735785E-2</v>
      </c>
      <c r="P13" s="4">
        <f t="shared" si="10"/>
        <v>4.8275373446766912E-2</v>
      </c>
      <c r="Q13" s="4">
        <f t="shared" si="11"/>
        <v>-4.8275373446766967E-2</v>
      </c>
      <c r="R13" s="36">
        <f t="shared" si="12"/>
        <v>0.2578797658073651</v>
      </c>
      <c r="S13" s="31">
        <v>67012</v>
      </c>
      <c r="T13" s="31">
        <f t="shared" si="13"/>
        <v>1542</v>
      </c>
    </row>
    <row r="14" spans="1:20" x14ac:dyDescent="0.2">
      <c r="A14" s="6" t="s">
        <v>17</v>
      </c>
      <c r="B14" s="34">
        <v>7319</v>
      </c>
      <c r="C14" s="34">
        <v>1634</v>
      </c>
      <c r="D14" s="34">
        <f t="shared" si="4"/>
        <v>8953</v>
      </c>
      <c r="E14" s="39">
        <f t="shared" si="0"/>
        <v>0.81749134368368148</v>
      </c>
      <c r="F14" s="35">
        <f t="shared" si="1"/>
        <v>0.18250865631631855</v>
      </c>
      <c r="G14" s="33">
        <v>8947</v>
      </c>
      <c r="H14" s="33">
        <v>1223</v>
      </c>
      <c r="I14" s="33">
        <f t="shared" si="5"/>
        <v>10170</v>
      </c>
      <c r="J14" s="40">
        <f t="shared" si="2"/>
        <v>0.87974434611602759</v>
      </c>
      <c r="K14" s="36">
        <f t="shared" si="3"/>
        <v>0.12025565388397247</v>
      </c>
      <c r="L14" s="31">
        <f t="shared" si="6"/>
        <v>1628</v>
      </c>
      <c r="M14" s="31">
        <f t="shared" si="7"/>
        <v>-411</v>
      </c>
      <c r="N14" s="36">
        <f t="shared" si="8"/>
        <v>0.222434758846837</v>
      </c>
      <c r="O14" s="36">
        <f t="shared" si="9"/>
        <v>-0.25152998776009794</v>
      </c>
      <c r="P14" s="4">
        <f t="shared" si="10"/>
        <v>6.2253002432346105E-2</v>
      </c>
      <c r="Q14" s="4">
        <f t="shared" si="11"/>
        <v>-6.2253002432346077E-2</v>
      </c>
      <c r="R14" s="36">
        <f t="shared" si="12"/>
        <v>0.1359320898023009</v>
      </c>
      <c r="S14" s="31">
        <v>12744</v>
      </c>
      <c r="T14" s="31">
        <f t="shared" si="13"/>
        <v>-3797</v>
      </c>
    </row>
    <row r="15" spans="1:20" x14ac:dyDescent="0.2">
      <c r="A15" s="6" t="s">
        <v>18</v>
      </c>
      <c r="B15" s="34">
        <v>69986</v>
      </c>
      <c r="C15" s="34">
        <v>19814</v>
      </c>
      <c r="D15" s="34">
        <f t="shared" si="4"/>
        <v>89800</v>
      </c>
      <c r="E15" s="39">
        <f t="shared" si="0"/>
        <v>0.77935412026726059</v>
      </c>
      <c r="F15" s="35">
        <f t="shared" si="1"/>
        <v>0.22064587973273941</v>
      </c>
      <c r="G15" s="33">
        <v>82460</v>
      </c>
      <c r="H15" s="33">
        <v>22560</v>
      </c>
      <c r="I15" s="33">
        <f t="shared" si="5"/>
        <v>105020</v>
      </c>
      <c r="J15" s="40">
        <f t="shared" si="2"/>
        <v>0.78518377451913923</v>
      </c>
      <c r="K15" s="36">
        <f t="shared" si="3"/>
        <v>0.2148162254808608</v>
      </c>
      <c r="L15" s="31">
        <f t="shared" si="6"/>
        <v>12474</v>
      </c>
      <c r="M15" s="31">
        <f t="shared" si="7"/>
        <v>2746</v>
      </c>
      <c r="N15" s="36">
        <f t="shared" si="8"/>
        <v>0.17823564712942588</v>
      </c>
      <c r="O15" s="36">
        <f t="shared" si="9"/>
        <v>0.13858887655193297</v>
      </c>
      <c r="P15" s="4">
        <f t="shared" si="10"/>
        <v>5.8296542518786465E-3</v>
      </c>
      <c r="Q15" s="4">
        <f t="shared" si="11"/>
        <v>-5.8296542518786187E-3</v>
      </c>
      <c r="R15" s="36">
        <f t="shared" si="12"/>
        <v>0.16948775055679288</v>
      </c>
      <c r="S15" s="31">
        <v>77772</v>
      </c>
      <c r="T15" s="31">
        <f t="shared" si="13"/>
        <v>4688</v>
      </c>
    </row>
    <row r="16" spans="1:20" x14ac:dyDescent="0.2">
      <c r="A16" s="6" t="s">
        <v>19</v>
      </c>
      <c r="B16" s="34">
        <v>54353</v>
      </c>
      <c r="C16" s="34">
        <v>49227</v>
      </c>
      <c r="D16" s="34">
        <f t="shared" si="4"/>
        <v>103580</v>
      </c>
      <c r="E16" s="39">
        <f t="shared" si="0"/>
        <v>0.52474415910407413</v>
      </c>
      <c r="F16" s="35">
        <f t="shared" si="1"/>
        <v>0.47525584089592587</v>
      </c>
      <c r="G16" s="33">
        <v>76910</v>
      </c>
      <c r="H16" s="33">
        <v>56734</v>
      </c>
      <c r="I16" s="33">
        <f t="shared" si="5"/>
        <v>133644</v>
      </c>
      <c r="J16" s="40">
        <f t="shared" si="2"/>
        <v>0.57548412199574994</v>
      </c>
      <c r="K16" s="36">
        <f t="shared" si="3"/>
        <v>0.42451587800425011</v>
      </c>
      <c r="L16" s="31">
        <f t="shared" si="6"/>
        <v>22557</v>
      </c>
      <c r="M16" s="31">
        <f t="shared" si="7"/>
        <v>7507</v>
      </c>
      <c r="N16" s="36">
        <f t="shared" si="8"/>
        <v>0.41500929111548579</v>
      </c>
      <c r="O16" s="36">
        <f t="shared" si="9"/>
        <v>0.15249761309850285</v>
      </c>
      <c r="P16" s="4">
        <f t="shared" si="10"/>
        <v>5.0739962891675816E-2</v>
      </c>
      <c r="Q16" s="4">
        <f t="shared" si="11"/>
        <v>-5.0739962891675761E-2</v>
      </c>
      <c r="R16" s="36">
        <f t="shared" si="12"/>
        <v>0.29024908283452405</v>
      </c>
      <c r="S16" s="31">
        <v>55158</v>
      </c>
      <c r="T16" s="31">
        <f t="shared" si="13"/>
        <v>21752</v>
      </c>
    </row>
    <row r="17" spans="1:20" x14ac:dyDescent="0.2">
      <c r="A17" s="6" t="s">
        <v>20</v>
      </c>
      <c r="B17" s="34">
        <v>5009</v>
      </c>
      <c r="C17" s="34">
        <v>2603</v>
      </c>
      <c r="D17" s="34">
        <f t="shared" si="4"/>
        <v>7612</v>
      </c>
      <c r="E17" s="39">
        <f t="shared" si="0"/>
        <v>0.65803993694167107</v>
      </c>
      <c r="F17" s="35">
        <f t="shared" si="1"/>
        <v>0.34196006305832893</v>
      </c>
      <c r="G17" s="33">
        <v>6064</v>
      </c>
      <c r="H17" s="33">
        <v>2059</v>
      </c>
      <c r="I17" s="33">
        <f t="shared" si="5"/>
        <v>8123</v>
      </c>
      <c r="J17" s="40">
        <f t="shared" si="2"/>
        <v>0.74652222085436415</v>
      </c>
      <c r="K17" s="36">
        <f t="shared" si="3"/>
        <v>0.25347777914563585</v>
      </c>
      <c r="L17" s="31">
        <f t="shared" si="6"/>
        <v>1055</v>
      </c>
      <c r="M17" s="31">
        <f t="shared" si="7"/>
        <v>-544</v>
      </c>
      <c r="N17" s="36">
        <f t="shared" si="8"/>
        <v>0.21062088241165902</v>
      </c>
      <c r="O17" s="36">
        <f t="shared" si="9"/>
        <v>-0.20898962735305418</v>
      </c>
      <c r="P17" s="4">
        <f t="shared" si="10"/>
        <v>8.8482283912693083E-2</v>
      </c>
      <c r="Q17" s="4">
        <f t="shared" si="11"/>
        <v>-8.8482283912693083E-2</v>
      </c>
      <c r="R17" s="36">
        <f t="shared" si="12"/>
        <v>6.7130846032580141E-2</v>
      </c>
      <c r="S17" s="31">
        <v>4786</v>
      </c>
      <c r="T17" s="31">
        <f t="shared" si="13"/>
        <v>1278</v>
      </c>
    </row>
    <row r="18" spans="1:20" s="49" customFormat="1" x14ac:dyDescent="0.2">
      <c r="A18" s="42" t="s">
        <v>21</v>
      </c>
      <c r="B18" s="43">
        <v>97312</v>
      </c>
      <c r="C18" s="43">
        <v>163694</v>
      </c>
      <c r="D18" s="43">
        <f t="shared" si="4"/>
        <v>261006</v>
      </c>
      <c r="E18" s="44">
        <f t="shared" si="0"/>
        <v>0.37283434097300444</v>
      </c>
      <c r="F18" s="44">
        <f t="shared" si="1"/>
        <v>0.6271656590269955</v>
      </c>
      <c r="G18" s="45">
        <v>158573</v>
      </c>
      <c r="H18" s="45">
        <v>193887</v>
      </c>
      <c r="I18" s="45">
        <f t="shared" si="5"/>
        <v>352460</v>
      </c>
      <c r="J18" s="46">
        <f t="shared" si="2"/>
        <v>0.44990353515292514</v>
      </c>
      <c r="K18" s="46">
        <f t="shared" si="3"/>
        <v>0.55009646484707486</v>
      </c>
      <c r="L18" s="47">
        <f t="shared" si="6"/>
        <v>61261</v>
      </c>
      <c r="M18" s="47">
        <f t="shared" si="7"/>
        <v>30193</v>
      </c>
      <c r="N18" s="46">
        <f t="shared" si="8"/>
        <v>0.62953181519237089</v>
      </c>
      <c r="O18" s="46">
        <f t="shared" si="9"/>
        <v>0.18444781115984704</v>
      </c>
      <c r="P18" s="48">
        <f t="shared" si="10"/>
        <v>7.7069194179920697E-2</v>
      </c>
      <c r="Q18" s="48">
        <f t="shared" si="11"/>
        <v>-7.7069194179920641E-2</v>
      </c>
      <c r="R18" s="36">
        <f t="shared" si="12"/>
        <v>0.35039041248093916</v>
      </c>
      <c r="S18" s="47">
        <v>112995</v>
      </c>
      <c r="T18" s="47">
        <f t="shared" si="13"/>
        <v>45578</v>
      </c>
    </row>
    <row r="19" spans="1:20" s="49" customFormat="1" x14ac:dyDescent="0.2">
      <c r="A19" s="42" t="s">
        <v>22</v>
      </c>
      <c r="B19" s="43">
        <v>32619</v>
      </c>
      <c r="C19" s="43">
        <v>184950</v>
      </c>
      <c r="D19" s="43">
        <f t="shared" si="4"/>
        <v>217569</v>
      </c>
      <c r="E19" s="44">
        <f t="shared" si="0"/>
        <v>0.14992485142644402</v>
      </c>
      <c r="F19" s="44">
        <f t="shared" si="1"/>
        <v>0.85007514857355593</v>
      </c>
      <c r="G19" s="45">
        <v>83595</v>
      </c>
      <c r="H19" s="45">
        <v>209485</v>
      </c>
      <c r="I19" s="45">
        <f t="shared" si="5"/>
        <v>293080</v>
      </c>
      <c r="J19" s="46">
        <f t="shared" si="2"/>
        <v>0.2852292889313498</v>
      </c>
      <c r="K19" s="46">
        <f t="shared" si="3"/>
        <v>0.7147707110686502</v>
      </c>
      <c r="L19" s="47">
        <f t="shared" si="6"/>
        <v>50976</v>
      </c>
      <c r="M19" s="47">
        <f t="shared" si="7"/>
        <v>24535</v>
      </c>
      <c r="N19" s="46">
        <f t="shared" si="8"/>
        <v>1.5627701646279775</v>
      </c>
      <c r="O19" s="46">
        <f t="shared" si="9"/>
        <v>0.1326574749932414</v>
      </c>
      <c r="P19" s="48">
        <f t="shared" si="10"/>
        <v>0.13530443750490578</v>
      </c>
      <c r="Q19" s="48">
        <f t="shared" si="11"/>
        <v>-0.13530443750490573</v>
      </c>
      <c r="R19" s="36">
        <f t="shared" si="12"/>
        <v>0.34706690750980151</v>
      </c>
      <c r="S19" s="47">
        <v>40500</v>
      </c>
      <c r="T19" s="47">
        <f t="shared" si="13"/>
        <v>43095</v>
      </c>
    </row>
    <row r="20" spans="1:20" x14ac:dyDescent="0.2">
      <c r="A20" s="6" t="s">
        <v>23</v>
      </c>
      <c r="B20" s="34">
        <v>15436</v>
      </c>
      <c r="C20" s="34">
        <v>3757</v>
      </c>
      <c r="D20" s="34">
        <f t="shared" si="4"/>
        <v>19193</v>
      </c>
      <c r="E20" s="39">
        <f t="shared" si="0"/>
        <v>0.80425155004428694</v>
      </c>
      <c r="F20" s="35">
        <f t="shared" si="1"/>
        <v>0.19574844995571303</v>
      </c>
      <c r="G20" s="33">
        <v>18718</v>
      </c>
      <c r="H20" s="33">
        <v>3019</v>
      </c>
      <c r="I20" s="33">
        <f t="shared" si="5"/>
        <v>21737</v>
      </c>
      <c r="J20" s="40">
        <f t="shared" si="2"/>
        <v>0.86111238901412335</v>
      </c>
      <c r="K20" s="36">
        <f t="shared" si="3"/>
        <v>0.13888761098587663</v>
      </c>
      <c r="L20" s="31">
        <f t="shared" si="6"/>
        <v>3282</v>
      </c>
      <c r="M20" s="31">
        <f t="shared" si="7"/>
        <v>-738</v>
      </c>
      <c r="N20" s="36">
        <f t="shared" si="8"/>
        <v>0.21261984970199532</v>
      </c>
      <c r="O20" s="36">
        <f t="shared" si="9"/>
        <v>-0.19643332446100611</v>
      </c>
      <c r="P20" s="4">
        <f t="shared" si="10"/>
        <v>5.6860838969836403E-2</v>
      </c>
      <c r="Q20" s="4">
        <f t="shared" si="11"/>
        <v>-5.6860838969836403E-2</v>
      </c>
      <c r="R20" s="36">
        <f t="shared" si="12"/>
        <v>0.13254832491012347</v>
      </c>
      <c r="S20" s="31">
        <v>17896</v>
      </c>
      <c r="T20" s="31">
        <f t="shared" si="13"/>
        <v>822</v>
      </c>
    </row>
    <row r="21" spans="1:20" x14ac:dyDescent="0.2">
      <c r="A21" s="6" t="s">
        <v>24</v>
      </c>
      <c r="B21" s="34">
        <v>23675</v>
      </c>
      <c r="C21" s="34">
        <v>8203</v>
      </c>
      <c r="D21" s="34">
        <f t="shared" si="4"/>
        <v>31878</v>
      </c>
      <c r="E21" s="39">
        <f t="shared" si="0"/>
        <v>0.74267519919693836</v>
      </c>
      <c r="F21" s="35">
        <f t="shared" si="1"/>
        <v>0.25732480080306169</v>
      </c>
      <c r="G21" s="33">
        <v>29187</v>
      </c>
      <c r="H21" s="33">
        <v>8253</v>
      </c>
      <c r="I21" s="33">
        <f t="shared" si="5"/>
        <v>37440</v>
      </c>
      <c r="J21" s="40">
        <f t="shared" si="2"/>
        <v>0.77956730769230764</v>
      </c>
      <c r="K21" s="36">
        <f t="shared" si="3"/>
        <v>0.2204326923076923</v>
      </c>
      <c r="L21" s="31">
        <f t="shared" si="6"/>
        <v>5512</v>
      </c>
      <c r="M21" s="31">
        <f t="shared" si="7"/>
        <v>50</v>
      </c>
      <c r="N21" s="36">
        <f t="shared" si="8"/>
        <v>0.2328194297782471</v>
      </c>
      <c r="O21" s="36">
        <f t="shared" si="9"/>
        <v>6.0953309764720225E-3</v>
      </c>
      <c r="P21" s="4">
        <f t="shared" si="10"/>
        <v>3.689210849536928E-2</v>
      </c>
      <c r="Q21" s="4">
        <f t="shared" si="11"/>
        <v>-3.6892108495369391E-2</v>
      </c>
      <c r="R21" s="36">
        <f t="shared" si="12"/>
        <v>0.17447769621682666</v>
      </c>
      <c r="S21" s="31">
        <v>29453</v>
      </c>
      <c r="T21" s="31">
        <f t="shared" si="13"/>
        <v>-266</v>
      </c>
    </row>
    <row r="22" spans="1:20" x14ac:dyDescent="0.2">
      <c r="A22" s="6" t="s">
        <v>25</v>
      </c>
      <c r="B22" s="34">
        <v>4488</v>
      </c>
      <c r="C22" s="34">
        <v>2135</v>
      </c>
      <c r="D22" s="34">
        <f t="shared" si="4"/>
        <v>6623</v>
      </c>
      <c r="E22" s="39">
        <f t="shared" si="0"/>
        <v>0.67763853238713578</v>
      </c>
      <c r="F22" s="35">
        <f t="shared" si="1"/>
        <v>0.32236146761286427</v>
      </c>
      <c r="G22" s="33">
        <v>4923</v>
      </c>
      <c r="H22" s="33">
        <v>1984</v>
      </c>
      <c r="I22" s="33">
        <f t="shared" si="5"/>
        <v>6907</v>
      </c>
      <c r="J22" s="40">
        <f t="shared" si="2"/>
        <v>0.71275517590849857</v>
      </c>
      <c r="K22" s="36">
        <f t="shared" si="3"/>
        <v>0.28724482409150137</v>
      </c>
      <c r="L22" s="31">
        <f t="shared" si="6"/>
        <v>435</v>
      </c>
      <c r="M22" s="31">
        <f t="shared" si="7"/>
        <v>-151</v>
      </c>
      <c r="N22" s="36">
        <f t="shared" si="8"/>
        <v>9.6925133689839571E-2</v>
      </c>
      <c r="O22" s="36">
        <f t="shared" si="9"/>
        <v>-7.0725995316159251E-2</v>
      </c>
      <c r="P22" s="4">
        <f t="shared" si="10"/>
        <v>3.5116643521362789E-2</v>
      </c>
      <c r="Q22" s="4">
        <f t="shared" si="11"/>
        <v>-3.51166435213629E-2</v>
      </c>
      <c r="R22" s="36">
        <f t="shared" si="12"/>
        <v>4.2880869696512156E-2</v>
      </c>
      <c r="S22" s="31">
        <v>5301</v>
      </c>
      <c r="T22" s="31">
        <f t="shared" si="13"/>
        <v>-378</v>
      </c>
    </row>
    <row r="23" spans="1:20" x14ac:dyDescent="0.2">
      <c r="A23" s="6" t="s">
        <v>26</v>
      </c>
      <c r="B23" s="34">
        <v>10616</v>
      </c>
      <c r="C23" s="34">
        <v>4420</v>
      </c>
      <c r="D23" s="34">
        <f t="shared" si="4"/>
        <v>15036</v>
      </c>
      <c r="E23" s="39">
        <f t="shared" si="0"/>
        <v>0.70603884011705242</v>
      </c>
      <c r="F23" s="35">
        <f t="shared" si="1"/>
        <v>0.29396115988294758</v>
      </c>
      <c r="G23" s="33">
        <v>13356</v>
      </c>
      <c r="H23" s="33">
        <v>3637</v>
      </c>
      <c r="I23" s="33">
        <f t="shared" si="5"/>
        <v>16993</v>
      </c>
      <c r="J23" s="40">
        <f t="shared" si="2"/>
        <v>0.78597069381510032</v>
      </c>
      <c r="K23" s="36">
        <f t="shared" si="3"/>
        <v>0.21402930618489965</v>
      </c>
      <c r="L23" s="31">
        <f t="shared" si="6"/>
        <v>2740</v>
      </c>
      <c r="M23" s="31">
        <f t="shared" si="7"/>
        <v>-783</v>
      </c>
      <c r="N23" s="36">
        <f t="shared" si="8"/>
        <v>0.25810097965335344</v>
      </c>
      <c r="O23" s="36">
        <f t="shared" si="9"/>
        <v>-0.17714932126696833</v>
      </c>
      <c r="P23" s="4">
        <f t="shared" si="10"/>
        <v>7.9931853698047894E-2</v>
      </c>
      <c r="Q23" s="4">
        <f t="shared" si="11"/>
        <v>-7.9931853698047922E-2</v>
      </c>
      <c r="R23" s="36">
        <f t="shared" si="12"/>
        <v>0.13015429635541367</v>
      </c>
      <c r="S23" s="31">
        <v>11535</v>
      </c>
      <c r="T23" s="31">
        <f t="shared" si="13"/>
        <v>1821</v>
      </c>
    </row>
    <row r="24" spans="1:20" x14ac:dyDescent="0.2">
      <c r="A24" s="6" t="s">
        <v>27</v>
      </c>
      <c r="B24" s="34">
        <v>28469</v>
      </c>
      <c r="C24" s="34">
        <v>9661</v>
      </c>
      <c r="D24" s="34">
        <f t="shared" si="4"/>
        <v>38130</v>
      </c>
      <c r="E24" s="39">
        <f t="shared" si="0"/>
        <v>0.7466299501704694</v>
      </c>
      <c r="F24" s="35">
        <f t="shared" si="1"/>
        <v>0.25337004982953054</v>
      </c>
      <c r="G24" s="33">
        <v>36614</v>
      </c>
      <c r="H24" s="33">
        <v>9611</v>
      </c>
      <c r="I24" s="33">
        <f t="shared" si="5"/>
        <v>46225</v>
      </c>
      <c r="J24" s="40">
        <f t="shared" si="2"/>
        <v>0.7920822065981612</v>
      </c>
      <c r="K24" s="36">
        <f t="shared" si="3"/>
        <v>0.20791779340183883</v>
      </c>
      <c r="L24" s="31">
        <f t="shared" si="6"/>
        <v>8145</v>
      </c>
      <c r="M24" s="31">
        <f t="shared" si="7"/>
        <v>-50</v>
      </c>
      <c r="N24" s="36">
        <f t="shared" si="8"/>
        <v>0.28610067090519514</v>
      </c>
      <c r="O24" s="36">
        <f t="shared" si="9"/>
        <v>-5.1754476762239932E-3</v>
      </c>
      <c r="P24" s="4">
        <f t="shared" si="10"/>
        <v>4.5452256427691795E-2</v>
      </c>
      <c r="Q24" s="4">
        <f t="shared" si="11"/>
        <v>-4.5452256427691712E-2</v>
      </c>
      <c r="R24" s="36">
        <f t="shared" si="12"/>
        <v>0.21230002622606872</v>
      </c>
      <c r="S24" s="31">
        <v>42395</v>
      </c>
      <c r="T24" s="31">
        <f t="shared" si="13"/>
        <v>-5781</v>
      </c>
    </row>
    <row r="25" spans="1:20" x14ac:dyDescent="0.2">
      <c r="A25" s="6" t="s">
        <v>28</v>
      </c>
      <c r="B25" s="34">
        <v>16669</v>
      </c>
      <c r="C25" s="34">
        <v>8833</v>
      </c>
      <c r="D25" s="34">
        <f t="shared" si="4"/>
        <v>25502</v>
      </c>
      <c r="E25" s="39">
        <f t="shared" si="0"/>
        <v>0.65363500901890048</v>
      </c>
      <c r="F25" s="35">
        <f t="shared" si="1"/>
        <v>0.34636499098109952</v>
      </c>
      <c r="G25" s="33">
        <v>21426</v>
      </c>
      <c r="H25" s="33">
        <v>9576</v>
      </c>
      <c r="I25" s="33">
        <f t="shared" si="5"/>
        <v>31002</v>
      </c>
      <c r="J25" s="40">
        <f t="shared" si="2"/>
        <v>0.6911167021482485</v>
      </c>
      <c r="K25" s="36">
        <f t="shared" si="3"/>
        <v>0.3088832978517515</v>
      </c>
      <c r="L25" s="31">
        <f t="shared" si="6"/>
        <v>4757</v>
      </c>
      <c r="M25" s="31">
        <f t="shared" si="7"/>
        <v>743</v>
      </c>
      <c r="N25" s="36">
        <f t="shared" si="8"/>
        <v>0.28538004679344892</v>
      </c>
      <c r="O25" s="36">
        <f t="shared" si="9"/>
        <v>8.4116381750254723E-2</v>
      </c>
      <c r="P25" s="4">
        <f t="shared" si="10"/>
        <v>3.7481693129348015E-2</v>
      </c>
      <c r="Q25" s="4">
        <f t="shared" si="11"/>
        <v>-3.7481693129348015E-2</v>
      </c>
      <c r="R25" s="36">
        <f t="shared" si="12"/>
        <v>0.21566935926593991</v>
      </c>
      <c r="S25" s="31">
        <v>22811</v>
      </c>
      <c r="T25" s="31">
        <f t="shared" si="13"/>
        <v>-1385</v>
      </c>
    </row>
    <row r="26" spans="1:20" x14ac:dyDescent="0.2">
      <c r="A26" s="6" t="s">
        <v>29</v>
      </c>
      <c r="B26" s="34">
        <v>13271</v>
      </c>
      <c r="C26" s="34">
        <v>5521</v>
      </c>
      <c r="D26" s="34">
        <f t="shared" si="4"/>
        <v>18792</v>
      </c>
      <c r="E26" s="39">
        <f t="shared" si="0"/>
        <v>0.70620476798637721</v>
      </c>
      <c r="F26" s="35">
        <f t="shared" si="1"/>
        <v>0.29379523201362284</v>
      </c>
      <c r="G26" s="33">
        <v>16925</v>
      </c>
      <c r="H26" s="33">
        <v>5049</v>
      </c>
      <c r="I26" s="33">
        <f t="shared" si="5"/>
        <v>21974</v>
      </c>
      <c r="J26" s="40">
        <f t="shared" si="2"/>
        <v>0.77022845180668065</v>
      </c>
      <c r="K26" s="36">
        <f t="shared" si="3"/>
        <v>0.22977154819331938</v>
      </c>
      <c r="L26" s="31">
        <f t="shared" si="6"/>
        <v>3654</v>
      </c>
      <c r="M26" s="31">
        <f t="shared" si="7"/>
        <v>-472</v>
      </c>
      <c r="N26" s="36">
        <f t="shared" si="8"/>
        <v>0.27533720141662271</v>
      </c>
      <c r="O26" s="36">
        <f t="shared" si="9"/>
        <v>-8.5491758739358811E-2</v>
      </c>
      <c r="P26" s="4">
        <f t="shared" si="10"/>
        <v>6.4023683820303434E-2</v>
      </c>
      <c r="Q26" s="4">
        <f t="shared" si="11"/>
        <v>-6.4023683820303462E-2</v>
      </c>
      <c r="R26" s="36">
        <f t="shared" si="12"/>
        <v>0.16932737335036185</v>
      </c>
      <c r="S26" s="31">
        <v>17088</v>
      </c>
      <c r="T26" s="31">
        <f t="shared" si="13"/>
        <v>-163</v>
      </c>
    </row>
    <row r="28" spans="1:20" x14ac:dyDescent="0.2">
      <c r="B28" s="31">
        <f>SUM(B3:B26)</f>
        <v>884400</v>
      </c>
      <c r="C28" s="31">
        <f>SUM(C3:C26)</f>
        <v>818890</v>
      </c>
      <c r="D28" s="31"/>
      <c r="G28" s="31">
        <f>SUM(G3:G26)</f>
        <v>1197196</v>
      </c>
      <c r="H28" s="31">
        <f>SUM(H3:H26)</f>
        <v>911544</v>
      </c>
      <c r="I28" s="31"/>
      <c r="M28" s="31">
        <f>COUNTIF(M3:M26, "&lt;0")</f>
        <v>11</v>
      </c>
      <c r="N28" s="31"/>
      <c r="O28" s="31"/>
      <c r="T28" s="31">
        <f>COUNTIF(T3:T26,"&gt;0")</f>
        <v>14</v>
      </c>
    </row>
    <row r="29" spans="1:20" x14ac:dyDescent="0.2">
      <c r="B29" s="36">
        <f>B28/SUM(B28:C28)</f>
        <v>0.51923043051975881</v>
      </c>
      <c r="C29" s="36">
        <f>C28/SUM(B28:C28)</f>
        <v>0.48076956948024119</v>
      </c>
      <c r="D29" s="36"/>
      <c r="G29" s="36">
        <f>G28/SUM(G28:H28)</f>
        <v>0.56773049309066081</v>
      </c>
      <c r="H29" s="36">
        <f>H28/SUM(G28:H28)</f>
        <v>0.43226950690933924</v>
      </c>
      <c r="I29" s="36"/>
    </row>
    <row r="30" spans="1:20" x14ac:dyDescent="0.2">
      <c r="B30" t="s">
        <v>55</v>
      </c>
      <c r="G30" t="s">
        <v>55</v>
      </c>
    </row>
    <row r="32" spans="1:20" x14ac:dyDescent="0.2">
      <c r="B32" s="12" t="s">
        <v>41</v>
      </c>
    </row>
    <row r="34" spans="1:7" x14ac:dyDescent="0.2">
      <c r="A34" t="s">
        <v>84</v>
      </c>
      <c r="B34">
        <v>1733177</v>
      </c>
    </row>
    <row r="35" spans="1:7" x14ac:dyDescent="0.2">
      <c r="A35" t="s">
        <v>83</v>
      </c>
      <c r="B35" s="31">
        <v>2134487</v>
      </c>
      <c r="G35" s="31"/>
    </row>
    <row r="36" spans="1:7" x14ac:dyDescent="0.2">
      <c r="A36" t="s">
        <v>85</v>
      </c>
      <c r="B36" s="31">
        <f>B35-B34</f>
        <v>401310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4B5-6BA3-2B4D-BBCA-0F9BDCDE002A}">
  <dimension ref="A1:L4"/>
  <sheetViews>
    <sheetView workbookViewId="0">
      <selection activeCell="K3" sqref="K3"/>
    </sheetView>
  </sheetViews>
  <sheetFormatPr baseColWidth="10" defaultRowHeight="16" x14ac:dyDescent="0.2"/>
  <cols>
    <col min="2" max="2" width="14.5" style="37" bestFit="1" customWidth="1"/>
    <col min="3" max="3" width="20.5" bestFit="1" customWidth="1"/>
    <col min="4" max="4" width="12.6640625" bestFit="1" customWidth="1"/>
    <col min="5" max="5" width="18.6640625" bestFit="1" customWidth="1"/>
    <col min="6" max="6" width="14.5" style="37" bestFit="1" customWidth="1"/>
    <col min="7" max="7" width="20.5" bestFit="1" customWidth="1"/>
    <col min="8" max="8" width="12.6640625" bestFit="1" customWidth="1"/>
    <col min="9" max="9" width="18.6640625" bestFit="1" customWidth="1"/>
    <col min="11" max="12" width="17.1640625" bestFit="1" customWidth="1"/>
  </cols>
  <sheetData>
    <row r="1" spans="1:12" s="12" customFormat="1" x14ac:dyDescent="0.2">
      <c r="B1" s="38" t="s">
        <v>61</v>
      </c>
      <c r="C1" s="12" t="s">
        <v>62</v>
      </c>
      <c r="D1" s="12" t="s">
        <v>60</v>
      </c>
      <c r="E1" s="12" t="s">
        <v>68</v>
      </c>
      <c r="F1" s="38" t="s">
        <v>63</v>
      </c>
      <c r="G1" s="12" t="s">
        <v>64</v>
      </c>
      <c r="H1" s="12" t="s">
        <v>67</v>
      </c>
      <c r="I1" s="12" t="s">
        <v>69</v>
      </c>
      <c r="J1" s="12" t="s">
        <v>70</v>
      </c>
      <c r="K1" s="12" t="s">
        <v>81</v>
      </c>
      <c r="L1" s="12" t="s">
        <v>82</v>
      </c>
    </row>
    <row r="2" spans="1:12" x14ac:dyDescent="0.2">
      <c r="A2" s="62" t="s">
        <v>65</v>
      </c>
      <c r="B2" s="41">
        <v>136781</v>
      </c>
      <c r="C2" s="34">
        <v>710854</v>
      </c>
      <c r="D2" s="35">
        <f>B2/SUM(B2:C2)</f>
        <v>0.16136780571826317</v>
      </c>
      <c r="E2" s="63">
        <f>SUM(B2:C2)</f>
        <v>847635</v>
      </c>
      <c r="F2" s="41">
        <v>344776</v>
      </c>
      <c r="G2" s="34">
        <v>852420</v>
      </c>
      <c r="H2" s="36">
        <f>F2/SUM(F2:G2)</f>
        <v>0.28798626123040838</v>
      </c>
      <c r="I2" s="31">
        <f>SUM(F2:G2)</f>
        <v>1197196</v>
      </c>
      <c r="J2" s="36">
        <f>F2/(F2+B2)</f>
        <v>0.71596093505026404</v>
      </c>
      <c r="K2" s="36">
        <f>B2/(B$2+B$3)</f>
        <v>0.45442192691029898</v>
      </c>
      <c r="L2" s="36">
        <f>F2/(F$2+F$3)</f>
        <v>0.52962447502388699</v>
      </c>
    </row>
    <row r="3" spans="1:12" x14ac:dyDescent="0.2">
      <c r="A3" s="62" t="s">
        <v>66</v>
      </c>
      <c r="B3" s="41">
        <v>164219</v>
      </c>
      <c r="C3" s="34">
        <v>608476</v>
      </c>
      <c r="D3" s="35">
        <f>B3/SUM(B3:C3)</f>
        <v>0.21252758203430849</v>
      </c>
      <c r="E3" s="63">
        <f>SUM(B3:C3)</f>
        <v>772695</v>
      </c>
      <c r="F3" s="41">
        <v>306206</v>
      </c>
      <c r="G3" s="34">
        <v>605338</v>
      </c>
      <c r="H3" s="36">
        <f>F3/SUM(F3:G3)</f>
        <v>0.33592015305898565</v>
      </c>
      <c r="I3" s="31">
        <f>SUM(F3:G3)</f>
        <v>911544</v>
      </c>
      <c r="J3" s="36">
        <f>F3/(F3+B3)</f>
        <v>0.65091353563267262</v>
      </c>
      <c r="K3" s="36">
        <f>B3/(B$2+B$3)</f>
        <v>0.54557807308970097</v>
      </c>
      <c r="L3" s="36">
        <f t="shared" ref="L3:L4" si="0">F3/(F$2+F$3)</f>
        <v>0.47037552497611301</v>
      </c>
    </row>
    <row r="4" spans="1:12" x14ac:dyDescent="0.2">
      <c r="A4" t="s">
        <v>80</v>
      </c>
      <c r="F4" s="37">
        <f>2638+2976+580</f>
        <v>6194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A74-10FC-4F44-ABFE-FA0DFDB5F6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6B1-A5A7-FC41-8F62-100936BC21AE}">
  <dimension ref="A1:H25"/>
  <sheetViews>
    <sheetView workbookViewId="0">
      <selection activeCell="F24" sqref="F24"/>
    </sheetView>
  </sheetViews>
  <sheetFormatPr baseColWidth="10" defaultRowHeight="16" x14ac:dyDescent="0.2"/>
  <cols>
    <col min="1" max="1" width="14.5" bestFit="1" customWidth="1"/>
    <col min="2" max="2" width="16" bestFit="1" customWidth="1"/>
    <col min="3" max="3" width="17.5" bestFit="1" customWidth="1"/>
    <col min="4" max="4" width="14" bestFit="1" customWidth="1"/>
    <col min="5" max="5" width="16" bestFit="1" customWidth="1"/>
    <col min="6" max="6" width="17.5" bestFit="1" customWidth="1"/>
    <col min="7" max="7" width="14" bestFit="1" customWidth="1"/>
  </cols>
  <sheetData>
    <row r="1" spans="1:8" s="12" customFormat="1" x14ac:dyDescent="0.2">
      <c r="A1" s="12" t="s">
        <v>1</v>
      </c>
      <c r="B1" s="12" t="s">
        <v>71</v>
      </c>
      <c r="C1" s="12" t="s">
        <v>75</v>
      </c>
      <c r="D1" s="12" t="s">
        <v>73</v>
      </c>
      <c r="E1" s="12" t="s">
        <v>72</v>
      </c>
      <c r="F1" s="12" t="s">
        <v>76</v>
      </c>
      <c r="G1" s="12" t="s">
        <v>74</v>
      </c>
      <c r="H1" s="12" t="s">
        <v>77</v>
      </c>
    </row>
    <row r="2" spans="1:8" x14ac:dyDescent="0.2">
      <c r="A2" s="6" t="s">
        <v>6</v>
      </c>
      <c r="B2" s="55">
        <v>15410</v>
      </c>
      <c r="C2">
        <v>20478</v>
      </c>
      <c r="D2" s="36">
        <f>B2/C2</f>
        <v>0.7525148940326204</v>
      </c>
      <c r="E2" s="33">
        <v>18048</v>
      </c>
      <c r="F2">
        <v>21533</v>
      </c>
      <c r="G2" s="36">
        <f>E2/F2</f>
        <v>0.83815538940231271</v>
      </c>
      <c r="H2" s="4">
        <f>G2-D2</f>
        <v>8.5640495369692315E-2</v>
      </c>
    </row>
    <row r="3" spans="1:8" x14ac:dyDescent="0.2">
      <c r="A3" s="6" t="s">
        <v>7</v>
      </c>
      <c r="B3" s="55">
        <v>119195</v>
      </c>
      <c r="C3">
        <v>180338</v>
      </c>
      <c r="D3" s="36">
        <f t="shared" ref="D3:D25" si="0">B3/C3</f>
        <v>0.66095332098614823</v>
      </c>
      <c r="E3" s="57">
        <v>147985</v>
      </c>
      <c r="F3">
        <v>213711</v>
      </c>
      <c r="G3" s="36">
        <f t="shared" ref="G3:G25" si="1">E3/F3</f>
        <v>0.69245382783291454</v>
      </c>
      <c r="H3" s="4">
        <f t="shared" ref="H3:H25" si="2">G3-D3</f>
        <v>3.1500506846766307E-2</v>
      </c>
    </row>
    <row r="4" spans="1:8" x14ac:dyDescent="0.2">
      <c r="A4" s="6" t="s">
        <v>8</v>
      </c>
      <c r="B4" s="55">
        <v>30845</v>
      </c>
      <c r="C4">
        <v>140686</v>
      </c>
      <c r="D4" s="36">
        <f t="shared" si="0"/>
        <v>0.21924711769472441</v>
      </c>
      <c r="E4" s="57">
        <v>54136</v>
      </c>
      <c r="F4">
        <v>169750</v>
      </c>
      <c r="G4" s="36">
        <f t="shared" si="1"/>
        <v>0.31891605301914583</v>
      </c>
      <c r="H4" s="4">
        <f t="shared" si="2"/>
        <v>9.966893532442142E-2</v>
      </c>
    </row>
    <row r="5" spans="1:8" x14ac:dyDescent="0.2">
      <c r="A5" s="6" t="s">
        <v>9</v>
      </c>
      <c r="B5" s="55">
        <v>155936</v>
      </c>
      <c r="C5">
        <v>264143</v>
      </c>
      <c r="D5" s="36">
        <f t="shared" si="0"/>
        <v>0.59034689543164121</v>
      </c>
      <c r="E5" s="57">
        <v>188110</v>
      </c>
      <c r="F5">
        <v>304808</v>
      </c>
      <c r="G5" s="36">
        <f t="shared" si="1"/>
        <v>0.61714259468255428</v>
      </c>
      <c r="H5" s="4">
        <f t="shared" si="2"/>
        <v>2.6795699250913074E-2</v>
      </c>
    </row>
    <row r="6" spans="1:8" x14ac:dyDescent="0.2">
      <c r="A6" s="6" t="s">
        <v>10</v>
      </c>
      <c r="B6" s="55">
        <v>22739</v>
      </c>
      <c r="C6">
        <v>32904</v>
      </c>
      <c r="D6" s="36">
        <f t="shared" si="0"/>
        <v>0.6910709944079747</v>
      </c>
      <c r="E6" s="57">
        <v>28099</v>
      </c>
      <c r="F6">
        <v>36985</v>
      </c>
      <c r="G6" s="36">
        <f t="shared" si="1"/>
        <v>0.75974043531161284</v>
      </c>
      <c r="H6" s="4">
        <f t="shared" si="2"/>
        <v>6.8669440903638135E-2</v>
      </c>
    </row>
    <row r="7" spans="1:8" x14ac:dyDescent="0.2">
      <c r="A7" s="6" t="s">
        <v>11</v>
      </c>
      <c r="B7" s="55">
        <v>7144</v>
      </c>
      <c r="C7">
        <v>9208</v>
      </c>
      <c r="D7" s="36">
        <f t="shared" si="0"/>
        <v>0.77584708948740222</v>
      </c>
      <c r="E7" s="64">
        <v>9166</v>
      </c>
      <c r="F7">
        <v>11071</v>
      </c>
      <c r="G7" s="36">
        <f t="shared" si="1"/>
        <v>0.82792882305121485</v>
      </c>
      <c r="H7" s="4">
        <f t="shared" si="2"/>
        <v>5.2081733563812627E-2</v>
      </c>
    </row>
    <row r="8" spans="1:8" x14ac:dyDescent="0.2">
      <c r="A8" s="6" t="s">
        <v>12</v>
      </c>
      <c r="B8" s="55">
        <v>52951</v>
      </c>
      <c r="C8">
        <v>64419</v>
      </c>
      <c r="D8" s="36">
        <f t="shared" si="0"/>
        <v>0.82197798786072429</v>
      </c>
      <c r="E8" s="57">
        <v>60214</v>
      </c>
      <c r="F8">
        <v>71847</v>
      </c>
      <c r="G8" s="36">
        <f t="shared" si="1"/>
        <v>0.83808648934541452</v>
      </c>
      <c r="H8" s="4">
        <f t="shared" si="2"/>
        <v>1.610850148469023E-2</v>
      </c>
    </row>
    <row r="9" spans="1:8" x14ac:dyDescent="0.2">
      <c r="A9" s="6" t="s">
        <v>13</v>
      </c>
      <c r="B9" s="55">
        <v>20699</v>
      </c>
      <c r="C9">
        <v>26766</v>
      </c>
      <c r="D9" s="36">
        <f t="shared" si="0"/>
        <v>0.77333183890009716</v>
      </c>
      <c r="E9" s="57">
        <v>26171</v>
      </c>
      <c r="F9">
        <v>33575</v>
      </c>
      <c r="G9" s="36">
        <f t="shared" si="1"/>
        <v>0.77947877885331351</v>
      </c>
      <c r="H9" s="4">
        <f t="shared" si="2"/>
        <v>6.1469399532163571E-3</v>
      </c>
    </row>
    <row r="10" spans="1:8" x14ac:dyDescent="0.2">
      <c r="A10" s="6" t="s">
        <v>14</v>
      </c>
      <c r="B10" s="55">
        <v>22268</v>
      </c>
      <c r="C10">
        <v>47469</v>
      </c>
      <c r="D10" s="36">
        <f t="shared" si="0"/>
        <v>0.46910615348964585</v>
      </c>
      <c r="E10" s="57">
        <v>30294</v>
      </c>
      <c r="F10">
        <v>61030</v>
      </c>
      <c r="G10" s="36">
        <f t="shared" si="1"/>
        <v>0.49637883008356548</v>
      </c>
      <c r="H10" s="4">
        <f t="shared" si="2"/>
        <v>2.7272676593919631E-2</v>
      </c>
    </row>
    <row r="11" spans="1:8" x14ac:dyDescent="0.2">
      <c r="A11" s="6" t="s">
        <v>15</v>
      </c>
      <c r="B11" s="55">
        <v>7276</v>
      </c>
      <c r="C11">
        <v>10660</v>
      </c>
      <c r="D11" s="36">
        <f t="shared" si="0"/>
        <v>0.68255159474671667</v>
      </c>
      <c r="E11" s="57">
        <v>8721</v>
      </c>
      <c r="F11">
        <v>11672</v>
      </c>
      <c r="G11" s="36">
        <f t="shared" si="1"/>
        <v>0.74717272104180943</v>
      </c>
      <c r="H11" s="4">
        <f t="shared" si="2"/>
        <v>6.4621126295092757E-2</v>
      </c>
    </row>
    <row r="12" spans="1:8" x14ac:dyDescent="0.2">
      <c r="A12" s="6" t="s">
        <v>16</v>
      </c>
      <c r="B12" s="55">
        <v>50715</v>
      </c>
      <c r="C12">
        <v>80072</v>
      </c>
      <c r="D12" s="36">
        <f t="shared" si="0"/>
        <v>0.63336746927765009</v>
      </c>
      <c r="E12" s="57">
        <v>68554</v>
      </c>
      <c r="F12">
        <v>99807</v>
      </c>
      <c r="G12" s="36">
        <f t="shared" si="1"/>
        <v>0.68686565070586236</v>
      </c>
      <c r="H12" s="4">
        <f t="shared" si="2"/>
        <v>5.3498181428212277E-2</v>
      </c>
    </row>
    <row r="13" spans="1:8" x14ac:dyDescent="0.2">
      <c r="A13" s="6" t="s">
        <v>17</v>
      </c>
      <c r="B13" s="55">
        <v>7319</v>
      </c>
      <c r="C13">
        <v>9182</v>
      </c>
      <c r="D13" s="36">
        <f t="shared" si="0"/>
        <v>0.7971030276628186</v>
      </c>
      <c r="E13" s="57">
        <v>8947</v>
      </c>
      <c r="F13">
        <v>10304</v>
      </c>
      <c r="G13" s="36">
        <f t="shared" si="1"/>
        <v>0.8683035714285714</v>
      </c>
      <c r="H13" s="4">
        <f t="shared" si="2"/>
        <v>7.12005437657528E-2</v>
      </c>
    </row>
    <row r="14" spans="1:8" x14ac:dyDescent="0.2">
      <c r="A14" s="6" t="s">
        <v>18</v>
      </c>
      <c r="B14" s="55">
        <v>69986</v>
      </c>
      <c r="C14">
        <f>19814+69986+1422+3+235</f>
        <v>91460</v>
      </c>
      <c r="D14" s="36">
        <f t="shared" si="0"/>
        <v>0.76520883446315324</v>
      </c>
      <c r="E14" s="57">
        <v>82460</v>
      </c>
      <c r="F14">
        <v>106245</v>
      </c>
      <c r="G14" s="36">
        <f t="shared" si="1"/>
        <v>0.77613064144195021</v>
      </c>
      <c r="H14" s="4">
        <f t="shared" si="2"/>
        <v>1.0921806978796966E-2</v>
      </c>
    </row>
    <row r="15" spans="1:8" x14ac:dyDescent="0.2">
      <c r="A15" s="6" t="s">
        <v>19</v>
      </c>
      <c r="B15" s="55">
        <v>54353</v>
      </c>
      <c r="C15">
        <f>49227+54353+1575+12+2+284</f>
        <v>105453</v>
      </c>
      <c r="D15" s="36">
        <f t="shared" si="0"/>
        <v>0.51542393293694821</v>
      </c>
      <c r="E15" s="57">
        <v>76910</v>
      </c>
      <c r="F15">
        <v>135176</v>
      </c>
      <c r="G15" s="36">
        <f t="shared" si="1"/>
        <v>0.56896194590755755</v>
      </c>
      <c r="H15" s="4">
        <f t="shared" si="2"/>
        <v>5.3538012970609339E-2</v>
      </c>
    </row>
    <row r="16" spans="1:8" x14ac:dyDescent="0.2">
      <c r="A16" s="6" t="s">
        <v>20</v>
      </c>
      <c r="B16" s="55">
        <v>5009</v>
      </c>
      <c r="C16">
        <f>2603+5009+113+1+30</f>
        <v>7756</v>
      </c>
      <c r="D16" s="36">
        <f t="shared" si="0"/>
        <v>0.64582258896338318</v>
      </c>
      <c r="E16" s="57">
        <v>6064</v>
      </c>
      <c r="F16">
        <v>8220</v>
      </c>
      <c r="G16" s="36">
        <f t="shared" si="1"/>
        <v>0.73771289537712892</v>
      </c>
      <c r="H16" s="4">
        <f t="shared" si="2"/>
        <v>9.1890306413745737E-2</v>
      </c>
    </row>
    <row r="17" spans="1:8" x14ac:dyDescent="0.2">
      <c r="A17" s="6" t="s">
        <v>21</v>
      </c>
      <c r="B17" s="55">
        <v>97312</v>
      </c>
      <c r="C17">
        <f>163694+97312+3286+9+518</f>
        <v>264819</v>
      </c>
      <c r="D17" s="36">
        <f t="shared" si="0"/>
        <v>0.36746608060599883</v>
      </c>
      <c r="E17" s="57">
        <v>158573</v>
      </c>
      <c r="F17">
        <v>356202</v>
      </c>
      <c r="G17" s="36">
        <f t="shared" si="1"/>
        <v>0.44517717474915919</v>
      </c>
      <c r="H17" s="4">
        <f t="shared" si="2"/>
        <v>7.7711094143160353E-2</v>
      </c>
    </row>
    <row r="18" spans="1:8" x14ac:dyDescent="0.2">
      <c r="A18" s="6" t="s">
        <v>22</v>
      </c>
      <c r="B18" s="55">
        <v>32619</v>
      </c>
      <c r="C18">
        <f>184950+32619+1711+13+279</f>
        <v>219572</v>
      </c>
      <c r="D18" s="36">
        <f t="shared" si="0"/>
        <v>0.14855719308472848</v>
      </c>
      <c r="E18" s="57">
        <v>83595</v>
      </c>
      <c r="F18">
        <v>295982</v>
      </c>
      <c r="G18" s="36">
        <f t="shared" si="1"/>
        <v>0.28243271550296978</v>
      </c>
      <c r="H18" s="4">
        <f t="shared" si="2"/>
        <v>0.1338755224182413</v>
      </c>
    </row>
    <row r="19" spans="1:8" x14ac:dyDescent="0.2">
      <c r="A19" s="6" t="s">
        <v>23</v>
      </c>
      <c r="B19" s="55">
        <v>15436</v>
      </c>
      <c r="C19">
        <f>3757+15436+197+8+28</f>
        <v>19426</v>
      </c>
      <c r="D19" s="36">
        <f t="shared" si="0"/>
        <v>0.79460516833110262</v>
      </c>
      <c r="E19" s="57">
        <v>18718</v>
      </c>
      <c r="F19">
        <v>21924</v>
      </c>
      <c r="G19" s="36">
        <f t="shared" si="1"/>
        <v>0.85376756066411241</v>
      </c>
      <c r="H19" s="4">
        <f t="shared" si="2"/>
        <v>5.9162392333009794E-2</v>
      </c>
    </row>
    <row r="20" spans="1:8" x14ac:dyDescent="0.2">
      <c r="A20" s="6" t="s">
        <v>24</v>
      </c>
      <c r="B20" s="55">
        <v>23675</v>
      </c>
      <c r="C20">
        <f>8203+23675+645+34</f>
        <v>32557</v>
      </c>
      <c r="D20" s="36">
        <f t="shared" si="0"/>
        <v>0.72718616580151729</v>
      </c>
      <c r="E20" s="57">
        <v>29187</v>
      </c>
      <c r="F20">
        <v>37993</v>
      </c>
      <c r="G20" s="36">
        <f t="shared" si="1"/>
        <v>0.76822046166399072</v>
      </c>
      <c r="H20" s="4">
        <f t="shared" si="2"/>
        <v>4.1034295862473424E-2</v>
      </c>
    </row>
    <row r="21" spans="1:8" x14ac:dyDescent="0.2">
      <c r="A21" s="6" t="s">
        <v>25</v>
      </c>
      <c r="B21" s="55">
        <v>4488</v>
      </c>
      <c r="C21">
        <f>2135+4488+77+1</f>
        <v>6701</v>
      </c>
      <c r="D21" s="36">
        <f t="shared" si="0"/>
        <v>0.66975078346515449</v>
      </c>
      <c r="E21" s="57">
        <v>4923</v>
      </c>
      <c r="F21">
        <v>7015</v>
      </c>
      <c r="G21" s="36">
        <f t="shared" si="1"/>
        <v>0.70178189593727724</v>
      </c>
      <c r="H21" s="4">
        <f t="shared" si="2"/>
        <v>3.2031112472122758E-2</v>
      </c>
    </row>
    <row r="22" spans="1:8" x14ac:dyDescent="0.2">
      <c r="A22" s="6" t="s">
        <v>26</v>
      </c>
      <c r="B22" s="55">
        <v>10616</v>
      </c>
      <c r="C22">
        <f>4420+10616+168+22</f>
        <v>15226</v>
      </c>
      <c r="D22" s="36">
        <f t="shared" si="0"/>
        <v>0.69722842506239324</v>
      </c>
      <c r="E22" s="57">
        <v>13356</v>
      </c>
      <c r="F22">
        <v>17135</v>
      </c>
      <c r="G22" s="36">
        <f t="shared" si="1"/>
        <v>0.77945725124015175</v>
      </c>
      <c r="H22" s="4">
        <f t="shared" si="2"/>
        <v>8.2228826177758507E-2</v>
      </c>
    </row>
    <row r="23" spans="1:8" x14ac:dyDescent="0.2">
      <c r="A23" s="6" t="s">
        <v>27</v>
      </c>
      <c r="B23" s="55">
        <v>28469</v>
      </c>
      <c r="C23">
        <f>9661+28469+653+6+32</f>
        <v>38821</v>
      </c>
      <c r="D23" s="36">
        <f t="shared" si="0"/>
        <v>0.73334020246773657</v>
      </c>
      <c r="E23" s="57">
        <v>36614</v>
      </c>
      <c r="F23">
        <v>46946</v>
      </c>
      <c r="G23" s="36">
        <f t="shared" si="1"/>
        <v>0.77991735185106292</v>
      </c>
      <c r="H23" s="4">
        <f t="shared" si="2"/>
        <v>4.6577149383326355E-2</v>
      </c>
    </row>
    <row r="24" spans="1:8" x14ac:dyDescent="0.2">
      <c r="A24" s="6" t="s">
        <v>28</v>
      </c>
      <c r="B24" s="55">
        <v>16669</v>
      </c>
      <c r="C24">
        <f>8833+16669+396+26</f>
        <v>25924</v>
      </c>
      <c r="D24" s="36">
        <f t="shared" si="0"/>
        <v>0.64299490819318006</v>
      </c>
      <c r="E24" s="33">
        <v>21426</v>
      </c>
      <c r="F24">
        <v>31410</v>
      </c>
      <c r="G24" s="36">
        <f t="shared" si="1"/>
        <v>0.68213944603629417</v>
      </c>
      <c r="H24" s="4">
        <f t="shared" si="2"/>
        <v>3.9144537843114113E-2</v>
      </c>
    </row>
    <row r="25" spans="1:8" x14ac:dyDescent="0.2">
      <c r="A25" s="6" t="s">
        <v>29</v>
      </c>
      <c r="B25" s="55">
        <v>13271</v>
      </c>
      <c r="C25">
        <f>5521+13271+331+14</f>
        <v>19137</v>
      </c>
      <c r="D25" s="36">
        <f t="shared" si="0"/>
        <v>0.69347337618226468</v>
      </c>
      <c r="E25" s="33">
        <v>16925</v>
      </c>
      <c r="F25">
        <v>22196</v>
      </c>
      <c r="G25" s="36">
        <f t="shared" si="1"/>
        <v>0.76252477923950257</v>
      </c>
      <c r="H25" s="4">
        <f t="shared" si="2"/>
        <v>6.9051403057237892E-2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E833-6403-2448-92BE-0DD088BF40B2}">
  <dimension ref="A1:D25"/>
  <sheetViews>
    <sheetView workbookViewId="0">
      <selection activeCell="G16" sqref="G16"/>
    </sheetView>
  </sheetViews>
  <sheetFormatPr baseColWidth="10" defaultRowHeight="16" x14ac:dyDescent="0.2"/>
  <cols>
    <col min="1" max="1" width="14.5" bestFit="1" customWidth="1"/>
    <col min="2" max="3" width="17.5" bestFit="1" customWidth="1"/>
  </cols>
  <sheetData>
    <row r="1" spans="1:4" x14ac:dyDescent="0.2">
      <c r="A1" s="12" t="s">
        <v>1</v>
      </c>
      <c r="B1" s="12" t="s">
        <v>75</v>
      </c>
      <c r="C1" s="12" t="s">
        <v>76</v>
      </c>
      <c r="D1" s="12" t="s">
        <v>78</v>
      </c>
    </row>
    <row r="2" spans="1:4" x14ac:dyDescent="0.2">
      <c r="A2" s="6" t="s">
        <v>22</v>
      </c>
      <c r="B2">
        <f>184950+32619+1711+13+279</f>
        <v>219572</v>
      </c>
      <c r="C2">
        <v>295982</v>
      </c>
      <c r="D2" s="65">
        <f t="shared" ref="D2:D25" si="0">((C2-B2)/B2)*100</f>
        <v>34.799519064361576</v>
      </c>
    </row>
    <row r="3" spans="1:4" x14ac:dyDescent="0.2">
      <c r="A3" s="6" t="s">
        <v>21</v>
      </c>
      <c r="B3">
        <f>163694+97312+3286+9+518</f>
        <v>264819</v>
      </c>
      <c r="C3">
        <v>356202</v>
      </c>
      <c r="D3" s="65">
        <f t="shared" si="0"/>
        <v>34.50772036749629</v>
      </c>
    </row>
    <row r="4" spans="1:4" x14ac:dyDescent="0.2">
      <c r="A4" s="6" t="s">
        <v>14</v>
      </c>
      <c r="B4">
        <v>47469</v>
      </c>
      <c r="C4">
        <v>61030</v>
      </c>
      <c r="D4" s="65">
        <f t="shared" si="0"/>
        <v>28.568118140259958</v>
      </c>
    </row>
    <row r="5" spans="1:4" x14ac:dyDescent="0.2">
      <c r="A5" s="6" t="s">
        <v>19</v>
      </c>
      <c r="B5">
        <f>49227+54353+1575+12+2+284</f>
        <v>105453</v>
      </c>
      <c r="C5">
        <v>135176</v>
      </c>
      <c r="D5" s="65">
        <f t="shared" si="0"/>
        <v>28.186016519207609</v>
      </c>
    </row>
    <row r="6" spans="1:4" x14ac:dyDescent="0.2">
      <c r="A6" s="6" t="s">
        <v>13</v>
      </c>
      <c r="B6">
        <v>26766</v>
      </c>
      <c r="C6">
        <v>33575</v>
      </c>
      <c r="D6" s="65">
        <f t="shared" si="0"/>
        <v>25.43898976313233</v>
      </c>
    </row>
    <row r="7" spans="1:4" x14ac:dyDescent="0.2">
      <c r="A7" s="6" t="s">
        <v>16</v>
      </c>
      <c r="B7">
        <v>80072</v>
      </c>
      <c r="C7">
        <v>99807</v>
      </c>
      <c r="D7" s="65">
        <f t="shared" si="0"/>
        <v>24.646568088720151</v>
      </c>
    </row>
    <row r="8" spans="1:4" x14ac:dyDescent="0.2">
      <c r="A8" s="6" t="s">
        <v>28</v>
      </c>
      <c r="B8">
        <f>8833+16669+396+26</f>
        <v>25924</v>
      </c>
      <c r="C8">
        <v>31410</v>
      </c>
      <c r="D8" s="65">
        <f t="shared" si="0"/>
        <v>21.161857738003395</v>
      </c>
    </row>
    <row r="9" spans="1:4" x14ac:dyDescent="0.2">
      <c r="A9" s="6" t="s">
        <v>27</v>
      </c>
      <c r="B9">
        <f>9661+28469+653+6+32</f>
        <v>38821</v>
      </c>
      <c r="C9">
        <v>46946</v>
      </c>
      <c r="D9" s="65">
        <f t="shared" si="0"/>
        <v>20.929393884753097</v>
      </c>
    </row>
    <row r="10" spans="1:4" x14ac:dyDescent="0.2">
      <c r="A10" s="6" t="s">
        <v>8</v>
      </c>
      <c r="B10">
        <v>140686</v>
      </c>
      <c r="C10">
        <v>169750</v>
      </c>
      <c r="D10" s="65">
        <f t="shared" si="0"/>
        <v>20.658772017116132</v>
      </c>
    </row>
    <row r="11" spans="1:4" x14ac:dyDescent="0.2">
      <c r="A11" s="6" t="s">
        <v>11</v>
      </c>
      <c r="B11">
        <v>9208</v>
      </c>
      <c r="C11">
        <v>11071</v>
      </c>
      <c r="D11" s="65">
        <f t="shared" si="0"/>
        <v>20.232406602953954</v>
      </c>
    </row>
    <row r="12" spans="1:4" x14ac:dyDescent="0.2">
      <c r="A12" s="6" t="s">
        <v>7</v>
      </c>
      <c r="B12">
        <v>180338</v>
      </c>
      <c r="C12">
        <v>213711</v>
      </c>
      <c r="D12" s="65">
        <f t="shared" si="0"/>
        <v>18.505805764730674</v>
      </c>
    </row>
    <row r="13" spans="1:4" x14ac:dyDescent="0.2">
      <c r="A13" s="6" t="s">
        <v>24</v>
      </c>
      <c r="B13">
        <f>8203+23675+645+34</f>
        <v>32557</v>
      </c>
      <c r="C13">
        <v>37993</v>
      </c>
      <c r="D13" s="65">
        <f t="shared" si="0"/>
        <v>16.696870104739382</v>
      </c>
    </row>
    <row r="14" spans="1:4" x14ac:dyDescent="0.2">
      <c r="A14" s="6" t="s">
        <v>18</v>
      </c>
      <c r="B14">
        <f>19814+69986+1422+3+235</f>
        <v>91460</v>
      </c>
      <c r="C14">
        <v>106245</v>
      </c>
      <c r="D14" s="65">
        <f t="shared" si="0"/>
        <v>16.165536846708946</v>
      </c>
    </row>
    <row r="15" spans="1:4" x14ac:dyDescent="0.2">
      <c r="A15" s="6" t="s">
        <v>29</v>
      </c>
      <c r="B15">
        <f>5521+13271+331+14</f>
        <v>19137</v>
      </c>
      <c r="C15">
        <v>22196</v>
      </c>
      <c r="D15" s="65">
        <f t="shared" si="0"/>
        <v>15.984741600041804</v>
      </c>
    </row>
    <row r="16" spans="1:4" x14ac:dyDescent="0.2">
      <c r="A16" s="6" t="s">
        <v>9</v>
      </c>
      <c r="B16">
        <v>264143</v>
      </c>
      <c r="C16">
        <v>304808</v>
      </c>
      <c r="D16" s="65">
        <f t="shared" si="0"/>
        <v>15.395070094607846</v>
      </c>
    </row>
    <row r="17" spans="1:4" x14ac:dyDescent="0.2">
      <c r="A17" s="6" t="s">
        <v>23</v>
      </c>
      <c r="B17">
        <f>3757+15436+197+8+28</f>
        <v>19426</v>
      </c>
      <c r="C17">
        <v>21924</v>
      </c>
      <c r="D17" s="65">
        <f t="shared" si="0"/>
        <v>12.859054874909914</v>
      </c>
    </row>
    <row r="18" spans="1:4" x14ac:dyDescent="0.2">
      <c r="A18" s="6" t="s">
        <v>26</v>
      </c>
      <c r="B18">
        <f>4420+10616+168+22</f>
        <v>15226</v>
      </c>
      <c r="C18">
        <v>17135</v>
      </c>
      <c r="D18" s="65">
        <f t="shared" si="0"/>
        <v>12.537764350453173</v>
      </c>
    </row>
    <row r="19" spans="1:4" x14ac:dyDescent="0.2">
      <c r="A19" s="6" t="s">
        <v>10</v>
      </c>
      <c r="B19">
        <v>32904</v>
      </c>
      <c r="C19">
        <v>36985</v>
      </c>
      <c r="D19" s="65">
        <f t="shared" si="0"/>
        <v>12.402747386336008</v>
      </c>
    </row>
    <row r="20" spans="1:4" x14ac:dyDescent="0.2">
      <c r="A20" s="6" t="s">
        <v>17</v>
      </c>
      <c r="B20">
        <v>9182</v>
      </c>
      <c r="C20">
        <v>10304</v>
      </c>
      <c r="D20" s="65">
        <f t="shared" si="0"/>
        <v>12.219560008712699</v>
      </c>
    </row>
    <row r="21" spans="1:4" x14ac:dyDescent="0.2">
      <c r="A21" s="6" t="s">
        <v>12</v>
      </c>
      <c r="B21">
        <v>64419</v>
      </c>
      <c r="C21">
        <v>71847</v>
      </c>
      <c r="D21" s="65">
        <f t="shared" si="0"/>
        <v>11.530759558515346</v>
      </c>
    </row>
    <row r="22" spans="1:4" x14ac:dyDescent="0.2">
      <c r="A22" s="6" t="s">
        <v>15</v>
      </c>
      <c r="B22">
        <v>10660</v>
      </c>
      <c r="C22">
        <v>11672</v>
      </c>
      <c r="D22" s="65">
        <f t="shared" si="0"/>
        <v>9.4934333958724206</v>
      </c>
    </row>
    <row r="23" spans="1:4" x14ac:dyDescent="0.2">
      <c r="A23" s="6" t="s">
        <v>20</v>
      </c>
      <c r="B23">
        <f>2603+5009+113+1+30</f>
        <v>7756</v>
      </c>
      <c r="C23">
        <v>8220</v>
      </c>
      <c r="D23" s="65">
        <f t="shared" si="0"/>
        <v>5.9824651882413615</v>
      </c>
    </row>
    <row r="24" spans="1:4" x14ac:dyDescent="0.2">
      <c r="A24" s="6" t="s">
        <v>6</v>
      </c>
      <c r="B24">
        <v>20478</v>
      </c>
      <c r="C24">
        <v>21533</v>
      </c>
      <c r="D24" s="65">
        <f t="shared" si="0"/>
        <v>5.151870299833968</v>
      </c>
    </row>
    <row r="25" spans="1:4" x14ac:dyDescent="0.2">
      <c r="A25" s="6" t="s">
        <v>25</v>
      </c>
      <c r="B25">
        <f>2135+4488+77+1</f>
        <v>6701</v>
      </c>
      <c r="C25">
        <v>7015</v>
      </c>
      <c r="D25" s="65">
        <f t="shared" si="0"/>
        <v>4.6858677809282199</v>
      </c>
    </row>
  </sheetData>
  <sortState ref="A2:D25">
    <sortCondition descending="1"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F116-4E53-CB43-B58F-D8FC6B10FEB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turnout-state</vt:lpstr>
      <vt:lpstr>turnout-countyparty</vt:lpstr>
      <vt:lpstr>turnout-earlyvoting</vt:lpstr>
      <vt:lpstr>voting-county</vt:lpstr>
      <vt:lpstr>earlybycand</vt:lpstr>
      <vt:lpstr>mdrepoutcomes</vt:lpstr>
      <vt:lpstr>graphic1</vt:lpstr>
      <vt:lpstr>graphic2</vt:lpstr>
      <vt:lpstr>graphic3</vt:lpstr>
      <vt:lpstr>graphic4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2018-11-06T19:03:41Z</dcterms:created>
  <dcterms:modified xsi:type="dcterms:W3CDTF">2018-11-08T22:02:06Z</dcterms:modified>
</cp:coreProperties>
</file>