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arameter" sheetId="1" r:id="rId4"/>
    <sheet state="visible" name="MASTER MANIFEST" sheetId="2" r:id="rId5"/>
    <sheet state="visible" name="ASSIGN" sheetId="3" r:id="rId6"/>
    <sheet state="hidden" name="AVAILABLE TO ASSIGN" sheetId="4" r:id="rId7"/>
    <sheet state="visible" name="DETAIL" sheetId="5" r:id="rId8"/>
  </sheets>
  <definedNames>
    <definedName hidden="1" localSheetId="1" name="_xlnm._FilterDatabase">'MASTER MANIFEST'!$A$2:$H$129</definedName>
  </definedNames>
  <calcPr/>
</workbook>
</file>

<file path=xl/sharedStrings.xml><?xml version="1.0" encoding="utf-8"?>
<sst xmlns="http://schemas.openxmlformats.org/spreadsheetml/2006/main" count="12891" uniqueCount="3731">
  <si>
    <t>Alex</t>
  </si>
  <si>
    <t>https://docs.google.com/spreadsheets/d/1WzpY8UdA29lqdf4cQi3vWJ-O1xcehTUH07oTx03rlYw</t>
  </si>
  <si>
    <t>Leo</t>
  </si>
  <si>
    <t>https://docs.google.com/spreadsheets/d/1j7EhuAHppyCyviBwaMP-uBFg0djgFGHq2C590E8xsf0</t>
  </si>
  <si>
    <t>Mark</t>
  </si>
  <si>
    <t>https://docs.google.com/spreadsheets/d/1XOFwOIfuFBK-yjvS-JGkyDYo0LDizKunUi-otDTQdrI</t>
  </si>
  <si>
    <t>Coral</t>
  </si>
  <si>
    <t>https://docs.google.com/spreadsheets/d/1qKfW-Ns4YPAF5RjLePDSbEWMdHNF4XKCh5d7H6MoRAI</t>
  </si>
  <si>
    <t>STATUS</t>
  </si>
  <si>
    <t>ORDER DATE</t>
  </si>
  <si>
    <t>CLIENT NAME</t>
  </si>
  <si>
    <t>AMZ STORE NAME</t>
  </si>
  <si>
    <t>ORDER TYPE</t>
  </si>
  <si>
    <t>TOTAL RETAIL</t>
  </si>
  <si>
    <t>COST LEFT</t>
  </si>
  <si>
    <t>CLIENT SPEND</t>
  </si>
  <si>
    <t>TOTAL FULFILLED</t>
  </si>
  <si>
    <t>BOX ASSIGNMENT FOR CLIENT FULFILLMENT</t>
  </si>
  <si>
    <t>CURRENT</t>
  </si>
  <si>
    <t>NSHIP :</t>
  </si>
  <si>
    <t>INPUT</t>
  </si>
  <si>
    <t>PER CLIENT</t>
  </si>
  <si>
    <t>PER BULK</t>
  </si>
  <si>
    <t>MONTH</t>
  </si>
  <si>
    <t>% Target</t>
  </si>
  <si>
    <t>% FULFILLED</t>
  </si>
  <si>
    <t>CLIENT SPEND FULFILLED</t>
  </si>
  <si>
    <t>BOX NAME</t>
  </si>
  <si>
    <t>BOX VALUE</t>
  </si>
  <si>
    <t>CURRENT LEFT</t>
  </si>
  <si>
    <t>TOTAL AFTER ASSIGN</t>
  </si>
  <si>
    <t>TOTAL BULK ASSIGN</t>
  </si>
  <si>
    <t>BOX ASSIGN</t>
  </si>
  <si>
    <t>JANUARY</t>
  </si>
  <si>
    <t>SUM</t>
  </si>
  <si>
    <t>SPK</t>
  </si>
  <si>
    <t>Andrew Both</t>
  </si>
  <si>
    <t>Approve by Amazon</t>
  </si>
  <si>
    <t>Button</t>
  </si>
  <si>
    <t>FEBRUARY</t>
  </si>
  <si>
    <t>CC18401</t>
  </si>
  <si>
    <t>Thick</t>
  </si>
  <si>
    <t>Reject</t>
  </si>
  <si>
    <t>OK</t>
  </si>
  <si>
    <t>MARCH</t>
  </si>
  <si>
    <t>CC18402</t>
  </si>
  <si>
    <t>UnThick</t>
  </si>
  <si>
    <t>Approve</t>
  </si>
  <si>
    <t>Available</t>
  </si>
  <si>
    <t>APRIL</t>
  </si>
  <si>
    <t>Process ke 2</t>
  </si>
  <si>
    <t>CL18268</t>
  </si>
  <si>
    <t>MAY</t>
  </si>
  <si>
    <t>CL18271</t>
  </si>
  <si>
    <t>JUNE</t>
  </si>
  <si>
    <t>JULY</t>
  </si>
  <si>
    <t>----&gt;&gt;&gt;&gt;&gt;</t>
  </si>
  <si>
    <t>AUGUST</t>
  </si>
  <si>
    <t>SEPTEMBER</t>
  </si>
  <si>
    <t>OCTOBER</t>
  </si>
  <si>
    <t>NOVEMBER</t>
  </si>
  <si>
    <t>DECEMBER</t>
  </si>
  <si>
    <t>Delete</t>
  </si>
  <si>
    <t>Client</t>
  </si>
  <si>
    <t>User</t>
  </si>
  <si>
    <t>Assignment</t>
  </si>
  <si>
    <t>Upload</t>
  </si>
  <si>
    <t>FORECAST</t>
  </si>
  <si>
    <t>CHANGES</t>
  </si>
  <si>
    <t>NO.</t>
  </si>
  <si>
    <t>BOX</t>
  </si>
  <si>
    <t>VALUE</t>
  </si>
  <si>
    <t>DATE</t>
  </si>
  <si>
    <t>CLIENT</t>
  </si>
  <si>
    <t>ALERT</t>
  </si>
  <si>
    <t>TOTAL</t>
  </si>
  <si>
    <t xml:space="preserve"> </t>
  </si>
  <si>
    <t>CATEGORY</t>
  </si>
  <si>
    <t>CONDITION</t>
  </si>
  <si>
    <t># OF UNITS</t>
  </si>
  <si>
    <t>AVG UNIT RETAIL</t>
  </si>
  <si>
    <t>TOTAL ORIGINAL RETAIL</t>
  </si>
  <si>
    <t>TOTAL CLIENT COST</t>
  </si>
  <si>
    <t>Box Name</t>
  </si>
  <si>
    <t>ORIGINAL QTY</t>
  </si>
  <si>
    <t>SHIP</t>
  </si>
  <si>
    <t>NOT SHIP</t>
  </si>
  <si>
    <t>Date</t>
  </si>
  <si>
    <t>Manifest</t>
  </si>
  <si>
    <t>APPAREL INVOICE LOT #18 -  WOMEN'S APPAREL (NEW WITH TAGS)</t>
  </si>
  <si>
    <t>NEW</t>
  </si>
  <si>
    <t>UPC/SKU</t>
  </si>
  <si>
    <t>ITEM DESCRIPTION</t>
  </si>
  <si>
    <t>RETAIL VALUE</t>
  </si>
  <si>
    <t>VENDOR NAME</t>
  </si>
  <si>
    <t>PARAMATER</t>
  </si>
  <si>
    <t>Aerosoles Women's East Side Loafer, Dark tan Leather, 6.5 M US</t>
  </si>
  <si>
    <t>New</t>
  </si>
  <si>
    <t>AEROSOLES/AEROGROUP INT'L INC</t>
  </si>
  <si>
    <t>Aerosoles Women's Full Circle Pump, Dark Blue Leather, 9.5 M US</t>
  </si>
  <si>
    <t>Aerosoles Women's Inner Circle Pump, Black Leather, 9 M US</t>
  </si>
  <si>
    <t>Aerosoles Women's Shipmate Pump, Black Leather, 6</t>
  </si>
  <si>
    <t>Aerosoles Women's Deal Breaker Pump, Orange Suede, 10</t>
  </si>
  <si>
    <t>Aerosoles Women's Homerun Ballet Flat, Black Suede, 9.5</t>
  </si>
  <si>
    <t>Aerosoles Women's Deanna Driving Style Loafer, Red ,9.5</t>
  </si>
  <si>
    <t>Aerosoles Women's Eye Candy Pump, Champagne Leather, 8 M US</t>
  </si>
  <si>
    <t>Aerosoles Women's Eye Candy Pump, Champagne Leather, 9 M US</t>
  </si>
  <si>
    <t>Aerosoles Women's Maggie Ankle Boot, Black Fabric, 6.5</t>
  </si>
  <si>
    <t>Aerosoles Women's Maggie Ankle Boot, Black Fabric, 7.5</t>
  </si>
  <si>
    <t>Aerosoles Women's Wedge Pump, BLACK, 10</t>
  </si>
  <si>
    <t>Aerosoles Women's Ballet Flat, Gold Metallic, 9 B (M)</t>
  </si>
  <si>
    <t>13SKU -13UNITS</t>
  </si>
  <si>
    <t>FBA16JN0PG4Y/1ZW5124W0330219061</t>
  </si>
  <si>
    <t>1SKU -1UNITS</t>
  </si>
  <si>
    <t>FBA16JN0Q0GQ/1ZW5124W0313029478</t>
  </si>
  <si>
    <t>HAZEL</t>
  </si>
  <si>
    <t>Box #CC18401-Aerosoles.   - Brandon Harris        - Collective Styles (SFBA)</t>
  </si>
  <si>
    <t>Brandon Harris</t>
  </si>
  <si>
    <t>Collective Styles (SFBA)</t>
  </si>
  <si>
    <t>MARK</t>
  </si>
  <si>
    <t>2SHIPMENTS    13/13=100%</t>
  </si>
  <si>
    <t>Sam Edelman Women's Jacquie Combat Boot Black 6.5 Medium</t>
  </si>
  <si>
    <t>SAM EDELMAN/CALERES INC</t>
  </si>
  <si>
    <t>Put a "0" in front</t>
  </si>
  <si>
    <t>Sam Edelman Jacquie Ivory 5 M</t>
  </si>
  <si>
    <t>Sam Edelman Women's Jaclyn Ankle Boot, Black Waterproof Suede, 5</t>
  </si>
  <si>
    <t>Sam Edelman Women's Jaclyn Ankle Boot, Black Waterproof Suede, 7</t>
  </si>
  <si>
    <t>Sam Edelman Women's Jaclyn Ankle Boot, Black Waterproof Suede, 9.5</t>
  </si>
  <si>
    <t>Sam Edelman Women's Jaclyn Ankle Boot, Black, 6</t>
  </si>
  <si>
    <t>Sam Edelman Women's Lillianna Mule, Black, 10</t>
  </si>
  <si>
    <t>7 SKU's -  7 UNITS</t>
  </si>
  <si>
    <t>FBA16JN5JHFM/1ZW5124W0354323788</t>
  </si>
  <si>
    <t>QUEENIE</t>
  </si>
  <si>
    <t>Box #CC18402-Sam Edelman  - Brandon Harris        - Collective Styles (SFBA)</t>
  </si>
  <si>
    <t xml:space="preserve">  1 SHIPMENT (7/7= 100%)</t>
  </si>
  <si>
    <t>Shoes GLYNDA PLATFORM SANDAL BASIC</t>
  </si>
  <si>
    <t>KATE SPADE/QUINBY RIDGE/SCHWARTZ</t>
  </si>
  <si>
    <t>CC18403</t>
  </si>
  <si>
    <t>Shoes GRACE BASIC</t>
  </si>
  <si>
    <t>KATE SPADE NEW YORK/COACH SERVICES</t>
  </si>
  <si>
    <t>Shoes kate spade new york Womens Thatcher Booties Light Fawn 7M</t>
  </si>
  <si>
    <t>8  SKU = 8 UNITS</t>
  </si>
  <si>
    <t>FBA16JN2THMK/1ZW5124W0310191440</t>
  </si>
  <si>
    <t>not available</t>
  </si>
  <si>
    <t>kate spade new york Womens Keds For Kate Spade Ne Champagne 11M</t>
  </si>
  <si>
    <t>KEDS/WOLVERINE WORLD WIDE</t>
  </si>
  <si>
    <t>kate spade new york Womens Keds For Kate Spade Ne Gray 7.5M</t>
  </si>
  <si>
    <t>Shoes Juicy Couture Juicy Couture Whynnie sandal Black Rainbow 6M</t>
  </si>
  <si>
    <t>JUICY COUTURE/E S ORIGINALS</t>
  </si>
  <si>
    <t>apply to sell</t>
  </si>
  <si>
    <t>Shoes Juicy Couture Juicy Couture Oodles Combat Bo White 9.5M</t>
  </si>
  <si>
    <t>Shoes WYNTER HIKER BOOT BASIC</t>
  </si>
  <si>
    <t>Shoes OLIVIA BASIC</t>
  </si>
  <si>
    <t>KAI</t>
  </si>
  <si>
    <t>Box #CC18403-Kate-Spade - Roop Bath - A1 Wholesale</t>
  </si>
  <si>
    <t>Roop Bath</t>
  </si>
  <si>
    <t>A1 Wholesale Supplies</t>
  </si>
  <si>
    <t>1 SHIPMENTS 8/17=47%</t>
  </si>
  <si>
    <t>Sanctuary Striped Skinny Jeans Sunshine S 32</t>
  </si>
  <si>
    <t>SANCTUARY/ONE JEANSWEAR GROUP</t>
  </si>
  <si>
    <t>LC18300</t>
  </si>
  <si>
    <t>Xscape Womens Green Ruched Zippered Short Sleeve Off Shoulder Full-Length Formal Sheath Dress 8</t>
  </si>
  <si>
    <t>X BY XSCAPE/XSCAPE EVENINGS LTD</t>
  </si>
  <si>
    <t>Planet Gold Womens Black Sleeveless Short Fit + Flare Party Dress Juniors XXS</t>
  </si>
  <si>
    <t>PLANET GOLD CLOTHING/GOLDEN TOUCH</t>
  </si>
  <si>
    <t>Betsey Johnson Womens Black Zippered Speckle Short Sleeve Scoop Neck Below The Knee Fit + Flare Wear to Work Dress Size 18W</t>
  </si>
  <si>
    <t>BETSEY JOHNSON/LOU LEVY &amp; SONS</t>
  </si>
  <si>
    <t>Betsey Johnson Womens Plus Ruffled Belted Jumpsuit Blue 22W</t>
  </si>
  <si>
    <t>Free People Weekend Rush Short-Sleeve Henl White XL</t>
  </si>
  <si>
    <t>FREE PEOPLE/URBAN OUTFITTERS</t>
  </si>
  <si>
    <t>Blondie Nites Juniors Glitter Lace-Up-Back Navy 9</t>
  </si>
  <si>
    <t>BLONDIE NITES LTD</t>
  </si>
  <si>
    <t>Free People Serena Printed Blouse Black Combo M</t>
  </si>
  <si>
    <t>HALSTON Women's Scark Neck Top, Lipstick, 8</t>
  </si>
  <si>
    <t>HALSTON/GROUPE J S INTERNATIONAL</t>
  </si>
  <si>
    <t>HALSTON Women's Pencil, Gold, 4</t>
  </si>
  <si>
    <t>GROUPE J S INTERNATIONAL</t>
  </si>
  <si>
    <t>HALSTON Women's Sleeveless Cowl Drape Sequin Dress, Silver, Small</t>
  </si>
  <si>
    <t>BCX Womens Juniors Sequined Dressy Shrug Silver S</t>
  </si>
  <si>
    <t>BCX</t>
  </si>
  <si>
    <t>Jump Apparel Womens Juniors Printed Party T-Shirt Dress Black S</t>
  </si>
  <si>
    <t>JUMP APPAREL</t>
  </si>
  <si>
    <t>Speechless Juniors Glitter-Knit Bodycon Plum Purple 13</t>
  </si>
  <si>
    <t>SPEECHLESS/SWAT FAME INC</t>
  </si>
  <si>
    <t>Jessica Howard Womens Black Cap Sleeve Cowl Neck Above The Knee Sheath Evening Dress Size 10P</t>
  </si>
  <si>
    <t>JESSICA HOWARD/G-III APPAREL GROUP</t>
  </si>
  <si>
    <t>R &amp; M RICHARDS Women's Plus Off-shoulder Glitter Lace Gown Dress</t>
  </si>
  <si>
    <t>R &amp; M RICHARDS</t>
  </si>
  <si>
    <t>City Triangles Womens Green Spaghetti Strap Mini Party Dress Juniors 11</t>
  </si>
  <si>
    <t>CITY TRIANGLES-JODI KRISTOPHER</t>
  </si>
  <si>
    <t>City Studio Womens Green Bow-Back Spaghetti Strap V Neck Mini Fit + Flare Party Dress Size 13</t>
  </si>
  <si>
    <t>City Studio Womens Metallic Piping Sheath Dress Black S</t>
  </si>
  <si>
    <t>INC Women's Jacket Large Faux-Leather Puffer Coat Snap-Front Black L</t>
  </si>
  <si>
    <t>INC-MMG</t>
  </si>
  <si>
    <t>BCX Womens Juniors Floral Print Metallic Mini Dress Navy 1</t>
  </si>
  <si>
    <t>Ralph Lauren Lauren Womens Perina Velvet Cold Shoulder Midi Dress Black 14</t>
  </si>
  <si>
    <t>LAUREN/POLO RALPH LAUREN</t>
  </si>
  <si>
    <t>Lauren Ralph Lauren Womens Perina Velvet Cold Shoulder Midi Dress Black 6</t>
  </si>
  <si>
    <t>LAUREN</t>
  </si>
  <si>
    <t>RALPH LAUREN Womens Black Cold Shoulder Zippered Long Sleeve Jewel Neck Above The Knee Sheath Party Dress Size 2P</t>
  </si>
  <si>
    <t>Ralph Lauren</t>
  </si>
  <si>
    <t>LAUREN RALPH LAUREN Printed Matte Jersey Nemota Long Sleeve Day Dress Black/Purple/Multi 16</t>
  </si>
  <si>
    <t>Ralph Lauren Womens Long Sleeve Sheath Evening Dress, Red, 4 Petite</t>
  </si>
  <si>
    <t>RALPH LAUREN</t>
  </si>
  <si>
    <t>Ralph Lauren Womens Black Belted Long Sleeve V Neck Below The Knee Sheath Cocktail Dress Size 10</t>
  </si>
  <si>
    <t>Connected Embroidered-Glitter Dress NavyGrayBlack Floral 16</t>
  </si>
  <si>
    <t>CONNECTED APPAREL COMPANY LLC</t>
  </si>
  <si>
    <t>Connected Apparel Womens Navy Knee Length Sheath Dress Petites 10P</t>
  </si>
  <si>
    <t>29 SKU-29 units</t>
  </si>
  <si>
    <t>FBA16JN44WWV/1ZW5124W0345443219</t>
  </si>
  <si>
    <t>Theory Women's Classic Coat, Dark Grey Melange, 2</t>
  </si>
  <si>
    <t>THEORY LLC</t>
  </si>
  <si>
    <t>Theory Women's Pleated Cap Dress, Black, 2</t>
  </si>
  <si>
    <t>Sam Edelman Women's Sleeveless V-Neck Jumpsuit, Wine, 2</t>
  </si>
  <si>
    <t>SAM EDELMAN/S ROTHSCHILD &amp; CO INC</t>
  </si>
  <si>
    <t>LAUREN RALPH LAUREN Dobby Fit-and-Flare Dress Parlor Red 14</t>
  </si>
  <si>
    <t>LAUREN RALPH LAUREN Noelle Long Sleeve Day Dress Black/Heather Grey/Lauren White 12</t>
  </si>
  <si>
    <t>5 SKU-5 units</t>
  </si>
  <si>
    <t>FBA16JN382KL/1ZW5124W0374342096</t>
  </si>
  <si>
    <t>&lt;&lt;&lt;---- Input UPC Here</t>
  </si>
  <si>
    <t>UPC not found</t>
  </si>
  <si>
    <t>Jockey Womens Forever Fit T-Shirt Light Nude 4 S</t>
  </si>
  <si>
    <t>JOCKEY FOR HER</t>
  </si>
  <si>
    <t>Jockey Womens Forever Fit T-Shirt Light Nude 4 L</t>
  </si>
  <si>
    <t>TRISHA</t>
  </si>
  <si>
    <t>Box #LC18300-Unrestricted   - Brandon Harris        - Collective Styles (SFBA)</t>
  </si>
  <si>
    <t>2 shipments  34/37=92%</t>
  </si>
  <si>
    <t>AG Adriano Goldschmied Women MARI HIGH-Rise Slim FIT Straight Leg Jean, 7 Years Timeless, 26</t>
  </si>
  <si>
    <t>AG ADRIANO GOLDSCHMIED INC</t>
  </si>
  <si>
    <t>LC18301</t>
  </si>
  <si>
    <t>LAUREN RALPH LAUREN Womens Jersey Business Wear to Work Dress Pink 16</t>
  </si>
  <si>
    <t>Blondie Womens Green Micro Mini Fit + Flare Party Dress Juniors Size: 5</t>
  </si>
  <si>
    <t>Blondie Nites Womens Juniors Glitter Halter Fit &amp; Flare Dress Black 9</t>
  </si>
  <si>
    <t>I-N-C Womens Solid Pullover Blouse, Red, Small</t>
  </si>
  <si>
    <t>INC</t>
  </si>
  <si>
    <t>B. Darlin Womens Juniors Floral Print Belted Casual Dress Green 7/8</t>
  </si>
  <si>
    <t>BEE DARLIN' INC</t>
  </si>
  <si>
    <t>B Darlin Womens Blue Long Sleeve Short Body Con Party Dress Juniors Size: 1</t>
  </si>
  <si>
    <t>BEE DARLIN INC</t>
  </si>
  <si>
    <t>B Darlin Womens Black Glitter Long Sleeve Jewel Neck Short Body Con Party Dress Size 3</t>
  </si>
  <si>
    <t>B Darlin Womens Red Sequined Long Sleeve Jewel Neck Short Sheath Cocktail Dress Size XS</t>
  </si>
  <si>
    <t>B. Darlin Womens Juniors Sequined Long Sleeves Party Dress Red S</t>
  </si>
  <si>
    <t>B. Darlin Womens Juniors Sequined Long Sleeves Party Dress Red M</t>
  </si>
  <si>
    <t>B. Darlin Womens Juniors Sweetheart Neck Open Back Party Dress Navy 3/4</t>
  </si>
  <si>
    <t>B. Darlin Womens Juniors Sweetheart Neck Open Back Party Dress Navy 13/14</t>
  </si>
  <si>
    <t>B. Darlin Womens Juniors Floral Print Ruffle Skater Dress Blue 0</t>
  </si>
  <si>
    <t>Bee Darlin Women's Flutter Sleeve Ruffle Hem Dress with Allover Floral Print Royal Yellow</t>
  </si>
  <si>
    <t>B. Darlin Womens Juniors Scalloped Mini Cocktail and Party Dress Navy 5/6</t>
  </si>
  <si>
    <t>B. Darlin Womens Juniors Velvet Mini Cocktail and Party Dress Black 3/4</t>
  </si>
  <si>
    <t>Lauren Ralph Lauren Womens Perina Velvet Cold Shoulder Midi Dress Black 10</t>
  </si>
  <si>
    <t>Lauren Ralph Lauren Womens Perina Velvet Cold Shoulder Midi Dress Black 2</t>
  </si>
  <si>
    <t>LAUREN RALPH LAUREN Womens Retah Embellished Rufled Cocktail Dress Purple 8</t>
  </si>
  <si>
    <t>Ralph Lauren Lauren Women's Bow Detail Long Sleeve Surplice Dress, Black (6)</t>
  </si>
  <si>
    <t>Ralph Lauren Womens Gray Lace Zippered Floral Bell Sleeve Jewel Neck Knee Length Fit + Flare Cocktail Dress Size 2</t>
  </si>
  <si>
    <t>Ralph Lauren Lauren Women's Jacquard Drop Waist Dress, Cream/Navy (12)</t>
  </si>
  <si>
    <t>Lauren by Ralph Lauren Womens Sheath Dress Textured White 6</t>
  </si>
  <si>
    <t>B Darlin Womens Red Spaghetti Strap V Neck Mini Body Con Cocktail Dress Size 1</t>
  </si>
  <si>
    <t>B. Darlin Womens Juniors Strappy V-Neck Party Dress Red 3/4</t>
  </si>
  <si>
    <t>B Darlin Womens Red Spaghetti Strap V Neck Mini Body Con Cocktail Dress Size 13</t>
  </si>
  <si>
    <t>Bee Darlin Women's Sleevelss Short Sheath Bodycon Dress with Glitter Black Silver</t>
  </si>
  <si>
    <t>28 SKU-32 units</t>
  </si>
  <si>
    <t>FBA16JN4GSB6/1ZW5124W0324122015</t>
  </si>
  <si>
    <t>Jessica Simpson Women's Standard V Neck One Piece Swimsuit Bathing Suit, Lilac Palm Print, M</t>
  </si>
  <si>
    <t>JESSICA SIMPSON/AMEREX GROUP INC</t>
  </si>
  <si>
    <t>Theory Women's Kamillina Nz Dress, Multi, 16</t>
  </si>
  <si>
    <t>2 SKU-2 units</t>
  </si>
  <si>
    <t>FBA16JN4FV3D/1ZW5124W0370554196</t>
  </si>
  <si>
    <t>AMY</t>
  </si>
  <si>
    <t>Box #LC18301-B.darlin   - Brandon Harris        - Collective Styles (SFBA)</t>
  </si>
  <si>
    <t>2 Shipment      30/30 = 100%</t>
  </si>
  <si>
    <t>Calvin Klein Women's Solid Sleeveless Sheath with Ruffle Collar Dress, Black 2, 8 Petite</t>
  </si>
  <si>
    <t>CALVIN KLEIN/G-III APPAREL GROUP</t>
  </si>
  <si>
    <t>MF18850</t>
  </si>
  <si>
    <t>Trina Turk Women's Corded Neckline Shirt, Faye Fuchsia, Large</t>
  </si>
  <si>
    <t>TRINA TURK/L2T INC</t>
  </si>
  <si>
    <t>Trina Turk Women's Funnel Neck Dress, Black/Winter White, 8</t>
  </si>
  <si>
    <t>Trina Turk Women's Folded Neck top, Mcagraw Magenta, Extra Small</t>
  </si>
  <si>
    <t>Calvin Klein Women's Wide Neck Sheath Dress with ¾ Tulip Sleeve, Black, 10</t>
  </si>
  <si>
    <t>Calvin Klein Womens Ruffled Long Evening Dress Purple 6</t>
  </si>
  <si>
    <t>CALVIN KLEIN</t>
  </si>
  <si>
    <t>Calvin Klein Womens Silver Sequined Slitted Sleeveless V Neck Full-Length Empire Waist Formal Dress Size 6</t>
  </si>
  <si>
    <t>Calvin Klein Women's Solid Three Quarter Split Sleeved Sheath, Ultra Aubergine, 8</t>
  </si>
  <si>
    <t>Calvin Klein Women's Solid Three Quarter Split Sleeved Sheath, Ultra Aubergine, 4</t>
  </si>
  <si>
    <t>Calvin Klein Women's Plus Size A-Line Dress, Black/Cream, 14W</t>
  </si>
  <si>
    <t>Calvin Klein</t>
  </si>
  <si>
    <t>Calvin Klein Women's Sleeveless V-Neck Princess Seamed Sheath, Serene/White, 4 Petite</t>
  </si>
  <si>
    <t>Calvin Klein Women's Plus Size Chiffon Fly Front Shrug, Black Solid, 2X</t>
  </si>
  <si>
    <t>Calvin Klein Women's One Shoulder Solid Sheath Dress, Ultramarine, 16</t>
  </si>
  <si>
    <t>Calvin Klein Women's Sleeveless Sheath with Asymmetrical Neckline Dress, Black 2, 10</t>
  </si>
  <si>
    <t>Calvin Klein Women's Sleeveless Sheath with Asymmetrical Neckline Dress, Black 2, 6</t>
  </si>
  <si>
    <t>Calvin Klein Women's Sleeveless Floral Embroidered Fit and Flare Dress, Ultramarine/Black, 12</t>
  </si>
  <si>
    <t>Calvin Klein Women's Sleeveless Floral Embroidered Fit and Flare Dress, Ultramarine/Black, 10</t>
  </si>
  <si>
    <t>Calvin Klein Women's Sleeveless Floral Embroidered Fit and Flare Dress, Ultramarine/Black, 2</t>
  </si>
  <si>
    <t>Calvin Klein Women's Embellished Sleeved Sheath with Puff Shoulder, Black, 2</t>
  </si>
  <si>
    <t>Calvin Klein Women's Three Quarter Sleeved Sheath with Side Embellishment, Black, 2</t>
  </si>
  <si>
    <t>Calvin Klein Women's Round Neck Sheath with Tiered Chiffon Sleeves, Black, 4</t>
  </si>
  <si>
    <t>Calvin Klein Women's Long Sleeve V-Neck Sheath with Ruffle -skirt Detail, Black Multi, 4</t>
  </si>
  <si>
    <t>Calvin Klein Women's Seamed Off The Shoulder Dress, Sapphire Velvet, 12</t>
  </si>
  <si>
    <t>Calvin Klein Women's Solid Shrug with Faux faux fur Trim, black, X-Large</t>
  </si>
  <si>
    <t>24SKU -24UNITS</t>
  </si>
  <si>
    <t>FBA16JMYHB4P/1ZW5124W0332200068</t>
  </si>
  <si>
    <t>Trina Turk Women's Pleat Back Dress, Trina Pink, 0</t>
  </si>
  <si>
    <t>Trina Turk Women's Pleat Back Dress, Trina Pink, 8</t>
  </si>
  <si>
    <t>Calvin Klein Women's Ruffle Off-The-Shoulder Cocktail Dress, Black, 14</t>
  </si>
  <si>
    <t>3SKU -3UNITS</t>
  </si>
  <si>
    <t>FBA16JN3TDLZ/1ZW5124W0302489242</t>
  </si>
  <si>
    <t>Box #MF18850- Calvin Klein -  - Brandon Harris        - Collective Styles (SFBA)</t>
  </si>
  <si>
    <t>KAREN</t>
  </si>
  <si>
    <t>2SHIPMENTS    27/27=100%</t>
  </si>
  <si>
    <t>DKNY Womens Formal Short Sheath Dress Navy 12</t>
  </si>
  <si>
    <t>DKNY/G-III APPAREL GROUP</t>
  </si>
  <si>
    <t>MF18851</t>
  </si>
  <si>
    <t>DKNY Womens Formal Short Sheath Dress Navy 8</t>
  </si>
  <si>
    <t>DKNY Womens Formal Short Sheath Dress Navy 4</t>
  </si>
  <si>
    <t>DKNY Womens Surplice Mini Wrap Dress Black 6</t>
  </si>
  <si>
    <t>DKNY Womens Velvet Cocktail Wrap Dress Purple 14</t>
  </si>
  <si>
    <t>DKNY Womens Velvet Cocktail Wrap Dress Purple 8</t>
  </si>
  <si>
    <t>DKNY Womens Velvet Flutter Sleeve Jumpsuit Black 14</t>
  </si>
  <si>
    <t>DKNY Womens Georgette Ribbed Layering Cardigan Top Ivory M</t>
  </si>
  <si>
    <t>DKNY Womens Faux Wrap Polyester Midi Dress Blue 16</t>
  </si>
  <si>
    <t>DKNY Womens Navy Patterned Cap Sleeve Maxi Fit + Flare Evening Dress Size: 8</t>
  </si>
  <si>
    <t>DKNY Womens Dresses White Sheath Fit N Flare Contrast Black 16</t>
  </si>
  <si>
    <t>DKNY</t>
  </si>
  <si>
    <t>DKNY Women's Faux Wrap Dress, Scarlet, 8</t>
  </si>
  <si>
    <t>DKNY Womens Black Ruffled Bell Sleeve Crew Neck Above The Knee Evening Fit + Flare Dress 14</t>
  </si>
  <si>
    <t>DKNY Women's Button Front Sheath, Black, 2</t>
  </si>
  <si>
    <t>DKNY Women's L/S V-Neck Side Ruche Velvet Sheath, Scarlet, 16</t>
  </si>
  <si>
    <t>DKNY Womens Lace Wide Leg Jumpsuit Black 14</t>
  </si>
  <si>
    <t>DKNY Women's Tie Neck Dress, Black Long Sleeve, 6</t>
  </si>
  <si>
    <t>DKNY Women's Tie Neck Dress, Black Long Sleeve, 4</t>
  </si>
  <si>
    <t>DKNY Women's Tie Neck Dress, Black Long Sleeve, 2</t>
  </si>
  <si>
    <t>DKNY Womens Polka Dot Ruffled Party Dress Navy 12</t>
  </si>
  <si>
    <t>20 SKU's -  20 UNITS</t>
  </si>
  <si>
    <t>FBA16JN5LMM7/1ZW5124W0339804457</t>
  </si>
  <si>
    <t>Dkny Puff-Sleeve Fit &amp; Flare Dress</t>
  </si>
  <si>
    <t>can't create</t>
  </si>
  <si>
    <t>Box #MF18851-DKNY - Cody Krueger	- ECOM EXPERTS LLC (SFBA)</t>
  </si>
  <si>
    <t>Cody Krueger</t>
  </si>
  <si>
    <t>ECOM EXPERTS LLC (SFBA)</t>
  </si>
  <si>
    <t>1 SHIPMENT (20/21= 95%)</t>
  </si>
  <si>
    <t>Tommy Hilfiger Women's Scuba Crepe-Top Stitch Shortsleeve Sheath, Black, 16</t>
  </si>
  <si>
    <t>TOMMY HILFIGER/G-III APPAREL GROUP</t>
  </si>
  <si>
    <t>MF18852</t>
  </si>
  <si>
    <t>Tommy Hilfiger Women's Printed Chiffon Jump Suit, Sky Captain/Bloom, 8</t>
  </si>
  <si>
    <t>Tommy Hilfiger Women's Cotton Shirt Dress, Dark Blue Multi, 14</t>
  </si>
  <si>
    <t>Tommy Hilfiger</t>
  </si>
  <si>
    <t>Tommy Hilfiger Womens Pink Solid Sleeveless V Neck Below The Knee Fit + Flare Dress Size 14</t>
  </si>
  <si>
    <t>Tommy Hilfiger Womens Midi Metallic Sheath Dress Black 18</t>
  </si>
  <si>
    <t>Tommy Hilfiger Women's Trapeze Dress, Fuchsia, 12</t>
  </si>
  <si>
    <t>Tommy Hilfiger Women's Trapeze Dress, Fuchsia, 2</t>
  </si>
  <si>
    <t>Tommy Hilfiger Metallic Jumpsuit Sky Captain/Silver 4</t>
  </si>
  <si>
    <t>Tommy Hilfiger Womens Open Front Layering Shrug Sweater Red L</t>
  </si>
  <si>
    <t>Tommy Hilfiger Womens Leopard Scuba Sheath Dress Brown 14</t>
  </si>
  <si>
    <t>Tommy Hilfiger Women's Button Sleeve Jersey Dress, Black/Ivory, 4</t>
  </si>
  <si>
    <t>Tommy Hilfiger Women's Button Sleeve Shrug, Black 1, X-Large</t>
  </si>
  <si>
    <t>Tommy Hilfiger Womens Logo Basic T-Shirt, Red, XX-Large</t>
  </si>
  <si>
    <t>Tommy Hilfiger Women's Long Sleeve Collared Button Front Top, Ivory Cream, L</t>
  </si>
  <si>
    <t>Tommy Hilfiger Womens Almeria Floral Calf Midi Dress Black 2</t>
  </si>
  <si>
    <t>Tommy Hilfiger Womens Black Sleeveless Short Fit + Flare Dress Size: 16</t>
  </si>
  <si>
    <t>Tommy Hilfiger Women's Trapeze Dress, Cypress, 2</t>
  </si>
  <si>
    <t>DKNY Womens Hi-Low Midi Wrap Dress Red 8</t>
  </si>
  <si>
    <t>18  SKU = 18 UNITS</t>
  </si>
  <si>
    <t>FBA16JN10GBF/1ZW5124W0354613447</t>
  </si>
  <si>
    <t>GUESS Embroidered Lace Sheath Dress Black 10</t>
  </si>
  <si>
    <t>GUESS/G-III APPAREL GROUP</t>
  </si>
  <si>
    <t>GUESS Metallic Side-Twist Dress TealSilver 4</t>
  </si>
  <si>
    <t>Tommy Hilfiger Petite Burnout Floral-Print Ch Sky Captain Multi 4P</t>
  </si>
  <si>
    <t>Box #MF18852-Tommy - Marcus Apodaca -	MediaNow23 (SFBA)</t>
  </si>
  <si>
    <t>Marcus Apodaca</t>
  </si>
  <si>
    <t>MediaNow23 (SFBA)</t>
  </si>
  <si>
    <t>1 SHIPMENT 18/21=86%</t>
  </si>
  <si>
    <t>Xscape Women's Sequined Hooded Neck Cap Sleeve Sheath Dress, Grey, 16</t>
  </si>
  <si>
    <t>GR18238</t>
  </si>
  <si>
    <t>MSK Womens Teal Embellished Cut Out Wide Leg Cocktail Pants Plus Size: 2X</t>
  </si>
  <si>
    <t>JBS DRESSES LLC</t>
  </si>
  <si>
    <t>Free People Clarity Ringer Moss MD</t>
  </si>
  <si>
    <t>Free People Intimately Fp Camila Bandeau Bralette Vintage Rose XS</t>
  </si>
  <si>
    <t>FREE PEOPLE</t>
  </si>
  <si>
    <t>Eileen Fisher Women’s Viscose Jersey Crew Neck Dress in Black (XX-Small)</t>
  </si>
  <si>
    <t>EILEEN FISHER</t>
  </si>
  <si>
    <t>Joe's Jeans Women's Charlie High Rise Coated Skinny Ankle Jean, Black, 30</t>
  </si>
  <si>
    <t>JOE'S JEANS/CENTRIC WEST LLC</t>
  </si>
  <si>
    <t>Free People First Call Bodysuit Bergamont Tea S</t>
  </si>
  <si>
    <t>Free People Joni Maxi Cotton T-Shirt Yellow S</t>
  </si>
  <si>
    <t>Free People Women's Fake Out Faux Wrap Skirt, Black, 6</t>
  </si>
  <si>
    <t>Free People</t>
  </si>
  <si>
    <t>Free People Brookside Dolman-Sleeve Tunic Alpine Rose L</t>
  </si>
  <si>
    <t>1.STATE V-Neck Coated-Sleeve Top Rich Black XL</t>
  </si>
  <si>
    <t>1 STATE/BERNARD CHAUS INC</t>
  </si>
  <si>
    <t>BCX Womens Ivory Long Sleeve Jewel Neck Above The Knee Sheath Dress Size: XXS</t>
  </si>
  <si>
    <t>BCX/BYER CALIFORNIA</t>
  </si>
  <si>
    <t>Silver Jeans Co. Elyse Skinny Jeans Indigo 29R</t>
  </si>
  <si>
    <t>SILVER JEANS/WESTERN GLOVE WORK</t>
  </si>
  <si>
    <t>Silver Jeans Co. Suki Cuffed Capri Jeans Indigo 28</t>
  </si>
  <si>
    <t>Silver Jeans Co. Elyse Mid-Rise Ripped Skinny J Indigo 31S</t>
  </si>
  <si>
    <t>Silver Jeans Co. Slim-Leg Boyfriend Jeans Indigo 27</t>
  </si>
  <si>
    <t>City Studio A-Line Dress Bright Junior's High-Neck Illusion White 7</t>
  </si>
  <si>
    <t>City Studio Womens Beige Sleeveless Sweetheart Neckline Short Tulip Cocktail Dress Size 3</t>
  </si>
  <si>
    <t>City Studio Dress Junior Sheath Floral-Print Ladder-Trim Black 1</t>
  </si>
  <si>
    <t>Bar III Womens Asymmetrical Tiered Romper Black M</t>
  </si>
  <si>
    <t>BAR III-MMG</t>
  </si>
  <si>
    <t>Alfani Womens White Lace Long Sleeve Open Cardigan Sweater Size L</t>
  </si>
  <si>
    <t>ALFANI-EDI</t>
  </si>
  <si>
    <t>Bar III Puff-Shoulder Denim Jumpsuit Indigo 10</t>
  </si>
  <si>
    <t>Alfani Pleated Midi Skirt Fresh Sprout L</t>
  </si>
  <si>
    <t>Alfani Striped Twist-Neck Top Black White Stripe XL</t>
  </si>
  <si>
    <t>Alfani Turtleneck Sweater Hazelnut Heather XL</t>
  </si>
  <si>
    <t>INC International Concepts Ruffled-Shoulder Sweater Real Red M</t>
  </si>
  <si>
    <t>INC International Concepts Cutout-Back Sweatshirt Navy M</t>
  </si>
  <si>
    <t>Alfani Printed Swing Top Blue Bold Leaf L</t>
  </si>
  <si>
    <t>Alfani Open-Front Cardigan Blue Glass M</t>
  </si>
  <si>
    <t>Alfani Gathered-Crewneck Contrast-Tri Black White Combo S</t>
  </si>
  <si>
    <t>Alfani Balloon-Sleeve Top Aqua Waves S</t>
  </si>
  <si>
    <t>Alfani Balloon-Sleeve Top Aqua Waves L</t>
  </si>
  <si>
    <t>ALFANI PRINTED TIE-FRONT TOP BLACK WHITE BLOOM L</t>
  </si>
  <si>
    <t>ALFANI</t>
  </si>
  <si>
    <t>Alfani Printed Tie-Front Top Blue Bloom Outline L</t>
  </si>
  <si>
    <t>Alfani Printed Tie-Front Top Blue Bloom Outline XL</t>
  </si>
  <si>
    <t>Speechless Womens Green Lace Zippered Zippered Sleeveless Jewel Neck Short Fit + Flare Dress Juniors M</t>
  </si>
  <si>
    <t>SPEECHLESS</t>
  </si>
  <si>
    <t>Speechless Womens Juniors Lace Top Mini Fit &amp; Flare Dress Navy 7</t>
  </si>
  <si>
    <t>SLNY SL Fashions Women's Printed Tie-Waist Maxi Dress (16, Black Multi)</t>
  </si>
  <si>
    <t>SALLY LOU FASHIONS/S L FASHIONS</t>
  </si>
  <si>
    <t>Connected Petite Soutache Wrap Dress, Amethyst Purple/Gold 8P</t>
  </si>
  <si>
    <t>ROBBIE BEE Plus Size Satin Trapeze Dress- Hunter 20W Greens</t>
  </si>
  <si>
    <t>ROBBIE BEE/ZG APPAREL GROUP LLC</t>
  </si>
  <si>
    <t>40 SKU-42 units</t>
  </si>
  <si>
    <t>FBA16JN6L8NV/1ZW5124W0388243506</t>
  </si>
  <si>
    <t>LAUREN RALPH LAUREN Dobby Fit-and-Flare Dress Parlor Red 16</t>
  </si>
  <si>
    <t>1 SKU-1 unit</t>
  </si>
  <si>
    <t>FBA16JN4NTBM/1ZW5124W0333502436</t>
  </si>
  <si>
    <t>Ralph Lauren Womens Black Solid Long Sleeve V Neck Tea-Length Trapeze Formal Dress Size 10</t>
  </si>
  <si>
    <t>Ralph Lauren Womens Black Solid Long Sleeve V Neck Tea-Length Trapeze Formal Dress Size 6</t>
  </si>
  <si>
    <t>LAUREN RALPH LAUREN FLORAL PLEATED JERSEY DRESS BLACKRED 14</t>
  </si>
  <si>
    <t>Crystal Dolls Womens Green Sleeveless Halter Tea-Length Hi-Lo Cocktail Dress Size 1</t>
  </si>
  <si>
    <t>CRYSTAL DOLL/K&amp;K CLOTHING LLC</t>
  </si>
  <si>
    <t>not found in inventory</t>
  </si>
  <si>
    <t>Box #GR18238-Unrestricted - Dimitri Handal -	Sportaro  / Dasca</t>
  </si>
  <si>
    <t>Dimitri Handal</t>
  </si>
  <si>
    <t>Sportaro  / Dasca</t>
  </si>
  <si>
    <t>2 shipments  41/45=91%</t>
  </si>
  <si>
    <t>Free People Rumors Denim Jacket Ivory MD (Women's 8-10)</t>
  </si>
  <si>
    <t>GR18239</t>
  </si>
  <si>
    <t>HUDSON Jeans Holly High-Rise Cropped Bootcut Jeans in Planetoid Planetoid 28 26</t>
  </si>
  <si>
    <t>HUDSON CLOTHING INC/SAYMEE K INC</t>
  </si>
  <si>
    <t>Free People Night Shimmer Mini Dress Red 0</t>
  </si>
  <si>
    <t>Free People Looking Forward Crop Top, Size Medium - Black</t>
  </si>
  <si>
    <t>Joe's Jeans Women's Charlie High Rise Skinny Ankle Jean, Black Snake Print, 28</t>
  </si>
  <si>
    <t>Joe's Jeans Icon Plaid Skinny Jeans, Cavendish Plaid, 24</t>
  </si>
  <si>
    <t>Free People Bright Lights Sweater Adriatic Sea S Turquoise</t>
  </si>
  <si>
    <t>Free People Peek Aye Bodysuit Black Sz S</t>
  </si>
  <si>
    <t>Free People Womens Black Bodysuit Size: M</t>
  </si>
  <si>
    <t>Free People Matilda Bodysuit Willow Combo S</t>
  </si>
  <si>
    <t>Free People Andi Square Neck White MD/LG (US Women's 8-14)</t>
  </si>
  <si>
    <t>Free People Womens Black Floral Short Sleeve Scoop Neck Top S</t>
  </si>
  <si>
    <t>Free People Madagascar Tank Indigo Combo XS</t>
  </si>
  <si>
    <t>We The Free Womens Yellow Striped Sleeveless Scoop Neck Mini Shift Dress S</t>
  </si>
  <si>
    <t>Free People Joni Long Knit Tank Top Citrus Sunset Combo XL</t>
  </si>
  <si>
    <t>Free People Girlfriend Top, Black Combo, X-Small</t>
  </si>
  <si>
    <t>Free People in The Mix Jacquard Cuff Top Black L</t>
  </si>
  <si>
    <t>Free People Womens Green Cargo Pants Size XS</t>
  </si>
  <si>
    <t>BCX Juniors' Floral-Print Flounce Dress (15, Black/Red/Green)</t>
  </si>
  <si>
    <t>Morgan &amp; Co. Womens Juniors Illusion Mesh Inset Evening Dress Purple 5/6</t>
  </si>
  <si>
    <t>MORGAN &amp; CO/R &amp; M RICHARDS INC</t>
  </si>
  <si>
    <t>INC Womens Black Sleeveless V Neck Top Size M</t>
  </si>
  <si>
    <t>INC V-Neck Tank Top (Bright White, M)</t>
  </si>
  <si>
    <t>INC Womens White Sleeveless V Neck Top Size L</t>
  </si>
  <si>
    <t>Alfani Womens Blue Solid Short Sleeve V Neck Top Size L</t>
  </si>
  <si>
    <t>BAR III Womens Black Cuffed V Neck Sweater Size S</t>
  </si>
  <si>
    <t>Alfani Womens Black 3/4 Sleeve Jewel Neck Top Size XL</t>
  </si>
  <si>
    <t>BAR III Womens Purple Textured Knit Pouf Crop Top Sweater Size: M</t>
  </si>
  <si>
    <t>BAR III Womens Black Long Sleeve V Neck Sweater Size S</t>
  </si>
  <si>
    <t>Alfani Women's Sweater Bright Large Open-Front Cardigan White L</t>
  </si>
  <si>
    <t>INC Womens Gray Ruffled Sweatshirt Size XS</t>
  </si>
  <si>
    <t>ALFANI Womens Light Blue Printed Jewel Neck Trapeze Top Size S</t>
  </si>
  <si>
    <t>Alfani Womens Beige Tea-Length Evening Accordion Pleat Skirt S</t>
  </si>
  <si>
    <t>Alfani Womens Beige Tea-Length Evening Accordion Pleat Skirt XL</t>
  </si>
  <si>
    <t>Alfani Womens Green Sheer Floral 3/4 Sleeve Boat Neck Top Size S</t>
  </si>
  <si>
    <t>ALFANI Womens Brown Faux Suede Jacket S</t>
  </si>
  <si>
    <t>Alfani Womens Light Blue Pouf Boat Neck Top Size L</t>
  </si>
  <si>
    <t>Alfani Womens Light Blue Long Sleeve Boat Neck Top Size L</t>
  </si>
  <si>
    <t>Alfani Womens Yellow Long Sleeve Open Cardigan Sweater Size: M</t>
  </si>
  <si>
    <t>Alfani Womens Coral Short Sleeve Scoop Neck T-Shirt Top Size M</t>
  </si>
  <si>
    <t>Betsy &amp; Adam Womens Off-The-Shoulder Satin Evening Dress Blue 6</t>
  </si>
  <si>
    <t>BETSY &amp; ADAM</t>
  </si>
  <si>
    <t>Emerald Sundae Honey and Rosie Womens Juniors Lace Back Mini Bodycon Dress Blue L</t>
  </si>
  <si>
    <t>EMERALD SUNDAE/WILD HORSES APPAREL</t>
  </si>
  <si>
    <t>42 SKU-43 units</t>
  </si>
  <si>
    <t>FBA16JNJ2TZT</t>
  </si>
  <si>
    <t>Le Suit Women's Petite 1 Button Peak Lapel Novelty Pinstripe Pant Suit, Black/Imperial Blue, 6P</t>
  </si>
  <si>
    <t>LE SUIT/KASPER GROUP LLC</t>
  </si>
  <si>
    <t>S.L. Fashions Women's Long Sequin Dress with Capelet, Bead FIG, 14</t>
  </si>
  <si>
    <t>Free People Women's Be Yours Pullover (Medium, Sweet Cranberry)</t>
  </si>
  <si>
    <t>Free People Riptide V-Neck Sweater Neutral XS (Women's 0-2)</t>
  </si>
  <si>
    <t>4 SKU-4 units</t>
  </si>
  <si>
    <t>FBA16JNH9HF6</t>
  </si>
  <si>
    <t>ANKLE SKINNY</t>
  </si>
  <si>
    <t>JEN 7/SEVEN FOR ALL MANKIND</t>
  </si>
  <si>
    <t xml:space="preserve">Not available </t>
  </si>
  <si>
    <t>VEEH</t>
  </si>
  <si>
    <t>Box #GR18239-unrestricted  - Dimitri Handal -        Sportaro  / Dasca</t>
  </si>
  <si>
    <t>2 Shipment   46/48= 96%</t>
  </si>
  <si>
    <t>Sanctuary Women's Misses Social Standard High Rise Skinny Ankle, Sunshine Stripe Canvas, 29</t>
  </si>
  <si>
    <t>GR18240</t>
  </si>
  <si>
    <t>Free People Seamless Mini Slip Ivory XS/SM (Women's 0-6)</t>
  </si>
  <si>
    <t>HUDSON Jeans Women's Barbara High Rise, Cropped, Straight Leg Jean, Lights on, 28</t>
  </si>
  <si>
    <t>HUDSON CLOTHING LLC - CONSIGNMENT</t>
  </si>
  <si>
    <t>HUDSON Jeans Women Remi High Rise, Cropped, Straight Leg Jean, Nostalgic, 30</t>
  </si>
  <si>
    <t>Free People Womens Colorblock Knit Mock Sweater Orange M</t>
  </si>
  <si>
    <t>Free People Womens Looking Foward Cropped Printed T-Shirt Blue S</t>
  </si>
  <si>
    <t>Joe's Jeans Women's Charlie High Rise Coated Skinny Ankle Jean, Autumn Sage, 28</t>
  </si>
  <si>
    <t>Joe's Jeans The Charlie Ankle Coated Jeans Siren 27</t>
  </si>
  <si>
    <t>Joe's Jeans Women's The Lara Mid Rise Cigarette, Scandal, 31</t>
  </si>
  <si>
    <t>Peek Aye Bodysuit, Black, X-Small</t>
  </si>
  <si>
    <t>Free People Women's Matilda Bodysuit Green XL</t>
  </si>
  <si>
    <t>Free People Peek Aye Henley Bodysuit Sunlight XS</t>
  </si>
  <si>
    <t>FREE PEOPLE Womens Red Long Sleeve V Neck Sweater L</t>
  </si>
  <si>
    <t>Free People Womens Black Crop Top Top Size L</t>
  </si>
  <si>
    <t>Free People Women's Kelly Washed Set, Pink Combo, S</t>
  </si>
  <si>
    <t>Free People Alpine Acrylic/Wool/Alpaca Onyx Combo Pullover Size XL</t>
  </si>
  <si>
    <t>Free People Women’s Honey Cable Knit Pullover Sweater Honeycomb Combo X-Small</t>
  </si>
  <si>
    <t>Free People Womens Red Cropped Pants Size 6</t>
  </si>
  <si>
    <t>Free People Holding onto A Dream Coated Denim Miniskirt, Black, 0</t>
  </si>
  <si>
    <t>FREE PEOPLE Womens White Mock Neck Printed Long Sleeve Sweater Size: S</t>
  </si>
  <si>
    <t>INC Womens Dolman Sleeves Mixed Media Blouse Black M</t>
  </si>
  <si>
    <t>BCX Womens Burgundy Long Sleeve Jewel Neck Above The Knee Fit + Flare Dress Size XXL</t>
  </si>
  <si>
    <t>BCX Womens Black Zippered Floral Sleeveless Halter Mini Fit + Flare Dress Size 13</t>
  </si>
  <si>
    <t>INC Womens High Rise Daytime Carpenter, Utility Shorts Deep Black Size 8</t>
  </si>
  <si>
    <t>INC-EDI/DFA</t>
  </si>
  <si>
    <t>INC Women's Sweater Medium Cold Shoulder Fringe Pullover Black M</t>
  </si>
  <si>
    <t>INC Womens Red Tie Dye Long Sleeve Jewel Neck Sweater Size M</t>
  </si>
  <si>
    <t>Alfani Womens Blue Pouf Boat Neck Top Size XL</t>
  </si>
  <si>
    <t>Style &amp; Co. Womens Black Wash Comfort Waist Skinny Jeans Black 16</t>
  </si>
  <si>
    <t>STYLE &amp; CO-EDI/JONES DENIM GROUP</t>
  </si>
  <si>
    <t>28SKU -30UNITS</t>
  </si>
  <si>
    <t>FBA16JN4CZNR/1ZW5124W0358947115</t>
  </si>
  <si>
    <t>Eileen Fisher Women's Blouse Deep Small Velvet Knit Top Black S</t>
  </si>
  <si>
    <t>Free People Women's Be Yours Pullover, Sweet Cranberry, S</t>
  </si>
  <si>
    <t>3SKU -4UNITS</t>
  </si>
  <si>
    <t>FBA16JN2ZKYZ/1ZW5124W0380919265</t>
  </si>
  <si>
    <t>ALEXIE 2TONE</t>
  </si>
  <si>
    <t>RALPH LAUREN/POLO RALPH LAUREN</t>
  </si>
  <si>
    <t>VLADRIANA-SWEATER</t>
  </si>
  <si>
    <t>can't create new listing</t>
  </si>
  <si>
    <t>Box #GR18240-unrestricted  - Dimitri Handal -        Sportaro  / Dasca</t>
  </si>
  <si>
    <t>2SHIPMENTS    31/33=94%</t>
  </si>
  <si>
    <t>Sanctuary Women's Uplift Pull On Legging Ankle with Built in Shaper Tech, Jet, 30</t>
  </si>
  <si>
    <t>GR18241</t>
  </si>
  <si>
    <t>Free People Women's Rumors Denim Jacket, Light Indigo, Blue, S</t>
  </si>
  <si>
    <t>Ultra Flirt Juniors' Ribbed Twist-Front Dress, Baked Apple XL Reds</t>
  </si>
  <si>
    <t>ULTRAFLIRT BY IKEDDI/IKEDDI ENTERPR</t>
  </si>
  <si>
    <t>Ultra Flirt Womens Black Lace Belted Zippered Sleeveless Halter Wide Leg Party Jumpsuit Size XS</t>
  </si>
  <si>
    <t>Betsey Johnson Womens Light Blue Sleeveless Full-Length Formal Dress Juniors 12</t>
  </si>
  <si>
    <t>Free People Clarity Ringer Carbon SM</t>
  </si>
  <si>
    <t>Joe's Jeans Women's Misses Icon Mid-Rise Skinny Crop, Indigo Reissue, 26</t>
  </si>
  <si>
    <t>Joe's Jeans The Charlie Ankle Coated Jeans Siren 25</t>
  </si>
  <si>
    <t>Joe's Jeans The Charlie Ankle Coated Jeans Siren 30</t>
  </si>
  <si>
    <t>Free People Women's Brookside Tunic, Ivory, White, M</t>
  </si>
  <si>
    <t>Free People Violet Visions Romper Violet Visions Combo XL</t>
  </si>
  <si>
    <t>Free People Snowy Thermal Sunstone SM</t>
  </si>
  <si>
    <t>BCX Womens Blue Sleeveless Asymmetrical Neckline Short Sheath Dress Size L</t>
  </si>
  <si>
    <t>Teeze Me Womens Black Zippered Sleeveless V Neck Short Sheath Cocktail Dress Size 3</t>
  </si>
  <si>
    <t>TEEZE ME/CHOON INC (179/256)</t>
  </si>
  <si>
    <t>Jessica Howard Womens Blue Belted Zippered Color Block Short Sleeve Jewel Neck Knee Length Sheath Wear to Work Dress Size 8</t>
  </si>
  <si>
    <t>JESSICA HOWARD</t>
  </si>
  <si>
    <t>NW Nightway Womens Halter Sequin Formal Dress Blue 6</t>
  </si>
  <si>
    <t>NIGHT WAY/R &amp; M RICHARDS INC</t>
  </si>
  <si>
    <t>NW Nightway Womens Halter Sequin Formal Dress Blue 8</t>
  </si>
  <si>
    <t>NIGHTWAY</t>
  </si>
  <si>
    <t>Nightway Womens Blue Lace Solid Sleeveless Halter Full-Length Fit + Flare Evening Dress Size 12</t>
  </si>
  <si>
    <t>City Triangles Womens Navy Sleeveless Full-Length A-Line Formal Dress Juniors 7</t>
  </si>
  <si>
    <t>City Studio Juniors' Lace Top &amp; Long Floral Skirt- Navy Size 9</t>
  </si>
  <si>
    <t>City Studios Juniors Allover-Floral Gown IvoryWine 1</t>
  </si>
  <si>
    <t>ANML FUNNL NCK SNIT</t>
  </si>
  <si>
    <t>SOLID SHORT</t>
  </si>
  <si>
    <t>Alfani Notched Collar Open-Front Jack Lightest Lilac 2XL</t>
  </si>
  <si>
    <t>Alfani Open-Front Cardigan Marigold Petal M</t>
  </si>
  <si>
    <t>SCUBA LACE BACK</t>
  </si>
  <si>
    <t>MY MICHELLE</t>
  </si>
  <si>
    <t>LONG CLMN SEQ LACE DRESS</t>
  </si>
  <si>
    <t>SALLY LOU FASHIONS</t>
  </si>
  <si>
    <t>3/4 SLEEVE ROUCHE W/SEQU</t>
  </si>
  <si>
    <t>R M RICHARDS PLUS-SIZE EMBELLISHED DRESS TAUPE 16W</t>
  </si>
  <si>
    <t>WRP FRNT OTTM DRSS</t>
  </si>
  <si>
    <t>30 SKU's -  30 UNITS</t>
  </si>
  <si>
    <t>FBA16JN5264P/1ZW5124W0318518430</t>
  </si>
  <si>
    <t>Eileen Fisher Black Wool Blend Hooded Long Cardigan Size S/M MSRP $398</t>
  </si>
  <si>
    <t>1 SKU -  1 UNIT</t>
  </si>
  <si>
    <t>FBA16JN6JPCG/1ZW5124W0344840756</t>
  </si>
  <si>
    <t>Common Stitch Womens Green Sleeveless Square Neck Above The Knee Sheath Dress Size S</t>
  </si>
  <si>
    <t>Rosie Harlow Womens Blue Belted Short Sleeve V Neck Short Fit + Flare Dress Juniors S</t>
  </si>
  <si>
    <t>PLANET GOLD CLOTHING</t>
  </si>
  <si>
    <t>Box #GR18241-Unrestricted  - Dimitri Handal -	Sportaro  / Dasca</t>
  </si>
  <si>
    <t>2 SHIPMENTS (31/33= 94%)</t>
  </si>
  <si>
    <t>Ultra Flirt Juniors' Cinch-Skirt Dress (XS, Spruce Yellow)</t>
  </si>
  <si>
    <t>ULTRAFLIRT BY IKEDDI</t>
  </si>
  <si>
    <t>GR18242</t>
  </si>
  <si>
    <t>Xscape Womens Printed Floral Midi Dress Black 2</t>
  </si>
  <si>
    <t>XSCAPE EVENINGS LTD</t>
  </si>
  <si>
    <t>Xscape Womens Burgundy Zippered Cap Sleeve Cowl Neck Full-Length Sheath Evening Dress Size 18W</t>
  </si>
  <si>
    <t>X BY ESCAPE/XSCAPE EVENINGS LTD</t>
  </si>
  <si>
    <t>Xscape Womens Light Blue Zippered Solid Off Shoulder Full-Length Fit + Flare Evening Dress Size 14W</t>
  </si>
  <si>
    <t>Xscape Womens Plus Off-The-Shoulder Satin Evening Dress Blue 16W</t>
  </si>
  <si>
    <t>Planet Gold Womens Black Sleeveless Short Sheath Cocktail Dress Juniors XL</t>
  </si>
  <si>
    <t>HUDSON Jeans Women's Viper Denim, Mini Skirt, Planetoid, 29</t>
  </si>
  <si>
    <t>Free People Women's Baggy BF Overalls, Duchess Blue, 27</t>
  </si>
  <si>
    <t>Teeze Me Womens Plaid Mini Casual Dress Black 13</t>
  </si>
  <si>
    <t>TEEZE ME</t>
  </si>
  <si>
    <t>Teeze Me Womens Gold Glitter Zippered Sleeveless V Neck Mini Fit + Flare Cocktail Dress Size 5</t>
  </si>
  <si>
    <t>TEEZE ME/CHOON INC (227/256)</t>
  </si>
  <si>
    <t>Teeze Me Womens Gold Glitter Sleeveless V Neck Mini Fit + Flare Cocktail Dress Size 9</t>
  </si>
  <si>
    <t>Vince Camuto Womens Black Sequined Printed Short Sleeve Jewel Neck Mini Shift Cocktail Dress Size 8</t>
  </si>
  <si>
    <t>Vince Camuto</t>
  </si>
  <si>
    <t>Nightway Womens Black Cold Shoulder Slitted Velvet Keyhole Short Sleeve V Neck Maxi Evening Sheath Dress Plus 22W</t>
  </si>
  <si>
    <t>NIGHT WAY/R &amp; M RICHARDS</t>
  </si>
  <si>
    <t>City Studio Womens Juniors Lace Mini Two Piece Dress Black 11</t>
  </si>
  <si>
    <t>City Studio Womens Green Floral Spaghetti Strap V Neck Short Fit + Flare Dress Size 3</t>
  </si>
  <si>
    <t>City Studio Womens Juniors 2PC Skirt Top Set Blue 11</t>
  </si>
  <si>
    <t>City Studio Womens Juniors Spaghetti Strap Slit Evening Dress Black 7</t>
  </si>
  <si>
    <t>CITY TRIANGLES</t>
  </si>
  <si>
    <t>City Studio Womens Black Slitted Solid Spaghetti Strap V Neck Full-Length Empire Waist Formal Dress Size 11</t>
  </si>
  <si>
    <t>INC Womens Black Ruffled Printed Sweatshirt Size XL</t>
  </si>
  <si>
    <t>Alfani Womens Beige Slitted Zippered Midi Pencil Skirt Size: M</t>
  </si>
  <si>
    <t>My Michelle Womens Navy Sequined Sleeveless Halter Short Fit + Flare Party Dress Size 9</t>
  </si>
  <si>
    <t>MY MICHELLE/KELLWOOD CO</t>
  </si>
  <si>
    <t>Jessica Howard Womens Red Ruched Embellished Lace 3/4 Sleeve Jewel Neck Knee Length Cocktail Dress Size 20W</t>
  </si>
  <si>
    <t>Jessica Howard Womens Maroon Ruched Embellished Lace 3/4 Sleeve Jewel Neck Knee Length Cocktail Dress Size 14W</t>
  </si>
  <si>
    <t>Jessica Howard</t>
  </si>
  <si>
    <t>R&amp;M Richards Women's 2 PCE Lace Swing Jacket Dress, Mocha, 16</t>
  </si>
  <si>
    <t>R &amp; M Richards</t>
  </si>
  <si>
    <t>24  SKU = 26 UNITS</t>
  </si>
  <si>
    <t>FBA16JN6N561/1ZW5124W0308764602</t>
  </si>
  <si>
    <t>Free People Women's Easy Street Colorblock Sweater, Lime, Yellow, Tan, Large</t>
  </si>
  <si>
    <t>1  SKU = 1 UNIT</t>
  </si>
  <si>
    <t>FBA16JN6R1ZX/1ZW5124W0327584440</t>
  </si>
  <si>
    <t>ANDEE</t>
  </si>
  <si>
    <t>HI LOW SATIN LACE BACK</t>
  </si>
  <si>
    <t>CRYSTAL DOLL</t>
  </si>
  <si>
    <t>Box #GR18242-Unrestricted - Dimitri Handal -	Sportaro  / Dasca</t>
  </si>
  <si>
    <t>2 SHIPMENTS 25/27=93%</t>
  </si>
  <si>
    <t>Sanctuary Women's Misses Social Standard High Rise Skinny Ankle, Sunshine Stripe Canvas, 26</t>
  </si>
  <si>
    <t>GR18243</t>
  </si>
  <si>
    <t>Kasper Womens Blazer Perfection Star Collar Kiss Front Pink 14</t>
  </si>
  <si>
    <t>KASPER GROUP LLC</t>
  </si>
  <si>
    <t>Trixxi Womens Navy Sleeveless Short Body Con Cocktail Dress Juniors 1</t>
  </si>
  <si>
    <t>TRIXXI CLOTHING COMPANY INC</t>
  </si>
  <si>
    <t>X by Xscape Womens Illusion Double V Formal Dress Black 14</t>
  </si>
  <si>
    <t>28th &amp; Park Womens Burgundy Floral Short Sleeve V Neck Knee Length Tulip Evening Dress Size 6</t>
  </si>
  <si>
    <t>28TH &amp; PARK</t>
  </si>
  <si>
    <t>Betsey Johnson Womens Black Short Sleeve Fit + Flare Dress Plus 16W</t>
  </si>
  <si>
    <t>BETSEY JOHNSON</t>
  </si>
  <si>
    <t>Bleu Rod Beattie Women's Take A Dip Skirted Hipster Bikini Bottom Navy 12</t>
  </si>
  <si>
    <t>ROD BEATTIE BLEU/AMEREX GROUP</t>
  </si>
  <si>
    <t>HUDSON Women's Barbara High Rise, Super Skinny Ankle Jean, tan Python, 32</t>
  </si>
  <si>
    <t>HUDSON Jeans Women's Viper Denim, Mini Skirt, Remain, 29</t>
  </si>
  <si>
    <t>Eileen Fisher Womens Gray Open Cardigan Sweater Size M - All</t>
  </si>
  <si>
    <t>Eileen Fisher</t>
  </si>
  <si>
    <t>EILEEN FISHER Womens Purple Wool Blend</t>
  </si>
  <si>
    <t>Eileen Fisher Black Crushed Velvet Round Neck Box-TOP Size XL MSRP $298</t>
  </si>
  <si>
    <t>Eileen Fisher Womens Purple Long Sleeve Crew Neck Top XL</t>
  </si>
  <si>
    <t>Jessica Howard Plus Size Illusion-Trim Blouso Black 18W</t>
  </si>
  <si>
    <t>JESSICA HOWARD/G-III LEATHER FAS</t>
  </si>
  <si>
    <t>Blondie Womens Navy Embellished Spaghetti Strap Mini Fit + Flare Formal Dress Size 1</t>
  </si>
  <si>
    <t>BCX Womens Red Printed Long Sleeve Jewel Neck Short Sheath Dress Size XS</t>
  </si>
  <si>
    <t>Teeze Me Womens Navy Sequined Zippered Sleeveless Halter Above The Knee Fit + Flare Party Dress Size 5</t>
  </si>
  <si>
    <t>ALFANI Women's Solid Tummy Control Straight-leg Dress Pants</t>
  </si>
  <si>
    <t>Alfani Women's Straight-Leg Trousers (Deep Black, 12)</t>
  </si>
  <si>
    <t>INC Womens Black Skinny Pants 2</t>
  </si>
  <si>
    <t>Bar III Womens Asymmetrical Romper Jumpsuit, Black, X-Large</t>
  </si>
  <si>
    <t>I-N-C Womens Curvy Casual Bermuda Shorts, White, 18</t>
  </si>
  <si>
    <t>INC Womens Black Gathered Ruched Petal Sleeve Crew Neck Top M</t>
  </si>
  <si>
    <t>INC Womens White Lace Dotted Bell Sleeve V Neck Hi-Lo Dress Size: XL</t>
  </si>
  <si>
    <t>Inc International Concepts</t>
  </si>
  <si>
    <t>Alfani Womens Button Down Shirt Small Abstract-Print Top- White S</t>
  </si>
  <si>
    <t>INC INTERNATIONAL CONCEPTS RIBBED SQUARE-NECK T-SHIRT BLUE TURF M</t>
  </si>
  <si>
    <t>Alfani Womens White Jewel Neck Top Size L</t>
  </si>
  <si>
    <t>Alfani Womens Black Evening Straight Leg Pants 10 Short</t>
  </si>
  <si>
    <t>INC Women's Sweatshirt Pullover Embellished-Sleeve Black XL</t>
  </si>
  <si>
    <t>INC Womens Knit Top Real Medium Cutout Mock Neck Long Sleeve Red M</t>
  </si>
  <si>
    <t>INC International Concepts Ruffled Star Sweatshirt Washed White L</t>
  </si>
  <si>
    <t>Alfani Asymmetrical Hem Midi Skirt Island Oasis 4</t>
  </si>
  <si>
    <t>Alfani Asymmetrical Hem Midi Skirt Island Oasis 12</t>
  </si>
  <si>
    <t>ALFANI ONE-SHOULDER FLUTTER-SLEEVE TO DEEP BLACK S</t>
  </si>
  <si>
    <t>Alfani</t>
  </si>
  <si>
    <t>Alfani One-Shoulder Flutter-Sleeve To Deep Black L</t>
  </si>
  <si>
    <t>INC International Concepts Ruffled Sweatshirt Lemon Candy L</t>
  </si>
  <si>
    <t>INC International Concepts Printed Ruffled Sweatshirt Swirl Dye L</t>
  </si>
  <si>
    <t>Sequin Hearts Womens Juniors Lace Back Halter Mini Dress Navy 0</t>
  </si>
  <si>
    <t>SLNY Womens Petites Floral Long Maxi Dress Navy 6P</t>
  </si>
  <si>
    <t>Foxiedox Womens Navy Sequined Slitted Color Block Sleeveless V Neck Below The Knee Evening Sheath Dress M</t>
  </si>
  <si>
    <t>FOXIEDOX</t>
  </si>
  <si>
    <t>I-N-C Womens Dot Casual Leggings, Black, 14</t>
  </si>
  <si>
    <t>Connected Plus Size Chiffon Cape Sheath Black 24W</t>
  </si>
  <si>
    <t>FBA16JN6MP6J/1ZW5124W0381000843</t>
  </si>
  <si>
    <t>Eileen Fisher Womens Black Long Sleeve Crew Neck Top Size: XSTP</t>
  </si>
  <si>
    <t>Eileen Fisher Womens Blouse Medium Velvet Back Keyhole Top Black M</t>
  </si>
  <si>
    <t>R&amp;M Richards Women's 2 PCE Lace Swing Jacket Dress, Mocha, 18</t>
  </si>
  <si>
    <t>3 SKU-3 units</t>
  </si>
  <si>
    <t>FBA16JN57QBS/1ZW5124W0338844040</t>
  </si>
  <si>
    <t>Lauren by Ralph Lauren Women's Jersey Printed Dress (12, Black/Raisin/Cream)</t>
  </si>
  <si>
    <t>Ralph Lauren Women's One Piece, Beach Club Solid's, Slimming Swimwear, with Ruffle (4, Black)</t>
  </si>
  <si>
    <t>LARN RALPH LARN/MANHATTAN (138/385)</t>
  </si>
  <si>
    <t>CREW NK TOP</t>
  </si>
  <si>
    <t>can't create listing</t>
  </si>
  <si>
    <t>SS PUFF SLEEVE TEE BASIC</t>
  </si>
  <si>
    <t>Box #GR18243-Unrestricted -  - Dimitri Handal -	Sportaro  / Dasca</t>
  </si>
  <si>
    <t>2 shipments  45/49=92%</t>
  </si>
  <si>
    <t>Ultra Flirt Juniors' Twist-Front T-Shirt Dress (M, Plum)</t>
  </si>
  <si>
    <t>GR18244</t>
  </si>
  <si>
    <t>Trixxi Womens Black Slitted Spaghetti Strap V Neck Mini Sheath Dress Size 3</t>
  </si>
  <si>
    <t>Planet Gold Womens Contrast Trim Lace-Up Sweaterdress Black M</t>
  </si>
  <si>
    <t>Betsey Johnson Women's Lace Shift Dress, Onyx/Skinny Dip, 10</t>
  </si>
  <si>
    <t>Betsey Johnson Womens Black Crew Neck Jumpsuit Size 18W</t>
  </si>
  <si>
    <t>Sundazed Cow Print Spot on Printed Mermaid Cheeky Bikini Swim Bottom, X-Small Black</t>
  </si>
  <si>
    <t>SUNDAZED/SWIMWEAR ANYWHERE INC</t>
  </si>
  <si>
    <t>Free People Veronica Underwire Bra by Intimately at, White, 34B</t>
  </si>
  <si>
    <t>Intimately</t>
  </si>
  <si>
    <t>Free People Ari Plunge Underwire Bra Mooncake Blush Pink Size 34D</t>
  </si>
  <si>
    <t>Free People LELE Longline Bra- LT Blue Size XS</t>
  </si>
  <si>
    <t>Free People Riptide Tee Black L</t>
  </si>
  <si>
    <t>Jessica Howard Women's Petite Illusion-Detail Blouson Dress (4P, Black)</t>
  </si>
  <si>
    <t>Blondie Nites Ivory Junior A-Line Floral Applique Tulle Blue 3</t>
  </si>
  <si>
    <t>Tahari ASL Women's Long Sleeve V-Back Velvet Gown, Hunter Green, 16</t>
  </si>
  <si>
    <t>ARTHUR S LEVINE/PACIFIC ALLIANCE</t>
  </si>
  <si>
    <t>Speechless A-Line Dress Black Junior's Embroidered Strapless 349 Blue 3</t>
  </si>
  <si>
    <t>Speechless Womens Burgundy Embellished Floral Strapless Short Fit + Flare Party Dress Size 9</t>
  </si>
  <si>
    <t>Jessica Howard Womens Floral Print Gathered Cocktail Dress Black 16</t>
  </si>
  <si>
    <t>R&amp;M Richards Womens Plus Embellished Evening Two Piece Dress Navy 14W</t>
  </si>
  <si>
    <t>R&amp;M Richards Womens Plus Embellished Evening Two Piece Dress Navy 16W</t>
  </si>
  <si>
    <t>R&amp;M Richards Womens Plus Cold Shoulder Lace Party Dress Purple 14W</t>
  </si>
  <si>
    <t>City Studio Junior's Maxi Dress Floral Crochet-Trim Hi-Lo Black 9</t>
  </si>
  <si>
    <t>City Studio Womens Beige Sleeveless Sweetheart Neckline Short Tulip Cocktail Dress Size 7</t>
  </si>
  <si>
    <t>City Studio Womens Juniors Ruffled Printed Dolman Fit + Flare Dress, Gold, Large</t>
  </si>
  <si>
    <t>City Studio Womens Juniors Lace Party Mini Dress Navy 1</t>
  </si>
  <si>
    <t>City Studio Womens Black Sleeveless Below The Knee Evening Dress Juniors 0</t>
  </si>
  <si>
    <t>Sam Edelman Women's Sleeveless V-Neck Jumpsuit, Wine, 10</t>
  </si>
  <si>
    <t>SAM EDELMAN</t>
  </si>
  <si>
    <t>Sam Edelman Womens Blue Solid Spaghetti Strap Crew Neck Tea-Length Blouson Formal Dress Size 4</t>
  </si>
  <si>
    <t>Alfani Womens Light Blue Pleated Zippered Ankle Straight Leg Pants Size: 6</t>
  </si>
  <si>
    <t>CULPOS X INC Womens Navy Bodysuit UK Size:12</t>
  </si>
  <si>
    <t>Alfani Womens Black Crew Neck Top Size L</t>
  </si>
  <si>
    <t>INC Womens Gray Ruffled Sweatshirt Size S</t>
  </si>
  <si>
    <t>Speechless Womens Light Blue Lace Zippered Sleeveless Jewel Neck Mini Fit + Flare Party Dress Size 9</t>
  </si>
  <si>
    <t>Speechless Juniors' Lace-Top Dress (L, Lite Mauve)</t>
  </si>
  <si>
    <t>Speechless Womens Navy Spaghetti Strap Short Fit + Flare Party Dress Juniors 15</t>
  </si>
  <si>
    <t>Speechless Women's Allover Lace Shift Dress, Seafoam, X-Small</t>
  </si>
  <si>
    <t>Betsy &amp; Adam Womens Embellished Keyhole Evening Dress Blue 14</t>
  </si>
  <si>
    <t>B&amp;A BY BETSY &amp; ADAM/BETSY &amp; ADAM</t>
  </si>
  <si>
    <t>JUMP Junior's Halter Racerback Gown, Black, 11/12</t>
  </si>
  <si>
    <t>R&amp;M Richards Womens Plus Off-The-Shoulder Bell Sleeves Cocktail Dress Red 16W</t>
  </si>
  <si>
    <t>R&amp;M Richards Womens Plus Embellished Evening Two Piece Dress Purple 14W</t>
  </si>
  <si>
    <t>Emerald Sundae Womens Blue Low Back Cut Out Patterned Spaghetti Strap V Neck Mini Body Con Cocktail Dress Size L</t>
  </si>
  <si>
    <t>Connected Apparel Womens Lace Cut-Out Cocktail Dress Gray 14</t>
  </si>
  <si>
    <t>Connected Apparel Womens Navy Sleeveless Queen Anne Neckline Maxi Sheath Formal Dress Size 14</t>
  </si>
  <si>
    <t>Connected Apparel Womens Jacket Dress Rust Plus Printed Black 22W</t>
  </si>
  <si>
    <t xml:space="preserve">43 SKU- 44 unit </t>
  </si>
  <si>
    <t>FBA16JN57N5P/1ZW5124W0356039896</t>
  </si>
  <si>
    <t>S.L. Fashions Women's Plus Size Capelet Tier Dress with Beaded Detail, Fig, 16W</t>
  </si>
  <si>
    <t xml:space="preserve">1 SKU- 1 unit </t>
  </si>
  <si>
    <t>FBA16JN58LVP/1ZW5124W0310799759</t>
  </si>
  <si>
    <t xml:space="preserve">Apply to sell </t>
  </si>
  <si>
    <t>ROXY JUNIORS LAHAINA BAY ENDLESS S BRIGHT WHITE TROPIC CALL XL</t>
  </si>
  <si>
    <t>ROXY/QUIKSILVER/BOARDRIDERS</t>
  </si>
  <si>
    <t>DKNY Intimates Classic Cotton Wide Lace Trim Thong</t>
  </si>
  <si>
    <t>PERINA MIDI</t>
  </si>
  <si>
    <t>DORENA</t>
  </si>
  <si>
    <t>Box #GR18244-Unrestricted  - Lowell Aquino        - Princessa Trading (SFBA)</t>
  </si>
  <si>
    <t>Lowell Aquino</t>
  </si>
  <si>
    <t>Princessa Trading (SFBA)</t>
  </si>
  <si>
    <t xml:space="preserve">2 Shipment         44/49 = 90% </t>
  </si>
  <si>
    <t>CLIFFS BY WHITE MOUNTAIN Women's Shoes Percy Leather Closed Toe, Brown, Size 5.5</t>
  </si>
  <si>
    <t>CLIFFS/CONNORS FOOTWEAR</t>
  </si>
  <si>
    <t>GR18245</t>
  </si>
  <si>
    <t>Vince Camuto Women's Odela Heeled Sandal, grey, 6 Medium US</t>
  </si>
  <si>
    <t>VINCE/VCS GROUP LLC</t>
  </si>
  <si>
    <t>American Rag Womens Emilee Almond Toe Knee High Riding Boots, Black, Size 7.0</t>
  </si>
  <si>
    <t>AMERICAN RAG-MMG</t>
  </si>
  <si>
    <t>Ideology Womens Lillyy Fabric Round Toe Slide Flats, Black, Size 7.5</t>
  </si>
  <si>
    <t>IDEOLOGY-EDI/JIMLAR</t>
  </si>
  <si>
    <t>American Rag Womens Joanie Leather Peep Toe Casual Ankle Strap, Black, Size 9.0</t>
  </si>
  <si>
    <t>bar III Womens Gatlin Almond Toe Ankle Fashion Boots, Leopard, Size 5.0</t>
  </si>
  <si>
    <t>bar III Womens Gatlin Leopard Print Ankle Booties Brown 6.5 Medium (B,M)</t>
  </si>
  <si>
    <t>Carlos Santana Women's Taryn Booties Ankle Boot, Tan, 8</t>
  </si>
  <si>
    <t>CARLOS SANTANA/CALERES INC</t>
  </si>
  <si>
    <t>DV Dolce Vita Neft Black 7 M</t>
  </si>
  <si>
    <t>DV DOLCE VITA/TOPLINE/REPORT FOOTWR</t>
  </si>
  <si>
    <t>9SKU -9UNITS</t>
  </si>
  <si>
    <t>FBA16JN517G1/1ZW5124W0304887755</t>
  </si>
  <si>
    <t>Gentle Souls by Kenneth Cole Women's Break My Heart Gladiator Sandal, Charcoal, 8.5 M US</t>
  </si>
  <si>
    <t>GENTLE SOULS/KENNETH COLE PRODUCTNS</t>
  </si>
  <si>
    <t>FBA16JN4HGK8/1ZW5124W0316186150</t>
  </si>
  <si>
    <t>Shoes X90 KNIT</t>
  </si>
  <si>
    <t>NEW BALANCE ATHLETIC</t>
  </si>
  <si>
    <t>Shoes JOSLYN</t>
  </si>
  <si>
    <t>VIONIC GROUP LLC</t>
  </si>
  <si>
    <t>Shoes 322SERENA</t>
  </si>
  <si>
    <t>Shoes Clarks Womens Linvale Sea Boots Leopard 9M</t>
  </si>
  <si>
    <t>CLARKS OF ENGLAND</t>
  </si>
  <si>
    <t>Shoes Clarks Clarks Collection Womens Ilea Black Sde 11W</t>
  </si>
  <si>
    <t>Shoes EMBOSSED CROC EFFECT FLAT</t>
  </si>
  <si>
    <t>TED BAKER LIMITED</t>
  </si>
  <si>
    <t>Box #GR18245-Unrestricted Shoes  - Lowell Aquino        - Princessa Trading (SFBA)</t>
  </si>
  <si>
    <t>2SHIPMENTS    10/16=63%</t>
  </si>
  <si>
    <t>American Rag Womens Jamie Open Toe Special Occasion Platform, Yellow 1, Size 7.0</t>
  </si>
  <si>
    <t>GR18246</t>
  </si>
  <si>
    <t>American Rag Womens Franie Leather Closed Toe Ankle Combat, Brown SM, Size 5.5</t>
  </si>
  <si>
    <t>Carlos Santana Women's Victory Booties Ankle Boot, Woodstock, 8.5</t>
  </si>
  <si>
    <t>Carlos Santana Women's Taryn Booties Ankle Boot, Black, 6</t>
  </si>
  <si>
    <t>Carlos Santana Women's Taryn Booties Ankle Boot, Black, 6.5</t>
  </si>
  <si>
    <t>Carlos Santana Women's Taryn Booties Ankle Boot, Black, 7</t>
  </si>
  <si>
    <t>Carlos Santana Women's Taryn Booties Ankle Boot, Black, 7.5</t>
  </si>
  <si>
    <t>Carlos Santana Women's Taryn Booties Ankle Boot, Black, 8.5</t>
  </si>
  <si>
    <t>Carlos Santana Women's Taryn Booties Ankle Boot, Tan, 7.5</t>
  </si>
  <si>
    <t>Carlos Santana Women's Taryn Booties Ankle Boot, Tan, 8.5</t>
  </si>
  <si>
    <t>Carlos Santana Women's Taryn Booties Ankle Boot, Biscotti, 7</t>
  </si>
  <si>
    <t>Sperry Women's Coil Ivy Sparkle Rose Loafer</t>
  </si>
  <si>
    <t>SPERRY/WOLVERINE WORLD WIDE</t>
  </si>
  <si>
    <t>12SKU -12UNITS</t>
  </si>
  <si>
    <t>FBA16JN4XKF6/1ZW5124W0341875742</t>
  </si>
  <si>
    <t>2SKU -2UNITS</t>
  </si>
  <si>
    <t>FBA16JN5S801/1ZW5124W0361167765</t>
  </si>
  <si>
    <t>Merrell Womens Siren Edge Q2 Sneakers Frost 9M</t>
  </si>
  <si>
    <t>MERRELL/WOLVERINE WORLDWIDE INC</t>
  </si>
  <si>
    <t>Shoes Clarks Cheyn Kisha Bootie Black Leather 8.5M</t>
  </si>
  <si>
    <t>Shoes Clarks Clarks Womens Hollis Jasmine Black 7M</t>
  </si>
  <si>
    <t>Box #GR18246-Unrestricted shoes  - Lowell Aquino        - Princessa Trading (SFBA)</t>
  </si>
  <si>
    <t>2SHIPMENTS    12/16=75%</t>
  </si>
  <si>
    <t>Marc Fisher LTD Willoe Black Leather 8.5 M</t>
  </si>
  <si>
    <t>Marc Fisher LTD</t>
  </si>
  <si>
    <t>GR18247</t>
  </si>
  <si>
    <t>Marc Fisher LTD Willoe Black Leather 10 M</t>
  </si>
  <si>
    <t>American Rag Womens Emilee Almond Toe Knee High Fashion Boots, Black, Size 5.0</t>
  </si>
  <si>
    <t>American Rag Womens Emilee Almond Toe Knee High Fashion Boots, Black, Size 5.5</t>
  </si>
  <si>
    <t>American Rag Womens Emilee Almond Toe Knee High Fashion Boots, Black, Size 6.0</t>
  </si>
  <si>
    <t>American Rag Womens Shira Peep Toe Special Occasion Platform, Blue, Size 10.0</t>
  </si>
  <si>
    <t>American Rag Womens Alecta Open Toe Casual Ankle Strap, White PU, Size 8.5</t>
  </si>
  <si>
    <t>American Rag Womens Jamie1 Fabric Open Toe Casual Ankle Strap, Yellow, Size 8.0</t>
  </si>
  <si>
    <t>American Rag Womens Jamie Open Toe Special Occasion, Yellow 2, Size 10.0</t>
  </si>
  <si>
    <t>American Rag Womens Cammie Suede Closed Toe Loafers, Cognac Suede, Size 6.5</t>
  </si>
  <si>
    <t>AMERICAN RAG-MMG/AMER RAG SHOES</t>
  </si>
  <si>
    <t>American Rag Womens Cammie Suede Closed Toe Loafers, Cognac Suede, Size 7.0</t>
  </si>
  <si>
    <t>American Rag Womens Cammie Suede Closed Toe Loafers, Cognac Suede, Size 8.0</t>
  </si>
  <si>
    <t>American Rag Womens Cammie Suede Closed Toe Loafers, Cognac Suede, Size 8.5</t>
  </si>
  <si>
    <t>American Rag Womens Cammie Suede Closed Toe Loafers, Cognac Suede, Size 9.0</t>
  </si>
  <si>
    <t>American Rag Womens Cammie Suede Closed Toe Loafers, Cognac Suede, Size 9.5</t>
  </si>
  <si>
    <t>American Rag Womens Emilee Almond Toe Knee High Fashion Boots, Black, Size 8.5</t>
  </si>
  <si>
    <t>16 SKU's -  16 UNITS</t>
  </si>
  <si>
    <t>FBA16JN4VDB6/1ZW5124W0386395776</t>
  </si>
  <si>
    <t>Sperry Sailor Laced Sneakers Tan Leather 7M</t>
  </si>
  <si>
    <t>Box #GR18247-Unrestricted shoes  - Lowell Aquino        - Princessa Trading (SFBA)</t>
  </si>
  <si>
    <t>1 SHIPMENT (16/17= 94%)</t>
  </si>
  <si>
    <t>Marc Fisher LTD Willoe Black Leather 6 M</t>
  </si>
  <si>
    <t>GR18248</t>
  </si>
  <si>
    <t>American Rag Womens Jamie1 Peep Toe Special Occasion Ankle, White Cork, Size 9.0</t>
  </si>
  <si>
    <t>American Rag Womens Keley Open Toe Casual Ankle Strap Sandals, White, Size 8.0</t>
  </si>
  <si>
    <t>Thalia Sodi Womens Nadelyn Pointed Toe Classic Pumps, Nude Patent, Size 7.5</t>
  </si>
  <si>
    <t>THALIA SODI-EDI/FORTUNE FOOTWEAR</t>
  </si>
  <si>
    <t>Giani Bernini Womens Montana Open Toe Casual Ankle Strap Sandals</t>
  </si>
  <si>
    <t>GIANI BERNINI-EDI/JIMLAR CORP</t>
  </si>
  <si>
    <t>INC Womens GAVI Faux Suede Open Toe Dress Sandals Black 8.5 Medium (B,M)</t>
  </si>
  <si>
    <t>American Rag Womens Eryn Calf Hair Leopard Print Booties, Multicolor, Size 6.5</t>
  </si>
  <si>
    <t>Carlos Santana Women's Taryn Booties Ankle Boot, Tan, 5.5</t>
  </si>
  <si>
    <t>Carlos Santana Women's Taryn Booties Ankle Boot, Tan, 6.5</t>
  </si>
  <si>
    <t>Carlos Santana Women's Taryn Booties Ankle Boot, Tan, 7</t>
  </si>
  <si>
    <t>Dolce Vita Womens ginalee Closed Toe Ankle Fashion Boots, Cognac, Size 7.5</t>
  </si>
  <si>
    <t>14  SKU = 14 UNITS</t>
  </si>
  <si>
    <t>FBA16JN5G2PV/1ZW5124W0332937371</t>
  </si>
  <si>
    <t>Thalia Sodi Womens Vallie Leather Closed Toe Knee High Fashion, Black, Size 7.0</t>
  </si>
  <si>
    <t>1 SKU = 1 UNIT</t>
  </si>
  <si>
    <t>FBA16JN6V9BW/1ZW5124W0371801041</t>
  </si>
  <si>
    <t>Box #GR18248-Unrestricted shoes  - Lowell Aquino        - Princessa Trading (SFBA)</t>
  </si>
  <si>
    <t>2 SHIPMENTS 15/15=100%</t>
  </si>
  <si>
    <t>ZIGI SOHO Womens Talisa Split Toe Casual Ankle Strap Sandals, Black, Size 7.0</t>
  </si>
  <si>
    <t>ZIGI SOHO/ZIGI USA LLC</t>
  </si>
  <si>
    <t>GR18249</t>
  </si>
  <si>
    <t>White Mountain All Done Wedge Thong Sandals Silver 5M</t>
  </si>
  <si>
    <t>WHITE MOUNTAIN/CONNORS</t>
  </si>
  <si>
    <t>Vince Camuto Women's Odela Heeled Sandal, grey, 6.5 Medium US</t>
  </si>
  <si>
    <t>JSport by Jambu Women's Mia Flat Sandal, Smokey, 8.5 M US</t>
  </si>
  <si>
    <t>J-41/VIDA SHOE INTL INC</t>
  </si>
  <si>
    <t>Blue by Betsey Johnson Women's SB-Farin Loafer, Black, 8 M US</t>
  </si>
  <si>
    <t>BETSEY JOHNSON/STEVE MADDEN LTD</t>
  </si>
  <si>
    <t>BareTraps Womens BT26845 Leather Closed Toe Ankle Fashion Boots</t>
  </si>
  <si>
    <t>BARE TRAPS/FOOTWEAR UNLIMITED INC</t>
  </si>
  <si>
    <t>Alfani Womens Genevia Open Toe Casual Slingback Sandals Black</t>
  </si>
  <si>
    <t>ALFANI-MMG</t>
  </si>
  <si>
    <t>American Rag Womens Shannen Faux Leather Slip-On Sneakers Gold 6.5 Medium (B,M)</t>
  </si>
  <si>
    <t>MMG-SUN + STONE</t>
  </si>
  <si>
    <t>AR35 Shannen Slip On Sneakers, Platino, Platino, Size 7.5</t>
  </si>
  <si>
    <t>INC International Concepts Zitah Pumps Red Lava 8.5M</t>
  </si>
  <si>
    <t>bar III Womens Edina Suede Pointed Toe Knee High Fashion Boots, Black, Size 5.5</t>
  </si>
  <si>
    <t>Material Girl Womens Pixie Open Toe Special Occasion Strappy, Tan PU, Size 11.0</t>
  </si>
  <si>
    <t>MATERIAL GIRL/STEVE MADDEN/MMG</t>
  </si>
  <si>
    <t>American Rag Womens Cammie Suede Closed Toe Loafers, Cognac Suede, Size 6.0</t>
  </si>
  <si>
    <t>Baretraps Juliya Memory Foam Hidden-Wedg Black 8M</t>
  </si>
  <si>
    <t>Marc Fisher Women's Shoes Tammea2 Leather Pointed Toe, Multicolor, Size 7.0</t>
  </si>
  <si>
    <t>MARC FISHER/MARC FISHER LLC</t>
  </si>
  <si>
    <t>Marc Fisher Womens Tammea Pointed Toe Ankle Fashion Boots, Ivory Multi, Size 8.5</t>
  </si>
  <si>
    <t>16 SKU-16 units</t>
  </si>
  <si>
    <t>FBA16JN6SGVX/1ZW5124W0327135649</t>
  </si>
  <si>
    <t>Dr. Scholl's Shoes womens Brilliance Riding Boot, Whiskey, 6 US</t>
  </si>
  <si>
    <t>DR. SCHOLLS/CALERES INC</t>
  </si>
  <si>
    <t>FBA16JN7CP2W/1ZW5124W0380196117</t>
  </si>
  <si>
    <t>New Balance Womens X90 Brown</t>
  </si>
  <si>
    <t>Kenneth Cole REACTION Women's Fine Glass Slingback Platform Sandal, Burgundy Python, 6 M US</t>
  </si>
  <si>
    <t>REACTION/KENNETH COLE PROD</t>
  </si>
  <si>
    <t>Box #GR18249-Unrestricted shoes  - Lowell Aquino        - Princessa Trading (SFBA)</t>
  </si>
  <si>
    <t>2 shipments  17/19=89%</t>
  </si>
  <si>
    <t>WHITE MOUNTAIN Shoes Arnette Women's Sandal, Silver/Metallic Fabric, 8H M</t>
  </si>
  <si>
    <t>GR18250</t>
  </si>
  <si>
    <t>WHITE MOUNTAIN Womens All Done Split Toe, Silver/met/Glitter/fab, Size 5.0</t>
  </si>
  <si>
    <t>SEVEN DIALS Women's Mallori Chukka Boot, Tan, 10 Medium US</t>
  </si>
  <si>
    <t>SEVEN DIALS/CONNORS FOOTWEAR</t>
  </si>
  <si>
    <t>American Rag Shannen Slip-On Sneakers, Black 7.5M</t>
  </si>
  <si>
    <t>American Rag Shannen Slip-On Sneakers, Platino 9.5M</t>
  </si>
  <si>
    <t>Style &amp; Co. Womens Witty Leather Closed Toe Mid-Calf Cold, Black, Size 10.0</t>
  </si>
  <si>
    <t>STYLE &amp; CO-MMG</t>
  </si>
  <si>
    <t>bar III Womens Edina Suede Pointed Toe Knee High Fashion Boots, Black, Size 5.0</t>
  </si>
  <si>
    <t>Thalia Sodi Womens Brisa Closed Toe Knee High Fashion Boots, Black, Size 10.0</t>
  </si>
  <si>
    <t>American Rag Womens Shira Peep Toe Special Occasion Platform</t>
  </si>
  <si>
    <t>INC International Concepts Womens Kivah Fabric Open Toe, Powder Nude, Size 6.0</t>
  </si>
  <si>
    <t>Style &amp; Co. Womens Rizio Suede Almond Toe Ankle Fashion Boots, Taupe, Size 10.0</t>
  </si>
  <si>
    <t>INC Womens Jaylee Embellished Slip On Flat Sandals Tan 6.5 Medium (B,M)</t>
  </si>
  <si>
    <t>Jewel Badgley Mischka Women's Dash Sandal, Silver, 8.5 M US</t>
  </si>
  <si>
    <t>JEWEL BADGLEY MISCHKA/TITAN INDSTRS</t>
  </si>
  <si>
    <t>Jewel Badgley Mischka Women's RUDY Shoe, Champagne Fabric, 6 M US</t>
  </si>
  <si>
    <t>Patricia Nash Lola Floral Map 38 (US Women's 8) M</t>
  </si>
  <si>
    <t>PATRICIA NASH/PATRICIA NASH DESIGNS</t>
  </si>
  <si>
    <t>FBA16JNCQ1N4/1ZW5124W0372824239</t>
  </si>
  <si>
    <t>FBA16JNBTQ4W/1ZW5124W033330538</t>
  </si>
  <si>
    <t>Sperry Sailor Laced Sneakers Tan Leather 7.5M</t>
  </si>
  <si>
    <t>LEISA LAKELYN - BLK LE</t>
  </si>
  <si>
    <t>Box #GR18250-Unrestricted shoes  - Lowell Aquino        - Princessa Trading (SFBA)</t>
  </si>
  <si>
    <t>2 Shipment    16/18=89%</t>
  </si>
  <si>
    <t>B.O.C - womens - Jaquet</t>
  </si>
  <si>
    <t>B O C/H H BROWN SHOE CO</t>
  </si>
  <si>
    <t>GR18251</t>
  </si>
  <si>
    <t>Alfani Womens geneviat Open Toe Special Occasion Slingback Black</t>
  </si>
  <si>
    <t>American Rag Shannen Slip-On Sneakers, Black 6.5m</t>
  </si>
  <si>
    <t>American Rag Shannen Slip-On Sneakers, Black 8.5M</t>
  </si>
  <si>
    <t>American Rag Womens Shannen Low Top Slip On Fashion Sneakers, Black, Size 9.0</t>
  </si>
  <si>
    <t>bar III Womens Edina Fabric Pointed Toe Knee High Fashion Boots, Black, Size 8.0</t>
  </si>
  <si>
    <t>American Rag Ellie Flats Cognac</t>
  </si>
  <si>
    <t>Dr. Scholl's Shoes Women's Kimberly II Work Shoe, Black, 8.5</t>
  </si>
  <si>
    <t>Carlos Santana Women's Victory Booties Ankle Boot, Black, 6.5</t>
  </si>
  <si>
    <t>Carlos Santana Women's Victory Booties Ankle Boot, Woodstock, 6.5</t>
  </si>
  <si>
    <t>Carlos Santana Women's Victory Booties Ankle Boot, Woodstock, 7.5</t>
  </si>
  <si>
    <t>Carlos Santana Women's Victory Booties Ankle Boot, Woodstock, 8</t>
  </si>
  <si>
    <t>Carlos Santana Women's Taryn Booties Ankle Boot, Black, 8</t>
  </si>
  <si>
    <t>Carlos Santana Women's Taryn Booties Ankle Boot, Biscotti, 8</t>
  </si>
  <si>
    <t>16SKU -16UNITS</t>
  </si>
  <si>
    <t>FBA16JN6D7X5/1ZW5124W0367261713</t>
  </si>
  <si>
    <t>FBA16JN5QVCS/1ZW5124W0350842644</t>
  </si>
  <si>
    <t>Box #GR18251-Unrestricted shoes - Lowell Aquino        - Princessa Trading (SFBA)</t>
  </si>
  <si>
    <t>2SHIPMENTS    16/16=100%</t>
  </si>
  <si>
    <t>Trotters Women's Liz Tumbled Ballet Flat grey 12.0 M US</t>
  </si>
  <si>
    <t>PHOENIX FOOTWEAR GROUP</t>
  </si>
  <si>
    <t>GR18252</t>
  </si>
  <si>
    <t>bar III Womens Edina Fabric Pointed Toe Knee High Fashion Boots, Black, Size 7.5</t>
  </si>
  <si>
    <t>NINA womens Tirisa Platform, Beige, 8 US</t>
  </si>
  <si>
    <t>NINA FOOTWEAR</t>
  </si>
  <si>
    <t>Karen Scott KS35 Natalie Slip On Flats, Black, 8 US</t>
  </si>
  <si>
    <t>KAREN SCOTT-EDI/ES ORIGINALS</t>
  </si>
  <si>
    <t>Giani Bernini Womens Montana Open Toe Casual Ankle Strap Sandals, Deer, Size 8.0</t>
  </si>
  <si>
    <t>Fergalicious Women's Goldie Ankle Boot, Brown, 8.5</t>
  </si>
  <si>
    <t>FERGIE/CALERES INC</t>
  </si>
  <si>
    <t>Dolce Vita Womens ginalee Closed Toe Ankle Fashion Boots, Cognac, Size 9.5</t>
  </si>
  <si>
    <t>Clarks Women's CloudSteppers Sillian Paz Slip-On Loafer, Black Synthetic Nubuck, 12 M US</t>
  </si>
  <si>
    <t>Clarks Women's Cheyn Kisha Ankle Boot, Black Tumbled Leather/Textile, 9</t>
  </si>
  <si>
    <t>Clarks Verona Trish Ankle Boots/Boots Women Black - 4.5 - Ankle Boots Shoes</t>
  </si>
  <si>
    <t>Clarks</t>
  </si>
  <si>
    <t>12 SKU's -  12 UNITS</t>
  </si>
  <si>
    <t>FBA16JP3B6NX/1ZW5124W0384669322</t>
  </si>
  <si>
    <t>Cliffs 'Keegan' Women's Bootie, Brown - 9.5 M</t>
  </si>
  <si>
    <t>2 SKU's -  2 UNITS</t>
  </si>
  <si>
    <t>FBA16JP1PGMD/1ZW5124W0346255288</t>
  </si>
  <si>
    <t>Aqua College Womens Sloan Leather Open Toe Casual Slide Sandals, Pink, Size 7.5</t>
  </si>
  <si>
    <t>AQUA COLLEGE/STEVE MADDEN LTD</t>
  </si>
  <si>
    <t>ELLE SMOOTH NAPPA BLACK</t>
  </si>
  <si>
    <t>BCBG/JIMLAR CORPORATION</t>
  </si>
  <si>
    <t>color confict</t>
  </si>
  <si>
    <t>Box #GR18252-Unrestricted shoes  - Ana Alfero        - LoCale Pacific Stays (SFBA)</t>
  </si>
  <si>
    <t>Ana Alfero</t>
  </si>
  <si>
    <t>LoCale Pacific Stays (SFBA)</t>
  </si>
  <si>
    <t xml:space="preserve"> 2 SHIPMENTS (13/15= 87%)</t>
  </si>
  <si>
    <t>kensie Womens Gabriella Ankle Booties, Black, Size 6.0</t>
  </si>
  <si>
    <t>VIDA SHOE INTL INC</t>
  </si>
  <si>
    <t>GR18253</t>
  </si>
  <si>
    <t>American Rag Womens Emilee Almond Toe Knee High Riding Boots, Black, Size 6.5</t>
  </si>
  <si>
    <t>Giani Bernini Womens Angye Open Toe Ankle Fashion Boots, Grey, Size 10.0</t>
  </si>
  <si>
    <t>American Rag Womens Emilee Almond Toe Knee High Fashion Boots, Black, Size 12.0</t>
  </si>
  <si>
    <t>Thalia Sodi Womens DARRIA2 Fabric Open Toe Formal T-Strap, Almond SM, Size 9.5</t>
  </si>
  <si>
    <t>Alfani Womens Bexleyy Leather Almond Toe Knee High, Wine Leather, Size 7.0</t>
  </si>
  <si>
    <t>AMERICAN RAG CIE Women's Olive Margie Boot - 9M</t>
  </si>
  <si>
    <t>Carlos Santana Women's Taryn Booties Ankle Boot, Tan, 6</t>
  </si>
  <si>
    <t>Carlos Santana Women's Taryn Booties Ankle Boot, Biscotti, 7.5</t>
  </si>
  <si>
    <t>Lucca Lane Womens Kameron Open Toe Casual Ankle Strap Sandals, White, Size 6.0</t>
  </si>
  <si>
    <t>LUCCA LANE/FOOTWEAR UNLIMITED INC</t>
  </si>
  <si>
    <t>ECCO womens Soft 7 Wedge City Ankle Boot, Black/Black, 7-7.5 US</t>
  </si>
  <si>
    <t>ECCO USA INC</t>
  </si>
  <si>
    <t>DV Dolce Vita Neft Black 10 M</t>
  </si>
  <si>
    <t>ZIGI SOHO Women's Kourtlan Ankle Bootie, Black, 8.5 M US</t>
  </si>
  <si>
    <t>FBA16JNXPV49/1ZW5124W0387451999</t>
  </si>
  <si>
    <t>Box #GR18253-Unrestricted shoes  - Ana Alfero        - LoCale Pacific Stays (SFBA)</t>
  </si>
  <si>
    <t>1 SHIPMENTS 14/14=100%</t>
  </si>
  <si>
    <t>JSport by Jambu Women's Mia Flat Sandal, smokey, 7.5 M US</t>
  </si>
  <si>
    <t>GR18254</t>
  </si>
  <si>
    <t>Carlos by Carlos Santana Women's Winnie Wedge Sandal, LT Brulee, 9 Medium US</t>
  </si>
  <si>
    <t>Carlos Santana Women's Victory Booties Ankle Boot, Woodstock, 7</t>
  </si>
  <si>
    <t>Jewel Badgley Mischka Jewel Badgley Mischka Womens Champagne 9M</t>
  </si>
  <si>
    <t>BareTraps Women's ROSEA, Black, 10 M US</t>
  </si>
  <si>
    <t>Clarks Women's Flores Poppy Wedge Pump,black leather,8.5 B(M) US</t>
  </si>
  <si>
    <t>7 SKU-7 units</t>
  </si>
  <si>
    <t>FBA16JNY98RY/1ZW5124W0364739721</t>
  </si>
  <si>
    <t>bar III Womens Edina Fabric Pointed Toe Knee High Fashion Boots, Black, Size 6.5</t>
  </si>
  <si>
    <t>Style &amp; Co. Womens Hyrine Open Toe Special Occasion, Sandalwood Smooth, Size 9.0</t>
  </si>
  <si>
    <t>Karen Scott Womens Alana Fabric Pointed Toe Classic Pumps</t>
  </si>
  <si>
    <t>American Rag Womens Jamie Peep Toe Ankle Strap, Yellow, Size 7.5</t>
  </si>
  <si>
    <t>Thalia Sodi Womens Rylie Ankle Pointed Toe Booties Silver 7.5 Medium (B,M)</t>
  </si>
  <si>
    <t>FBA16JNYZ883/1ZW5124W0367277171</t>
  </si>
  <si>
    <t>FBA16JNWKWHD/1ZW5124W0372944967</t>
  </si>
  <si>
    <t>KERIN LACEUP BOOTIE</t>
  </si>
  <si>
    <t>Box #GR18254-Unrestricted shoes  - Ana Alfero        - LoCale Pacific Stays (SFBA)</t>
  </si>
  <si>
    <t>3 shipments  13/14=93%</t>
  </si>
  <si>
    <t>ZIGI SOHO Siyah Women's Boot BOU, Black, Size 7.0</t>
  </si>
  <si>
    <t>GR18255</t>
  </si>
  <si>
    <t>ZiGi Soho Women's AMES Fashion Boot, Taupe, 7.5 Medium US</t>
  </si>
  <si>
    <t>WHITE MOUNTAIN Shoes Delgado Women's Flat, Black/Burn/Smooth, 7H M</t>
  </si>
  <si>
    <t>INC International Concepts Womens Kivah Fabric Open Toe, Red Bow, Size 6.0</t>
  </si>
  <si>
    <t>Walking Cradles Elsie Black Leather 8</t>
  </si>
  <si>
    <t>WALKING CRADLE COMPANY LLC (THE)</t>
  </si>
  <si>
    <t>Giani Bernini Womens Candence Closed Toe Ankle Fashion Boots Black</t>
  </si>
  <si>
    <t>NINA Womens Chezare Peep Toe Classic Pumps, Black, Size 7.0</t>
  </si>
  <si>
    <t>Style &amp; Co. Womens Ferrnn Fabric Open Toe Casual Platform, Cork, Size 7.5</t>
  </si>
  <si>
    <t>Style &amp; Co.</t>
  </si>
  <si>
    <t>Sun + Stone Womens Keley Faux Leather Flat Sandals Brown 8 Medium (B,M)</t>
  </si>
  <si>
    <t>Merrell Women's Encore Q2 Slide Ltr Fashion Sneaker, Black, 9 M US</t>
  </si>
  <si>
    <t>11 SKU-11 units</t>
  </si>
  <si>
    <t>FBA16JNZ067T/1ZW5124W0337387617</t>
  </si>
  <si>
    <t>Dr. Scholl's Shoes Women's Rate Zip Ankle Boot, Chocolate Brown, 9.5</t>
  </si>
  <si>
    <t>Dr. Scholl's Shoes womens Create Ankle Boot, Black Microfiber, 7.5 US</t>
  </si>
  <si>
    <t>Karen Scott Womens Brookee Embossed Dress Heels Black 6.5 Medium (B,M)</t>
  </si>
  <si>
    <t>KAREN SCOTT-MMG</t>
  </si>
  <si>
    <t>Dr. Scholl's Shoes womens Dynamo Work Shoe, Black, 9.5 US</t>
  </si>
  <si>
    <t>FBA16JNZR8Gf/1ZW5124W0376914483</t>
  </si>
  <si>
    <t>LOUISE RAFFIA</t>
  </si>
  <si>
    <t>Apply to sell</t>
  </si>
  <si>
    <t>Find. Hybrid Loafers US 10</t>
  </si>
  <si>
    <t>Find.</t>
  </si>
  <si>
    <t>Style Co Zaddie Wedge Sandals Light Blue 10M</t>
  </si>
  <si>
    <t xml:space="preserve">not available </t>
  </si>
  <si>
    <t>Box #GR18255-Unrestricted shoes  - Ana Alfero        - LoCale Pacific Stays (SFBA)</t>
  </si>
  <si>
    <t>2 Shipment     15/18=83%</t>
  </si>
  <si>
    <t>Eastland Women's Newport,Brown Leather,7 W US</t>
  </si>
  <si>
    <t>EASTLAND SHOE CORPORATION</t>
  </si>
  <si>
    <t>GR18256</t>
  </si>
  <si>
    <t>Eastland Women's Patricia Loafer,brown,8 Medium US</t>
  </si>
  <si>
    <t>Eastland Women's Sunrise,Tan,9.5 M US</t>
  </si>
  <si>
    <t>White Mountain Shoes"ALTHEDA" Women's Sandal, BLACK/SMOOTH, 8 M</t>
  </si>
  <si>
    <t>White Mountain Shoes"ALTHEDA" Women's Sandal, BLACK/SMOOTH, 10 M</t>
  </si>
  <si>
    <t>White Mountain Shoes"ALTHEDA" Women's Sandal, BLACK/SMOOTH, 8H M</t>
  </si>
  <si>
    <t>SEVEN DIALS womens Chester Heeled Sandal, White, 9 US</t>
  </si>
  <si>
    <t>Esprit Womens Erin Fabric Closed Toe Loafers, Black, Size 8.5</t>
  </si>
  <si>
    <t>ESPIRIT/VIDA SHOES INTL INC</t>
  </si>
  <si>
    <t>Marc Fisher LTD Willoe Black Leather 6.5 M</t>
  </si>
  <si>
    <t>Caparros Womens Quirin Suede Open Toe Special Occasion, Black Glimmer, Size 8.5</t>
  </si>
  <si>
    <t>CAPARROS</t>
  </si>
  <si>
    <t>Charter Club Womens Tonina 2 Closed Toe Loafers, Black, Size 8.0</t>
  </si>
  <si>
    <t>CHARTER CLUB-EDI/JIMLAR</t>
  </si>
  <si>
    <t>INC International Concepts Womens Hadwin 2 Leather Open Toe, Orange, Size 8.0</t>
  </si>
  <si>
    <t>INC International Concepts Womens Karenna Open Toe Special, Black, Size 7.5</t>
  </si>
  <si>
    <t>Thalia Sodi Womens Vallie Faux Leather Tall Riding Boots Black 7.5 Medium (B,M)</t>
  </si>
  <si>
    <t>Karen Scott Womens Brookee Embossed Dress Heels Beige 5.5 Medium (B,M)</t>
  </si>
  <si>
    <t>Jewel Badgley Mischka Women's ULANNI Shoe, Champagne Fabric, 9 M US</t>
  </si>
  <si>
    <t>Jewel Badgley Mischka</t>
  </si>
  <si>
    <t>FBA16JNWHKST/1ZW5124W0372257549</t>
  </si>
  <si>
    <t>Thalia Sodi Womens Veronika Round Toe Knee High Fashion Boots, Black, Size 9.5</t>
  </si>
  <si>
    <t>FBA16JNXDJJV/1ZW5124W0327638070</t>
  </si>
  <si>
    <t>Box #GR18256-Unrestricted shoes  - Ana Alfero        - LoCale Pacific Stays (SFBA)</t>
  </si>
  <si>
    <t>2SHIPMENTS    17/17=100%</t>
  </si>
  <si>
    <t>WHITE MOUNTAIN Shoes Delgado Women's Flat, Navy/Burn/Smooth, 7H M</t>
  </si>
  <si>
    <t>GR18257</t>
  </si>
  <si>
    <t>Jessica Simpson Womens livelle Pointed Toe Over Knee</t>
  </si>
  <si>
    <t>JESSICA SIMPSON/VCS GROUP LLC</t>
  </si>
  <si>
    <t>Jessica Simpson Womens Livelle Tall Thigh-High Boots Red 12 Medium (B,M)</t>
  </si>
  <si>
    <t>Dr. Scholl's Shoes womens Brilliance Riding Boot, Whiskey, 6.5 US</t>
  </si>
  <si>
    <t>Dr. Scholl'sBrilliance Wide Calf Whiskey 6.5</t>
  </si>
  <si>
    <t>Dr. Scholl's Shoes womens Brilliance Wide Calf Riding Boot, Whiskey, 8.5 US</t>
  </si>
  <si>
    <t>need print labels</t>
  </si>
  <si>
    <t>Charter Club Womens Helenn4 Leather Closed Toe Knee High, Cognac, Size 10.5</t>
  </si>
  <si>
    <t>Karen Scott Womens Brooke Faux Suede Slingback Pumps Pink 9 Medium (B,M)</t>
  </si>
  <si>
    <t>Dr. Scholl's Shoes Women's Aston Ballet Flat, Leopard Microfiber, 9 M US</t>
  </si>
  <si>
    <t>9 SKU's -  9 UNITS</t>
  </si>
  <si>
    <t>FBA16JP0ZMKC/1ZW5124W0325243400</t>
  </si>
  <si>
    <t>Dr. Scholl's Shoes womens Brilliance Riding Boot, Black, 8.5 US</t>
  </si>
  <si>
    <t>FBA16JP0Z64W/1ZW5124W0310109664</t>
  </si>
  <si>
    <t>Jessica Simpson Siera Wedge Sandals Fawny 6M</t>
  </si>
  <si>
    <t>Box #GR18257-Unrestricted shoes - Ana Alfero        - LoCale Pacific Stays (SFBA)</t>
  </si>
  <si>
    <t>2  SHIPMENTS (10/12= 83%)</t>
  </si>
  <si>
    <t>Rock and Candy by Zigi Womens Sonni Faux Leather Combat Boots Tan 7 Medium (B,M)</t>
  </si>
  <si>
    <t>GR18258</t>
  </si>
  <si>
    <t>WHITE MOUNTAIN Womens Remi Faux Leather Riding Boots Gray 5 Medium (B,M)</t>
  </si>
  <si>
    <t>Kensie Women's GERONA Ankle Boot, Grey, 9 M US</t>
  </si>
  <si>
    <t>Betsey Johnson Women's Harmoni Fashion Boot, Black Tweed, 7 M US</t>
  </si>
  <si>
    <t>Style &amp; Co. Womens Witty Suede Faux Fur Casual Boots Tan 5 Medium (B,M)</t>
  </si>
  <si>
    <t>Giani Bernini Womens Rozario Leather Almond Toe Knee High, Black, Size 9.0</t>
  </si>
  <si>
    <t>ADRIENNE VITTADINI Footwear Women's Nigel Pump, Scarlett, 8 M US</t>
  </si>
  <si>
    <t>ADRIENNE VITTADINI/WILL-RICH SHOE</t>
  </si>
  <si>
    <t>INC Womens Rayelle Satin Heart Dress Sandals Pink 9.5 Medium (B,M)</t>
  </si>
  <si>
    <t>American Rag Womens Keley Open Toe Casual Ankle Strap Sandals, Platino, Size 8.0</t>
  </si>
  <si>
    <t>INC Womens Hadwin 4 Faux Leather Scalloped Dress Sandals Black 6 Medium (B,M)</t>
  </si>
  <si>
    <t>Dr. Scholl's Shoes womens Madison Sneaker, Black, 9.5 Wide US</t>
  </si>
  <si>
    <t>American Rag Womens Dawnn Pointed Toe Mid-Calf Cowboy Boots, Natural, Size 5.5</t>
  </si>
  <si>
    <t>DV Dolce Vita Neft Black 6. 5 M</t>
  </si>
  <si>
    <t>Spring Step L'Artiste womens Mid Calf Boot, Grey, 6.5-7 US</t>
  </si>
  <si>
    <t>SPRING FOOTWEAR CORP</t>
  </si>
  <si>
    <t>FBA16JNZ5MLJ/1ZW5124W0389624825</t>
  </si>
  <si>
    <t>Clarks Womens Ashland Effie Flats Black 8.5M</t>
  </si>
  <si>
    <t>Clarks Womens Emslie Warren Shooties Black 7.5M</t>
  </si>
  <si>
    <t>Clarks Womens Emslie Warbler Shootie Black Leather 9M</t>
  </si>
  <si>
    <t>Box #GR18258-Unrestricted shoes - Peter Pen - P2 Ecom Soutions LLC / My Origin</t>
  </si>
  <si>
    <t>Peter Pen</t>
  </si>
  <si>
    <t>P2 Ecom Soutions LLC / My Origin</t>
  </si>
  <si>
    <t>1 SHIPMENTS 14/17=82%</t>
  </si>
  <si>
    <t>White Mountain White Mountain Womens Altheda Black 9M</t>
  </si>
  <si>
    <t>GR18259</t>
  </si>
  <si>
    <t>White Mountain White Mountain Womens Altheda Black 8.5M</t>
  </si>
  <si>
    <t>NINA Women's Tonya Pump, Platino, 8 M US</t>
  </si>
  <si>
    <t>Dr. Scholls Brilliance Wide-Calf Tall Boot Black 6.5M</t>
  </si>
  <si>
    <t>Sun + Stone Womens ALECTA Faux Leather Strappy Sandals White 7 Medium (B,M)</t>
  </si>
  <si>
    <t>Carlos Santana Women's Victory Booties Ankle Boot, Black, 7.5</t>
  </si>
  <si>
    <t>Carlos Santana Women's Taryn Booties Ankle Boot, Biscotti, 6</t>
  </si>
  <si>
    <t>Dolce Vita DV Neft Moto Booties Black Vegan Buckle Moto Booties (5.5)</t>
  </si>
  <si>
    <t>DV Dolce Vita Neft Black 6 M</t>
  </si>
  <si>
    <t>Patricia Nash Bettina Ochre 7 M</t>
  </si>
  <si>
    <t>FBA16JP08LKG?1ZW5124W0361833124</t>
  </si>
  <si>
    <t>Alfani Womens Step N Flex Jeules Pu Cashew 10M</t>
  </si>
  <si>
    <t>Thalia Sodi Vallie Boots Black 7.5M</t>
  </si>
  <si>
    <t>FBA16JP09DDS/1ZW5124W0307206921</t>
  </si>
  <si>
    <t>Jessica Simpson Livelle Over-The-Knee Stretch Richest Red 8M</t>
  </si>
  <si>
    <t>Box #GR18259-Unrestricted shoes - Peter Pen - P2 Ecom Soutions LLC / My Origin</t>
  </si>
  <si>
    <t>2 shipments  13/14=93%</t>
  </si>
  <si>
    <t>Dr. Scholl's Women's Frankie Ballet Flat Frankie, DK Brown,10 M US</t>
  </si>
  <si>
    <t>GR18260</t>
  </si>
  <si>
    <t>ZiGi Soho Women's AMES Fashion Boot, Black, 8 Medium US</t>
  </si>
  <si>
    <t>Rebel by Zigi Womens keylie Fabric Almond Toe Ankle Fashion Boots SIZE 7.5</t>
  </si>
  <si>
    <t>XOXO Women's, Strasburg Boot, Tan, Size 7.0</t>
  </si>
  <si>
    <t>XOXO/VIDA SHOE INTL INC</t>
  </si>
  <si>
    <t>XOXO Women's, Strasburg Boot, Tan, Size 9.0</t>
  </si>
  <si>
    <t>Marc Fisher Ltd. Women's Nalina Shearling Trim Cold Weather Booties, Natural Multi Suede, 6m</t>
  </si>
  <si>
    <t>Walking Cradles Fall Tobacco Leather 7.5 N (A)</t>
  </si>
  <si>
    <t>American Rag Women's Shoes Lizzie Closed Toe Ankle Fashion, Charcoal, Size 8.0</t>
  </si>
  <si>
    <t>Jewel Badgley Mischka Women's UMAY Shoe, smoke Glitter, 10 M US</t>
  </si>
  <si>
    <t>12 SKU-12 units</t>
  </si>
  <si>
    <t>FBA16JP0DMM7/1ZW5124W0308060443</t>
  </si>
  <si>
    <t>Carlos Santana Women's Taryn Booties Ankle Boot, Biscotti, 8.5</t>
  </si>
  <si>
    <t>Carlos by Carlos Santana Women's Sabina Knee High Boot, Black, 8.5 M US</t>
  </si>
  <si>
    <t>Dr. Scholl's Shoes womens Brilliance Wide Calf Riding Boot, Whiskey, 7 US</t>
  </si>
  <si>
    <t>print label</t>
  </si>
  <si>
    <t>FBA16JNZT2VT/1ZW5124W0360053853</t>
  </si>
  <si>
    <t>Jessica Simpson Jakayla Wedge Sandals Black 8.5M</t>
  </si>
  <si>
    <t>Box #GR18260-Unrestricted shoes - Peter Pen - P2 Ecom Soutions LLC / My Origin</t>
  </si>
  <si>
    <t>2 Shipment      14/15=93%</t>
  </si>
  <si>
    <t>Brinley Co Women's SALL Over The Knee Boot, Black, 8.5 Wide/Wide Shaft US</t>
  </si>
  <si>
    <t>Journee Collection</t>
  </si>
  <si>
    <t>GR18261</t>
  </si>
  <si>
    <t>Franco Sarto Stevie Black 8 M</t>
  </si>
  <si>
    <t>Franco Sarto</t>
  </si>
  <si>
    <t>print labels</t>
  </si>
  <si>
    <t>Journee Collection Womens Aneil Boot Black, 7 Wide Calf US</t>
  </si>
  <si>
    <t>Eastland womens Slide Sandal, Black, 11 Wide US</t>
  </si>
  <si>
    <t>Eastland</t>
  </si>
  <si>
    <t>Vince Camuto Elisen Black 11 M</t>
  </si>
  <si>
    <t>NINA Womens Glitter Ankle Strap Heel Sandals Silver 8.5 Medium (B,M)</t>
  </si>
  <si>
    <t>Karen Scott Womens Deliee 2 Faux Leather Riding Boots Black 7 Medium (B,M)</t>
  </si>
  <si>
    <t>Karen Scott</t>
  </si>
  <si>
    <t>Donald Pliner Rezza Bone/Black 7.5 M</t>
  </si>
  <si>
    <t>Donald Pliner</t>
  </si>
  <si>
    <t>Gc Shoes Women's Sydney Rosette Slide Wedge Sandals,Tan,9</t>
  </si>
  <si>
    <t>GC SHOES CORP</t>
  </si>
  <si>
    <t>FBA16JNY77F2/1ZW5124W0367160582</t>
  </si>
  <si>
    <t>Marc Fisher LTD Hallie Black Leather 6.5 M</t>
  </si>
  <si>
    <t>Marc Fisher LTD Hallie Black Leather 8 M</t>
  </si>
  <si>
    <t>FBA16JNYWS3H/1ZW5124W0358450973</t>
  </si>
  <si>
    <t>Shoes FitFlop Cova Sandals Rose Gold 9M</t>
  </si>
  <si>
    <t>FITFLOP USA LLC</t>
  </si>
  <si>
    <t>Shoes Marc Fisher Retire Booties New White Lizard 9.5M</t>
  </si>
  <si>
    <t>Box #GR18261-Unrestricted shoes - Peter Pen - P2 Ecom Soutions LLC / My Origin</t>
  </si>
  <si>
    <t>2SHIPMENTS    11/13=85%</t>
  </si>
  <si>
    <t>Sam Edelman Women's Velma Sport Sandal, Black, 6.5</t>
  </si>
  <si>
    <t>Sam Edelman</t>
  </si>
  <si>
    <t>GR18262</t>
  </si>
  <si>
    <t>Brinley Co. Womens Regular Wide Calf and Extra Wide Calf Ruched Stacked Heel Faux Suede Over-The-Knee Boots Black, 7 Wide Calf US</t>
  </si>
  <si>
    <t>Groupon</t>
  </si>
  <si>
    <t>Journee Collection Womens Niobi Sandal Brown, 10 Womens US</t>
  </si>
  <si>
    <t>KNS INTERNATIONAL</t>
  </si>
  <si>
    <t>Lauren Ralph Lauren Women's Helma Espdrille Wedge Sandal, Platino, 9 B US</t>
  </si>
  <si>
    <t>POLO RALPH LAUREN FOOTWEAR</t>
  </si>
  <si>
    <t>JBU by Jambu Womens Stevie Lace Up Boots Mid Calf - Black - Size 8.5 M</t>
  </si>
  <si>
    <t>Alfani Women's Hayyden Hooded Thong Sandals, Created for Macy's, White, Size 5.5</t>
  </si>
  <si>
    <t>Jewel Badgley Mischka Women's ROYALTY Shoe, Silver Glitter, 9 M US</t>
  </si>
  <si>
    <t>BareTraps Womens Mabil Peep Toe Casual Espadrille Sandals, Taupe, Size 10.0</t>
  </si>
  <si>
    <t>G.C. Shoes Women's Sydney Rosette Slide Wedge Sandals (8.5 B(M) US, Black)</t>
  </si>
  <si>
    <t>G.C. Shoes Women's Sydney Rosette Slide Wedge Sandals</t>
  </si>
  <si>
    <t>GC Shoes Womens Flora Flower Thong Sandals 7.5 Gold</t>
  </si>
  <si>
    <t>Splendid womens Basic Bootie Ankle Boot, Dusty Brown, 11 US</t>
  </si>
  <si>
    <t>Splendid</t>
  </si>
  <si>
    <t>Shoes for Crews Liberty, Womens, Black, Size 8.5</t>
  </si>
  <si>
    <t>Shoes For Crews</t>
  </si>
  <si>
    <t>15 SKU's -  15 UNITS</t>
  </si>
  <si>
    <t>FBA16JP3L44L/1ZW5124W0354185562</t>
  </si>
  <si>
    <t>Jessica Simpson Livelle Over-The-Knee Stretch Richest Red 5.5M</t>
  </si>
  <si>
    <t>Shoes Ecco Womens Soft 7 Wedge City Boot BlackBlack 10M</t>
  </si>
  <si>
    <t>Clarks Womens Sharon Spring Booties</t>
  </si>
  <si>
    <t>Box #GR18262-Unrestricted shoes - Peter Pen - P2 Ecom Soutions LLC / My Origin</t>
  </si>
  <si>
    <t xml:space="preserve"> 1 SHIPMENT (15/18= 83%)</t>
  </si>
  <si>
    <t>Marc Fisher LTD Hallie Black Leather 7 M</t>
  </si>
  <si>
    <t>GR18263</t>
  </si>
  <si>
    <t>Marc Fisher LTD Hallie Black Leather 9 M</t>
  </si>
  <si>
    <t>Marc Fisher Womens Hallie Leather Heels Dress Boots Dark Brown Leather 6.5M</t>
  </si>
  <si>
    <t>Marc Fisher Womens Hallie Leather Heels Dress Boots Dark Brown Leather 8.5M</t>
  </si>
  <si>
    <t>Marc Fisher LTD Hallie Black Leather 8.5 M</t>
  </si>
  <si>
    <t>6  SKU = 7 UNITS</t>
  </si>
  <si>
    <t>FBA16JP003Y5/1ZW5124W0380125701</t>
  </si>
  <si>
    <t>Marc Fisher Retie 2 Women's Boot 8 B(M) US Butter-Multi-Snake</t>
  </si>
  <si>
    <t>3  SKU = 3 UNITS</t>
  </si>
  <si>
    <t>FBA16JP0MCJC/1ZW5124W0335763768</t>
  </si>
  <si>
    <t>Box #GR18263-Unrestricted shoes - Peter Pen - P2 Ecom Soutions LLC / My Origin</t>
  </si>
  <si>
    <t>2 SHIPMENTS 7/7=100%</t>
  </si>
  <si>
    <t>Vince Camuto Women's Elisen Buckle Lug Sole Booties Women's Shoes</t>
  </si>
  <si>
    <t>GR18264</t>
  </si>
  <si>
    <t>Shoes BCBGeneration BCBGeneration Womens Marlo Sl Black 10M</t>
  </si>
  <si>
    <t>BCBGENERATION/VIDA SHOES INTL INC</t>
  </si>
  <si>
    <t>INC Womens Fawne Wide Calf Leather Riding Boots Brown 7 Medium (B,M)</t>
  </si>
  <si>
    <t>Shoes Giani Bernini Adonnys Memory-Foam Dress Boot Black Leather 6.5M</t>
  </si>
  <si>
    <t>FBA16JNXR386/1ZW5124W0350473089</t>
  </si>
  <si>
    <t>Vince Camuto Women's PESLNA Fashion Boot, BLACK, 8.5 M</t>
  </si>
  <si>
    <t>INC International Concepts Womens Fawn Wide Calf, Black Leather, Size 7.0</t>
  </si>
  <si>
    <t>INC International Concepts Womens Gerii Tall Boots Maroon Suede 8.5M</t>
  </si>
  <si>
    <t>FBA16JNYDTM3/1ZW5124W0321181485</t>
  </si>
  <si>
    <t>Box #GR18264-Unrestricted shoes - Peter Pen - P2 Ecom Soutions LLC / My Origin</t>
  </si>
  <si>
    <t>Carlos by Carlos Santana Women's Glinda Ankle Boot, Wine, 10 Medium US</t>
  </si>
  <si>
    <t>GR18265</t>
  </si>
  <si>
    <t>Carlos by Carlos Santana Women's Della Ankle Boot, Cognac, 6 Medium US</t>
  </si>
  <si>
    <t>Carlos by Carlos Santana Women's Libbie Fashion Boot, doe, 7.5 Medium US</t>
  </si>
  <si>
    <t>Carlos by Carlos Santana Women's Libbie Fashion Boot, doe, 8 Medium US</t>
  </si>
  <si>
    <t>Carlos by Carlos Santana Women's Deandra Heeled Sandal, lt doe, 7.5 M US</t>
  </si>
  <si>
    <t>Carlos by Carlos Santana Women's Jayne Flat Sandal, White, 7.5 Medium US</t>
  </si>
  <si>
    <t>Carlos by Carlos Santana Women's Jayne Flat Sandal, White, 9 Medium US</t>
  </si>
  <si>
    <t>Carlos by Carlos Santana Women's Vera Ankle Boot, TITANIBLUE, 7 Medium US</t>
  </si>
  <si>
    <t>8SKU -8 UNITS</t>
  </si>
  <si>
    <t>FBA16JP0GPFY/1ZW5124W0302165092</t>
  </si>
  <si>
    <t>Box #GR18265-Unrestricted shoes - Peter Pen - P2 Ecom Soutions LLC / My Origin</t>
  </si>
  <si>
    <t>1 Shipment   8/8=100%</t>
  </si>
  <si>
    <t>Tommy Hilfiger Womens Rian Faux Leather Ankle Rain Boots, Medium Brown, Size 5.0</t>
  </si>
  <si>
    <t>TOMMY HILFIGER/MARC FISHER LLC</t>
  </si>
  <si>
    <t>GR18266</t>
  </si>
  <si>
    <t>Tommy Hilfiger Women's Filip Sneaker, Natural, 8</t>
  </si>
  <si>
    <t>Tommy Hilfiger Women's Filip Sneaker, Natural, 8.5</t>
  </si>
  <si>
    <t>Tommy Hilfiger Women's Filip Sneaker, Natural, 9</t>
  </si>
  <si>
    <t>Tommy Hilfiger Women's Filip Sneaker, Natural, 9.5</t>
  </si>
  <si>
    <t>5SKU -5UNITS</t>
  </si>
  <si>
    <t>FBA16JNYXCLD/1ZW5124W0383190126</t>
  </si>
  <si>
    <t>Tommy Hilfiger Women's Filip Sneaker, Natural, 6.5</t>
  </si>
  <si>
    <t>Tommy Hilfiger Women's Filip Sneaker, Natural, 7.5</t>
  </si>
  <si>
    <t>4SKU -4UNITS</t>
  </si>
  <si>
    <t>FBA16JNVZ8H9/1ZW5124W0336256662</t>
  </si>
  <si>
    <t>FBA16JNXFLQ7/1ZW5124W0347484805</t>
  </si>
  <si>
    <t>Shoes TOMS Womens Classic Wedge Sandals Red 6.5M</t>
  </si>
  <si>
    <t>TOMS SHOES</t>
  </si>
  <si>
    <t>TOMS Womens Avery Wedge Booties Taupe 11M</t>
  </si>
  <si>
    <t>Shoes LELANI WN GRY SUED</t>
  </si>
  <si>
    <t>Box #GR18266-restricted shoes-Tommy Hilfiger - Marcus Apodaca - MediaNow23 (SFBA)</t>
  </si>
  <si>
    <t>3SHIPMENTS    7/10=70%</t>
  </si>
  <si>
    <t>Tommy Hilfiger Women's Skinny Crop Jean, White, 28</t>
  </si>
  <si>
    <t>TOMMY HILFIGER JEANS/G-III APPAREL</t>
  </si>
  <si>
    <t>mm18853</t>
  </si>
  <si>
    <t>Tommy Hilfiger Women's Scuba Crepe-Top Stitch Shortsleeve Sheath, Black, 14</t>
  </si>
  <si>
    <t>Tommy Hilfiger Women's Scuba Crepe-Top Stitch Shortsleeve Sheath, Black, 10</t>
  </si>
  <si>
    <t>TOMMY HILFIGER</t>
  </si>
  <si>
    <t>Tommy Hilfiger Women's Printed Chiffon Jump Suit, Sky Captain/Bloom, 14</t>
  </si>
  <si>
    <t>Tommy Hilfiger Women's Chiffon Quarter Sleeve Surplice Midi Dress, Silver/Ivory, 4</t>
  </si>
  <si>
    <t>Tommy Hilfiger Women's Short Sleeve V-Neck T-Shirt (Standard and Plus Size), Deep Navy, Medium</t>
  </si>
  <si>
    <t>Tommy Hilfiger Women's Short Sleeve V-Neck T-Shirt (Standard and Plus Size), Deep Black, XX-Large</t>
  </si>
  <si>
    <t>Tommy Hilfiger Women's Grommet Chain Neck Sheath, Black, 12</t>
  </si>
  <si>
    <t>Tommy Hilfiger Women's Grommet Chain Neck Sheath, Black, 10</t>
  </si>
  <si>
    <t>Tommy Hilfiger Women's Grommet Chain Neck Sheath, Black, 6</t>
  </si>
  <si>
    <t>Tommy Hilfiger Women's Grommet Chain Neck Sheath, Black, 4</t>
  </si>
  <si>
    <t>Tommy Hilfiger Women's Grommet Chain Neck Sheath, Black, 2</t>
  </si>
  <si>
    <t>Tommy Hilfiger Womens Midi Metallic Sheath Dress Black 16</t>
  </si>
  <si>
    <t>Tommy Hilfiger Womens Grommet Split Neck Shift Dress Red 10</t>
  </si>
  <si>
    <t>Tommy Hilfiger Womens Midi Metallic Sheath Dress Black 14</t>
  </si>
  <si>
    <t>Tommy Hilfiger Women's V-Neck Stretch Lace Fit and Flare Midi, Black/Gold, 2</t>
  </si>
  <si>
    <t>Tommy Hilfiger Women's Jersey Fit and Flare Midi Dress, Black/Scarlet, 12</t>
  </si>
  <si>
    <t>Tommy Hilfiger Women's Jersey Fit and Flare Midi Dress, Black/Scarlet, 4</t>
  </si>
  <si>
    <t>Tommy Hilfiger Womens Velvet Knit Cocktail Dress Black 14</t>
  </si>
  <si>
    <t>Tommy Hilfiger Women's Sweater Dress, Black, Large</t>
  </si>
  <si>
    <t>Tommy Hilfiger Women's Sweater Dress, Black, Medium</t>
  </si>
  <si>
    <t>Tommy Hilfiger Women's Sweater Dress, Black, Small</t>
  </si>
  <si>
    <t>Tommy Hilfiger Women's Sweater Dress, Mink Multi, Medium</t>
  </si>
  <si>
    <t>Tommy Hilfiger Flag Logo Tee Sky Captain XL (US 16-18)</t>
  </si>
  <si>
    <t>Tommy Hilfiger Flag Logo Tee Sky Captain SM (US 4-6)</t>
  </si>
  <si>
    <t>Tommy Hilfiger Womens Plus Knit Open Front Shrug Sweater Navy 2X</t>
  </si>
  <si>
    <t>Tommy Hilfiger Womens Chiffon V-Neck Top Pink 2X</t>
  </si>
  <si>
    <t>Tommy Hilfiger Womens Logo Graphic T-Shirt, Pink, 2X</t>
  </si>
  <si>
    <t>Tommy Hilfiger Women's Short Sleeve V-Neck T-Shirt (Standard and Plus Size), Indigo Heather, X-Large</t>
  </si>
  <si>
    <t>Tommy Hilfiger Women's Short Sleeve V-Neck T-Shirt (Standard and Plus Size), Indigo Heather, Large</t>
  </si>
  <si>
    <t>Tommy Hilfiger Womens Crew Neck Short Sleeves T-Shirt Red XL</t>
  </si>
  <si>
    <t>Tommy Hilfiger Womens Logo Basic T-Shirt, Red, Large</t>
  </si>
  <si>
    <t>Tommy Hilfiger Womens Logo Basic T-Shirt, Red, Medium</t>
  </si>
  <si>
    <t>Tommy Hilfiger Women's Button Sleeve Shrug, Powder, X-Large</t>
  </si>
  <si>
    <t>Tommy Hilfiger 3/4 Sleeve Pompadour Dress Black Multi 6</t>
  </si>
  <si>
    <t>Tommy Hilfiger Womens Plus Metallic Knee Sheath Dress Black 22W</t>
  </si>
  <si>
    <t>Tommy Hilfiger Womens Plus Metallic Knee Sheath Dress Black 20W</t>
  </si>
  <si>
    <t>Tommy Hilfiger Womens Plus Lace Metallic Cocktail and Party Dress Black 2</t>
  </si>
  <si>
    <t>Tommy Hilfiger Women's Plus Size Hardware-Sleeve Shift Dress (22W, Sky Captain)</t>
  </si>
  <si>
    <t>Tommy Hilfiger Women's Sheath Dress, Jet Black, 8</t>
  </si>
  <si>
    <t>Tommy Hilfiger Women's Trapeze Dress, Cypress, 4</t>
  </si>
  <si>
    <t>41SKU -43UNITS</t>
  </si>
  <si>
    <t>FBA16JPCD9JM</t>
  </si>
  <si>
    <t>Tommy Hilfiger Plus Size Cotton V-Neck T-Shir Sugar Violet 2X</t>
  </si>
  <si>
    <t>Tommy Hilfiger Plus Size Windowpane Roll-Slee BlossomDropcloth 2X</t>
  </si>
  <si>
    <t>Tommy Jeans Juniors Logo Hoodie Dress Gray S</t>
  </si>
  <si>
    <t>Box #mm18853-Tommy Hilfiger  - Imad - Shop'Drop (SFBA)</t>
  </si>
  <si>
    <t>Imad Hatoum</t>
  </si>
  <si>
    <t>Shop'Drop (SFBA)</t>
  </si>
  <si>
    <t>1SHIPMENT    41/44=93%</t>
  </si>
  <si>
    <t>Tommy Hilfiger Women's Scuba Crepe-Top Stitch Shortsleeve Sheath, Black, 12</t>
  </si>
  <si>
    <t>mm18854</t>
  </si>
  <si>
    <t>Tommy Hilfiger Women's Short Sleeve V-Neck T-Shirt (Standard and Plus Size), Deep Navy, XX-Large</t>
  </si>
  <si>
    <t>Tommy Hilfiger Women's Classic Belted Fit and Flare Midi Dress, Cream, 16</t>
  </si>
  <si>
    <t>Tommy Hilfiger Womens Grommet Split Neck Shift Dress Red 14</t>
  </si>
  <si>
    <t>Tommy Hilfiger Womens Grommet Split Neck Shift Dress Red 12</t>
  </si>
  <si>
    <t>Tommy Hilfiger Womens Grommet Split Neck Shift Dress Red 8</t>
  </si>
  <si>
    <t>Tommy Hilfiger Womens Grommet Split Neck Shift Dress Red 2</t>
  </si>
  <si>
    <t>Tommy Hilfiger Women's Fit and Flare Midi Dress, Black/Gold, 12</t>
  </si>
  <si>
    <t>Tommy Hilfiger Colorblocked Zip-Up Hoodie True Blue Heather XL</t>
  </si>
  <si>
    <t>TOMMY HILFIGER SPORT/G-III APPAREL</t>
  </si>
  <si>
    <t>Tommy Hilfiger Womens Plus Flutter Sleeve Crewneck Sheath Dress Red 22W</t>
  </si>
  <si>
    <t>Tommy Hilfiger Womens Red Ruffled Zippered Cap Sleeve Jewel Neck Knee Length Shift Cocktail Dress Size 14W</t>
  </si>
  <si>
    <t>Tommy Hilfiger Womens Black Sleeveless Above The Knee Sheath Dress Petites 6P</t>
  </si>
  <si>
    <t>Tommy Hilfiger Women's Dress Plus Sheath Flounce Hem Red 18W</t>
  </si>
  <si>
    <t>Tommy Hilfiger Womens Black Embroidered Zippered Floral Sleeveless Jewel Neck Above The Knee A-Line Party Dress Size 18</t>
  </si>
  <si>
    <t>Tommy Hilfiger Women's Button Trim Sheath, Black, 14</t>
  </si>
  <si>
    <t>Tommy Hilfiger Women's Fit and Flare Button Sleeve Dress, Aubergine, 10</t>
  </si>
  <si>
    <t>Tommy Hilfiger Womens Gray Embellished Long Sleeve Open Cardigan Wear to Work Sweater Size S</t>
  </si>
  <si>
    <t>Tommy Hilfiger Womens Floral Peasant Blouse, Multicoloured, XX-Large Green</t>
  </si>
  <si>
    <t>Tommy Hilfiger Women's Midi Dress, Blue Ivory, 12</t>
  </si>
  <si>
    <t>Tommy Hilfiger Women's Midi Dress, Blue Ivory, 4</t>
  </si>
  <si>
    <t>Tommy Hilfiger Women's Sweater Dress, Sky Captain/Black/Charcoal, Medium</t>
  </si>
  <si>
    <t>Tommy Hilfiger Womens Bell Sleeve Floral Sheath Dress Purple 8</t>
  </si>
  <si>
    <t>Tommy Hilfiger 3/4 Sleeve Pompadour Dress Black Multi 2</t>
  </si>
  <si>
    <t>Tommy Hilfiger Women's Shift Dress, Sky Captain/Gold, 12</t>
  </si>
  <si>
    <t>Tommy Hilfiger Almeria Floral-Print Midi Dres Blk Scarlet 18</t>
  </si>
  <si>
    <t>Tommy Hilfiger Womens Paisley Fit &amp; Flare Wrap Dress Black 6</t>
  </si>
  <si>
    <t>Tommy Hilfiger Chiffon Balloon Sleeve Fit-and-Flare Godet Skirt Black/Forest 8</t>
  </si>
  <si>
    <t>Tommy Hilfiger Womens Gray Long Sleeve Open Cardigan Sweater Size: L</t>
  </si>
  <si>
    <t>Tommy Hilfiger Womens Gray Embellished Long Sleeve Open Cardigan Straight Leg Cardigan Size M</t>
  </si>
  <si>
    <t>35 SKU's -  37 UNITS</t>
  </si>
  <si>
    <t xml:space="preserve">FBA16JPHMZWJ	</t>
  </si>
  <si>
    <t>FBA16JPJY08S</t>
  </si>
  <si>
    <t>STRIPE SWEATER/ SHRUG SE</t>
  </si>
  <si>
    <t>Tommy Hilfiger Plus Size Striped-Sleeve Top Navy Multi 1X</t>
  </si>
  <si>
    <t>Tommy Hilfiger Flex-Fit Ankle Pants Navy 16</t>
  </si>
  <si>
    <t>3/4 SLV JRSY CHAIN ALINE</t>
  </si>
  <si>
    <t>Tommy Hilfiger Petite Ruffle-Hem Dress Sky Captain Multi 6P</t>
  </si>
  <si>
    <t>Box #mm18854-Tommy Hilfiger  - Imad - Shop'Drop (SFBA)</t>
  </si>
  <si>
    <t>2  SHIPMENTS (35/40= 88%)</t>
  </si>
  <si>
    <t>Eliza J Womens Gray Long Sleeve Knee Length Sheath Evening Dress Petites 12P</t>
  </si>
  <si>
    <t>ELIZA J/G-III APPAREL GROUP</t>
  </si>
  <si>
    <t>mm18856</t>
  </si>
  <si>
    <t>Eliza J Women's Flutter-Sleeve Sparkle Gown (6, Black/Silver)</t>
  </si>
  <si>
    <t>ELIZA J</t>
  </si>
  <si>
    <t>Eliza J Womens Gown, 4</t>
  </si>
  <si>
    <t>Vince Camuto Womens Plus Metallic Ruched Cocktail Dress Silver 22W</t>
  </si>
  <si>
    <t>Vince Camuto Womens Silver Short Sleeve Jewel Neck Above The Knee Body Con Evening Dress Size 20W</t>
  </si>
  <si>
    <t>Vince Camuto Womens Gray Short Sleeve Above The Knee Body Con Dress Plus 18W</t>
  </si>
  <si>
    <t>VINCE CAMUTO/G-III APPAREL GROUP</t>
  </si>
  <si>
    <t>Vince Camuto Womens Plus Metallic Ruched Cocktail Dress Silver 16W</t>
  </si>
  <si>
    <t>Vince Camuto Womens Gray Short Sleeve Body Con Evening Dress 14W Plus</t>
  </si>
  <si>
    <t>Jessica Howard Womens Black 3/4 Sleeve Midi Shift Dress Petites 6P</t>
  </si>
  <si>
    <t>R&amp;M Richards Womens Glitter Long Evening Dress Black 14</t>
  </si>
  <si>
    <t>City Studio Womens Juniors Glitter Mini Halter Dress Blue 11</t>
  </si>
  <si>
    <t>City Studios</t>
  </si>
  <si>
    <t>City Studio Womens Black Cut Out Spaghetti Strap V Neck Short Hi-Lo Party Dress Size 15</t>
  </si>
  <si>
    <t>Betsy &amp; Adam Womens Black Glitter Halter Knee Length Sheath Evening Dress Size 2</t>
  </si>
  <si>
    <t>B&amp;A by Betsy and Adam Womens Glitter Evening Cocktail and Party Dress Black 6</t>
  </si>
  <si>
    <t>SLNY Womens Burgundy Embellished Zippered Sleeveless Jewel Neck Full-Length Fit + Flare Formal Dress Size 12</t>
  </si>
  <si>
    <t>Emerald Sundae Womens Pink Textured Glitter Sheer Spaghetti Strap Mini Fit Flare Party Dress Pink Medium</t>
  </si>
  <si>
    <t>16  SKU = 24 UNITS</t>
  </si>
  <si>
    <t>FBA16JP85S37/1ZW5124W0348889671</t>
  </si>
  <si>
    <t>Jessica Howard Women's Sheath Dress (Regular, Plus), Black, 10 Petite</t>
  </si>
  <si>
    <t>R&amp;M Richards Women's Plus Size lace Off The Shoulder Gown, Steel, 14W</t>
  </si>
  <si>
    <t>S.L. Fashions Women's Short Sequin Sheath Dress, Wine, 6</t>
  </si>
  <si>
    <t>S.L. Fashions Women's Short Sequin Sheath Dress, Wine, 8</t>
  </si>
  <si>
    <t>S.L. Fashions Women's Short Sequin Sheath Dress, Wine, 12</t>
  </si>
  <si>
    <t>5  SKU = 5 UNITS</t>
  </si>
  <si>
    <t>FBA16JP60RVD/1ZW5124W0374062522</t>
  </si>
  <si>
    <t>Betsy Adam Glitter-Print Bodycon Dress BlackRose 14</t>
  </si>
  <si>
    <t>Box #mm18856-unrestricted  - Imad - Shop'Drop (SFBA)</t>
  </si>
  <si>
    <t>Imad</t>
  </si>
  <si>
    <t>2 SHIPMENTS 21/22=95%</t>
  </si>
  <si>
    <t>Calvin Klein Women's Plus Size 1981 Bold Cotton Bikini Panty, Temper, 3X</t>
  </si>
  <si>
    <t>mm18855</t>
  </si>
  <si>
    <t>Calvin Klein Womens Beige Zippered Striped Short Sleeve Jewel Neck Mini Sheath Dress Size 4</t>
  </si>
  <si>
    <t>Calvin Klein Floral-Print Pleated Chiffon D BlackRed Multi 8P</t>
  </si>
  <si>
    <t>Calvin Klein Women's Off The Shoulder Center Notch Gown, Malachite, 14</t>
  </si>
  <si>
    <t>Calvin Klein Women's Off The Shoulder Center Notch Gown, Twilight Solid, 6</t>
  </si>
  <si>
    <t>Calvin Klein Women’s Plus Size Sequin Cap-Sleeve Gown Indigo/Black 14W</t>
  </si>
  <si>
    <t>Calvin Klein Women's Size Tiered Bell Sleeve Dress, Black 2, 18 Plus</t>
  </si>
  <si>
    <t>Calvin Klein Women's Size Three-Quarter-Sleeve Mock-Wrap Dress, Aubergine, 20 Plus</t>
  </si>
  <si>
    <t>Calvin Klein Womens Black Plaid Short Sleeve Short Sheath Party Dress Size: 8</t>
  </si>
  <si>
    <t>Calvin Klein Womens Sleeveless Midi Fit &amp; Flare Dress Purple 4</t>
  </si>
  <si>
    <t>Calvin Klein Womens Office Wear Professional Wear to Work Dress Blue 4</t>
  </si>
  <si>
    <t>Calvin Klein Off-The-Shoulder Lace Midi Dre IndigoNude 4</t>
  </si>
  <si>
    <t>Calvin Klein Twisted Halter Gown Viridian Green 14</t>
  </si>
  <si>
    <t>Calvin Klein Womens Blue Slitted Short Sleeve Queen Anne Neckline Full-Length Formal Sheath Dress 14</t>
  </si>
  <si>
    <t>Calvin Klein Women's Button Chiffon Flutter Sleeve Sheath Dress, Black, 8</t>
  </si>
  <si>
    <t>Calvin Klein Women's Petite Red-Floral A-Line Dress (2P, Red/Black Multi)</t>
  </si>
  <si>
    <t>Calvin Klein Womens V Neck Embellished Cocktail and Party Dress Black 6</t>
  </si>
  <si>
    <t>Calvin Klein Self Tie Belted Midi Dress w/Embellished Shoulder Detail Black 4</t>
  </si>
  <si>
    <t>Calvin Klein Women's Sheath Dress with Pearl Neck, Black 2, 16</t>
  </si>
  <si>
    <t>Calvin Klein Women's Long Sleeve Bandage Dress with Illusion Neckline, Black, 16</t>
  </si>
  <si>
    <t>Calvin Klein Long Sleeve Top with Piping Detail Soft White SM (US 4-6)</t>
  </si>
  <si>
    <t>CALVIN KLEIN WMS/G-III APPAREL GRP</t>
  </si>
  <si>
    <t>Calvin Klein Womens Textured Pullover Blouse, Black, 1X</t>
  </si>
  <si>
    <t>Calvin Klein Dot-Print Ruffle-Sleeve Dress Purplegold 4</t>
  </si>
  <si>
    <t>Calvin Klein Metallic Plaid Belted Dress BlackCreamSilver 4</t>
  </si>
  <si>
    <t>Calvin Klein Cape-Sleeve Sheath Dress Aubergine 4</t>
  </si>
  <si>
    <t>Calvin Klein Paisley Chiffon Trapeze Dress BlackCream 10</t>
  </si>
  <si>
    <t>Calvin Klein Feather-Trim Shrug Black XL</t>
  </si>
  <si>
    <t>Calvin Klein Feather-Trim Shrug Black L</t>
  </si>
  <si>
    <t>Calvin Klein Feather-Trim Shrug Black S</t>
  </si>
  <si>
    <t>29 SKU-30 units</t>
  </si>
  <si>
    <t>FBA16JP5XLTP/1ZW5124W0367759641</t>
  </si>
  <si>
    <t>Calvin Klein Women's Off The Shoulder High Low Gown, Malachite, 8</t>
  </si>
  <si>
    <t>FBA16JP7F5MR/1ZW5124W0357586249</t>
  </si>
  <si>
    <t>BELLS SLV MESH INSERT SH</t>
  </si>
  <si>
    <t>Calvin Klein Off-The-Shoulder Ruffle Sheath Cream 14</t>
  </si>
  <si>
    <t>Calvin Klein Plus Size Pencil Skirt Brown 20W</t>
  </si>
  <si>
    <t>Calvin Klein Plus Size Faux-Suede-Front Pul Black 3X</t>
  </si>
  <si>
    <t>Calvin Klein Plus Size Chain-Stitch Sweater Winter White 1X</t>
  </si>
  <si>
    <t>Calvin Klein Plus Size Chain-Stitch Sweater Black 3X</t>
  </si>
  <si>
    <t>Calvin Klein Plus Size Cowl-Neck Round-Hem Bonsai 3X</t>
  </si>
  <si>
    <t>Box #mm18855-Calvin-Klein  - Imad - Shop'Drop (SFBA)</t>
  </si>
  <si>
    <t>2 shipments  30/37=81%</t>
  </si>
  <si>
    <t>kensie Womens Lace Metallic Cocktail Dress Black 8</t>
  </si>
  <si>
    <t>KENSIE/G-III APPAREL GROUP</t>
  </si>
  <si>
    <t>mm18857</t>
  </si>
  <si>
    <t>Blondie Nites Womens Juniors Glitter Strapless Mini Dress Green 3</t>
  </si>
  <si>
    <t>Blondie Nites</t>
  </si>
  <si>
    <t>Blondie Nites Womens Juniors Glitter Strapless Mini Dress Green 9</t>
  </si>
  <si>
    <t>Blondie Nites Womens Juniors Glitter Halter Fit &amp; Flare Dress Black 1</t>
  </si>
  <si>
    <t>Blondie Nites Dress Junior A-Line Glitter-Flower Halter Black 13</t>
  </si>
  <si>
    <t>JUMP Womens Black Short Sleeve Jewel Neck Above The Knee Body Con Cocktail Dress Size 2XS</t>
  </si>
  <si>
    <t>JUMP APPAREL/JUMP DESIGN GROUP</t>
  </si>
  <si>
    <t>City Studio Womens Juniors Hi-Low Lace Cocktail Dress Navy 3</t>
  </si>
  <si>
    <t>City Studio Womens Floral Glitter Halter Dress Blue 1</t>
  </si>
  <si>
    <t>City Studio Womens Floral Glitter Halter Dress Blue 9</t>
  </si>
  <si>
    <t>City Studio Womens Beige Embroidered Sleeveless Halter Full-Length Fit + Flare Prom Dress Size 9</t>
  </si>
  <si>
    <t>City Studio Womens Juniors Glitter Hi-Low Cocktail and Party Dress Black 1</t>
  </si>
  <si>
    <t>City Studio Womens Juniors Glitter Hi-Low Cocktail and Party Dress Black 9</t>
  </si>
  <si>
    <t>City Studio Womens Juniors Glitter Hi-Low Cocktail and Party Dress Black 11</t>
  </si>
  <si>
    <t>Speechless Womens Black Spaghetti Strap Square Neck Short Fit + Flare Party Dress Size 7</t>
  </si>
  <si>
    <t>Blondie Womens Pink Halter Mini Sheath Party Dress Juniors Size: 9</t>
  </si>
  <si>
    <t>R&amp;M Richards Women's Plus Size 3 PCE Laced Duster Jacket Shell and Solid Pant,  Champagne,  18W</t>
  </si>
  <si>
    <t>R &amp; M Richards Womens Halter Metallic Evening Dress Gold 8</t>
  </si>
  <si>
    <t>ROBBIE BEE Womens Black Glitter 3/4 Sleeve Scoop Neck Short Faux Wrap Party Dress Size PS</t>
  </si>
  <si>
    <t>Signature by Robbie Bee Womens Petites Sparkle Cocktail and Party Dress Gray PS</t>
  </si>
  <si>
    <t>ROBBIE BEE Womens Gray Glitter Ombre Short Sleeve Crew Neck Above The Knee Sheath Cocktail Dress Size PM</t>
  </si>
  <si>
    <t>Jessica Howard Womens Petites 2PC Jacket Wear to Work Dress Black 4P</t>
  </si>
  <si>
    <t>22 SKU-24 units</t>
  </si>
  <si>
    <t>FBA16JP9T1HK</t>
  </si>
  <si>
    <t>Jump Apparel Womens Juniors Printed Party T-Shirt Dress Black XS</t>
  </si>
  <si>
    <t>FBA16JP9T5RT</t>
  </si>
  <si>
    <t>Box #mm18857-unrestricted  - Imad - Shop'Drop (SFBA)</t>
  </si>
  <si>
    <t xml:space="preserve">2 Shipment     23/23 = 100% </t>
  </si>
  <si>
    <t>Tommy Hilfiger Women's Bow Tie Jumpsuit, Jet Black, 16</t>
  </si>
  <si>
    <t>mm18858</t>
  </si>
  <si>
    <t>Tommy Hilfiger Womens Red Ruffled Zippered Cap Sleeve Jewel Neck Knee Length Shift Cocktail Dress Size 16W</t>
  </si>
  <si>
    <t>Tommy Hilfiger Women's Sweater Dress, Aubergine Solid, X-Large</t>
  </si>
  <si>
    <t>Tommy Hilfiger Women's Sweater Dress, Mink Multi, X-Large</t>
  </si>
  <si>
    <t>Tommy Hilfiger Womens Gray Embellished Long Sleeve Open Cardigan Wear to Work Sweater Size XL</t>
  </si>
  <si>
    <t>Tommy Hilfiger Womens Brown Animal Print Sleeveless Jewel Neck Short Sheath Wear to Work Dress Size 16</t>
  </si>
  <si>
    <t>Tommy Hilfiger Womens Metallic Animal Print Mini Dress Black 6P</t>
  </si>
  <si>
    <t>Tommy Hilfiger Women's Shift Dress, Sky Captain/Gold, 14</t>
  </si>
  <si>
    <t>Tommy Hilfiger Women's Smock Waist Fit and Flare Dress, Black/Forest, 4</t>
  </si>
  <si>
    <t>FBA16JPCGYK6</t>
  </si>
  <si>
    <t>Tommy Hilfiger Women's Round Neck Dress, Sky Captain/Parchment, 12</t>
  </si>
  <si>
    <t>FBA16JPDBP22</t>
  </si>
  <si>
    <t>Tommy Hilfiger Almeria Floral-Print Midi Dres Blk Scarlet 10</t>
  </si>
  <si>
    <t>Box #mm18858-Tommy Hilfiger  - Imad - Shop'Drop (SFBA)</t>
  </si>
  <si>
    <t>2SHIPMENTS    14/16=88%</t>
  </si>
  <si>
    <t>Calvin Klein Womens Plus Hi-Low Ruffled Sheath Dress Black 22W</t>
  </si>
  <si>
    <t>mm18859</t>
  </si>
  <si>
    <t>Tommy Hilfiger Womens Plus Surplice Wide Leg Jumpsuit Black 18W</t>
  </si>
  <si>
    <t>Calvin Klein Women's Maxi Wrap Dress, Black, 10</t>
  </si>
  <si>
    <t>Calvin Klein Women's Maxi Wrap Dress, Black, 2</t>
  </si>
  <si>
    <t>Calvin Klein Womens Petites Faux Fur Soft Shrug Black PS</t>
  </si>
  <si>
    <t>Calvin Klein Women's Size Lace Trim Bell-Sleeve Sheath Dress, Red, 18 Plus</t>
  </si>
  <si>
    <t>Calvin Klein Women's Sleeveless Sheath with Front Side Slit, Red, 16</t>
  </si>
  <si>
    <t>Calvin Klein Womens Green Short Sleeve Below The Knee Sheath Dress Plus 22W</t>
  </si>
  <si>
    <t>Calvin Klein Women's Dress Plus Sheath Faux Suede Green 20W</t>
  </si>
  <si>
    <t>Calvin Klein Womens Office Wear Professional Wear to Work Dress Blue 2</t>
  </si>
  <si>
    <t>Calvin Klein Womens Purple Sleeveless Jewel Neck Above The Knee Sheath Wear to Work Dress Size 16</t>
  </si>
  <si>
    <t>Calvin Klein Women's Off The Shoulder Sheath with Flounce Hem, Indigo/Nude, 6</t>
  </si>
  <si>
    <t>Calvin Klein Performance Printed High-Waist Leggings- Sunset Stripe Tangelo Combo XXL</t>
  </si>
  <si>
    <t>CK PERFORMANCE/G-III APPAREL GROUP</t>
  </si>
  <si>
    <t>Calvin Klein Women's Maxi Dress with Tie Front, Black, 8</t>
  </si>
  <si>
    <t>Calvin Klein Women's A-Line Dress with Flutter Sleeves and Cross Front, Caper/Gold, 8</t>
  </si>
  <si>
    <t>Calvin Klein Womens Blue Sheer Solid Sleeveless Jewel Neck Below The Knee Fit + Flare Dress Size 4</t>
  </si>
  <si>
    <t>Calvin Klein Women's 3/4 Sleeve Knit Shrug, Ultramarine, X-Large</t>
  </si>
  <si>
    <t>Calvin Klein Self Tie Belted Midi Dress w/Embellished Shoulder Detail Black 10</t>
  </si>
  <si>
    <t>Calvin Klein Women's Sleeveless Sheath with Asymmetrical Neckline Dress, Black 2, 12</t>
  </si>
  <si>
    <t>Calvin Klein Women's Sleeveless Sheath with Asymmetrical Neckline Dress, Black 2</t>
  </si>
  <si>
    <t>Calvin Klein Mock Halter Neck Midi Dress Red 4</t>
  </si>
  <si>
    <t>Calvin Klein Women's Sleeveless Floral Embroidered Fit and Flare Dress, Ultramarine/Black, 14</t>
  </si>
  <si>
    <t>Calvin Klein Women's Ruffle Sleeve Blouse with V Neck, Soft White, Small</t>
  </si>
  <si>
    <t>Calvin Klein Women's M0LS6711, Jungle Green, Extra Large</t>
  </si>
  <si>
    <t>Calvin Klein Women's M0LS6711, Jungle Green, Extra Small</t>
  </si>
  <si>
    <t>Calvin Klein Womens Party Short Mini Dress Red 16</t>
  </si>
  <si>
    <t>Calvin Klein Women's Mixed Media Sheath Dress, Plaid Combo, 2</t>
  </si>
  <si>
    <t>Calvin Klein Women's Printed Crew Roll Sleeve, BLK/Latte, Extra Small</t>
  </si>
  <si>
    <t>Calvin Klein Womens Velvet Layering Shrug Sweater Black S</t>
  </si>
  <si>
    <t>Calvin Klein Women's Three Quarter Sleeved Suede Shrug, Black, X-Large</t>
  </si>
  <si>
    <t>Calvin Klein Women's Solid Shrug with Faux Fur Trim, Black, Medium</t>
  </si>
  <si>
    <t>31 SKU's -  33 UNITS</t>
  </si>
  <si>
    <t>FBA16JPJDPZX</t>
  </si>
  <si>
    <t>Calvin Klein Women's Sleeveless Sequin Sheath Dress, Silver/Aubergine, 12</t>
  </si>
  <si>
    <t>Calvin Klein Women's Plus Size Essential Power Stretch Ponte Legging, Black Shimmer, 2X</t>
  </si>
  <si>
    <t>Calvin Klein Women's Sleeveless Gown with Asymmetrical Caplet, Twilight, 10</t>
  </si>
  <si>
    <t>3 SKU's -  3 UNITS</t>
  </si>
  <si>
    <t>FBA16JPKFJVT</t>
  </si>
  <si>
    <t>Calvin Klein Printed Rhinestone-Pocket T-Sh Rouge M</t>
  </si>
  <si>
    <t>Calvin Klein Plus Size V-Neck High-Low Top Sea Level 1X</t>
  </si>
  <si>
    <t>Calvin Klein Plus Size Cowl-Neck Round-Hem Secret 3X</t>
  </si>
  <si>
    <t>Calvin Klein Chiffon-Sleeve Faux-Leather-Tr Black 8</t>
  </si>
  <si>
    <t>Calvin Klein Plus Size Slim Ankle-Length Pa Black White 14W</t>
  </si>
  <si>
    <t>Box #mm18859-Calvin Klein  - Imad - Shop'Drop (SFBA)</t>
  </si>
  <si>
    <t>2 SHIPMENTS (34/39= 87%)</t>
  </si>
  <si>
    <t>Calvin Klein Women's Size Tiered Bell Sleeve Dress, Jet Black, 14 Plus</t>
  </si>
  <si>
    <t>mm18860</t>
  </si>
  <si>
    <t>Calvin Klein Sequin Gown with Shoulder Cutout Black Multi 6</t>
  </si>
  <si>
    <t>Calvin Klein Sequin Gown with Shoulder Cutout Black Multi 2</t>
  </si>
  <si>
    <t>Calvin Klein Womens Red Bell Sleeve Boat Neck Above The Knee Sheath Evening Dress Size 14</t>
  </si>
  <si>
    <t>Calvin Klein Womens Navy Sleeveless Open Cardigan Poncho Evening Top Size S</t>
  </si>
  <si>
    <t>Calvin Klein Womens Purple Embellished Sleeveless Jewel Neck Formal Top Size XL</t>
  </si>
  <si>
    <t>Calvin Klein Womens Chiffon Sheer Embellished Capelet Purple M</t>
  </si>
  <si>
    <t>Calvin Klein Womens Green Spaghetti Strap V Neck Full-Length Evening Sheath Dress Plus 16W</t>
  </si>
  <si>
    <t>Calvin Klein Women's Sleeveless Jumpsuit with Notch V Neckline, Malachite, 8 Petite</t>
  </si>
  <si>
    <t>Calvin Klein Women's Size Three-Quarter-Sleeve Mock-wrap Dress, Black/Gold with Buckley, 20 Plus</t>
  </si>
  <si>
    <t>Calvin Klein Animal Print Velvet Burnout Dress, Malachite, 4 Greens</t>
  </si>
  <si>
    <t>Calvin Klein Women's Square Neck Sheath with Cap Sleeve Dress, Aubergine, 4 Petite</t>
  </si>
  <si>
    <t>Calvin Klein Women's Off The Shoulder Sheath with Flounce Hem, Indigo/Nude, 4</t>
  </si>
  <si>
    <t>Calvin Klein Women's Off The Shoulder Sheath with Flounce Hem, Indigo/Nude, 2</t>
  </si>
  <si>
    <t>Calvin Klein Women's Size Sheath Dress with Pearl Neck, Black, 14 Plus</t>
  </si>
  <si>
    <t>Calvin Klein Women's Sheath Dress with Pearl Neck, Black 2, 6</t>
  </si>
  <si>
    <t>Calvin Klein Women's Size Sheath Dress with Pearl Neck, Black, 18 Plus</t>
  </si>
  <si>
    <t>Calvin Klein Women's Sleeveless Floral Embroidered Fit and Flare Dress, Ultramarine/Black, 6</t>
  </si>
  <si>
    <t>Calvin Klein Women's Short Sleeve CALVN Logo Dress, Klein Blue, Large</t>
  </si>
  <si>
    <t>Calvin Klein Women's Printed Short Sleeve V Neck Blouse with Smocking, JNG/BLK/WHT, Extra Large</t>
  </si>
  <si>
    <t>Calvin Klein Women's Casual, Rouge/Black, Extra Large</t>
  </si>
  <si>
    <t>CALVIN KLEN SPTWR/G-III APPAREL GRP</t>
  </si>
  <si>
    <t>Calvin Klein Glitter Jersey Belted Dress with V-Neck Red/Black 4</t>
  </si>
  <si>
    <t>Calvin Klein Women's Velvet Glitter Faux Wrap Dress, Black/Gold, 16</t>
  </si>
  <si>
    <t>Calvin Klein Women's Velvet Glitter Faux Wrap Dress, Black/Gold, 12</t>
  </si>
  <si>
    <t>Calvin Klein Women's Long Sleeve Trapeze Dress, Black/Cream, 10</t>
  </si>
  <si>
    <t>Calvin Klein Women's Modern Essential Zipper Button Front Blouse,Watermelon,Small</t>
  </si>
  <si>
    <t>29  SKU = 29 UNITS</t>
  </si>
  <si>
    <t>FBA16JP8718F/1ZW5124W0335581133</t>
  </si>
  <si>
    <t>Calvin Klein Womens V Neck Embellished Cocktail and Party Dress Black 8</t>
  </si>
  <si>
    <t>Calvin Klein Women's V-Neckline Cocktail Sheath with Flutter Sleeve, Black, 2</t>
  </si>
  <si>
    <t>Calvin Klein Sequin Gown with Shoulder Cutout Black Multi 10</t>
  </si>
  <si>
    <t>Calvin Klein Women's Shimmery Jersy Gown with Spaghetti Strap with Hardware Detail, Black Multi, 16</t>
  </si>
  <si>
    <t>Calvin Klein Women's Spaghetti Strap Gown with Blouson Bodice Dress, Black Multi, 14</t>
  </si>
  <si>
    <t>FBA16JP9623K/1ZW5124W0331950009</t>
  </si>
  <si>
    <t>Calvin Klein V-Neck Printed Top Jungle Print XL</t>
  </si>
  <si>
    <t>Calvin Klein Calvin Klein Fringe-Trim Sweat Blush L</t>
  </si>
  <si>
    <t>Calvin Klein Plus Size Printed Top Wild Cat Vivid Violet 3X</t>
  </si>
  <si>
    <t>Box #mm18860-Calvin Klein - Imad - Shop'Drop (SFBA)</t>
  </si>
  <si>
    <t>2 SHIPMENTS 34/37=92%</t>
  </si>
  <si>
    <t>B. Darlin Womens Juniors Floral Print Belted Casual Dress Green 1/2</t>
  </si>
  <si>
    <t>mm18861</t>
  </si>
  <si>
    <t>B. Darlin Dress Junior A-Line Off Shoulder Crochet Waist Black 3</t>
  </si>
  <si>
    <t>B. Darlin Womens Juniors Off-The-Shoulder Cut-Out Fit &amp; Flare Dress Black 5/6</t>
  </si>
  <si>
    <t>B Darlin Womens Black Embellished Off Shoulder Mini Fit + Flare Formal Dress Size 9</t>
  </si>
  <si>
    <t>B Darlin Womens Navy Cut Out Sleeveless V Neck Above The Knee Fit + Flare Dress Size 5</t>
  </si>
  <si>
    <t>B. Darlin Womens Juniors Printed High Neck Bodycon Dress Red 1/2</t>
  </si>
  <si>
    <t>B. Darlin Womens Juniors Printed High Neck Bodycon Dress Red 5/6</t>
  </si>
  <si>
    <t>B Darlin Womens Gray Sequined Cut Out Long Sleeve Mock Short Body Con Cocktail Dress Size 13</t>
  </si>
  <si>
    <t>B Darlin Trendy Plus Size Off-The-Shoul Vintage Pink 18W</t>
  </si>
  <si>
    <t>B Darlin Trendy Plus Size Off-The-Shoul Wine 18W</t>
  </si>
  <si>
    <t>B Darlin Juniors' Lace-Top A-Line Dress Day Green 5/6</t>
  </si>
  <si>
    <t>B. Darlin Womens Juniors Scalloped V-Neck Fit &amp; Flare Dress Blue 3/4</t>
  </si>
  <si>
    <t>B Darlin</t>
  </si>
  <si>
    <t>B. Darlin Womens Juniors Scalloped V-Neck Fit &amp; Flare Dress Blue 13/14</t>
  </si>
  <si>
    <t>B Darlin Juniors Off-The-Shoulder Scal Navy 34</t>
  </si>
  <si>
    <t>B Darlin Juniors Off-The-Shoulder Scal Navy 1112</t>
  </si>
  <si>
    <t>B Darlin Juniors Strapless Bubble-Hem Red 1314</t>
  </si>
  <si>
    <t>19 SKU-25 units</t>
  </si>
  <si>
    <t>FBA16JP6THBP</t>
  </si>
  <si>
    <t>B Darlin Juniors' Off-The-Shoulder Fit &amp; Flare Dress (5/6, Dark Garnet)</t>
  </si>
  <si>
    <t>B. Darlin Dress Junior Sheath Tulip Hem Shimmer Knit Mini Silver 3</t>
  </si>
  <si>
    <t>B. Darlin Womens Juniors Printed High Neck Bodycon Dress Red 7/8</t>
  </si>
  <si>
    <t>B. Darlin Womens Juniors Printed High Neck Bodycon Dress Red 9/10</t>
  </si>
  <si>
    <t>B Darlin Womens Gray Long Sleeve Short Body Con Cocktail Dress Juniors 5</t>
  </si>
  <si>
    <t>B. Darlin Womens Juniors Sequined Cut-Out Back Mini Dress Blue 7/8</t>
  </si>
  <si>
    <t>B Darlin Trendy Plus Size Off-The-Shoul Wine 16W</t>
  </si>
  <si>
    <t>B. Darlin Womens Juniors Scalloped V-Neck Fit &amp; Flare Dress Navy 1/2</t>
  </si>
  <si>
    <t>TOILLE PINK FLUTTER SLV</t>
  </si>
  <si>
    <t>B Darlin Trendy Plus Size 2-Pc. Maxi Dr Black 22W</t>
  </si>
  <si>
    <t>Box #mm18861-B.Darlin -  - Imad - Shop'Drop (SFBA)</t>
  </si>
  <si>
    <t>1 shipment  19/29=66%</t>
  </si>
  <si>
    <t>Journee Collection Women's Heeled Sandals, Black, 10</t>
  </si>
  <si>
    <t>GR18267</t>
  </si>
  <si>
    <t>Brinley Co. Womens Kealy Comfort-Sole Ankle-Strap Center-Cut Wedges Grey, 7 Regular US</t>
  </si>
  <si>
    <t>Comfort by Brinley Co. Womens Espadrille Ankle Strap Wedge Black, 8.5 Regular US</t>
  </si>
  <si>
    <t>Brinley Co. Womens Caged Sandal Wedge Tan, 7.5 Regular US</t>
  </si>
  <si>
    <t>Comfort by Brinley Co. Womens Braid Strap Wedge Boot Black, 8.5 Regular US</t>
  </si>
  <si>
    <t>Journee Collection Womens Batavia Flat Black, 9 Womens US</t>
  </si>
  <si>
    <t>Journee Collection Women's Pumps, Blush, 9</t>
  </si>
  <si>
    <t>Journee Collection Women's Knee Boots, Taupe, 8.5</t>
  </si>
  <si>
    <t>Journee Collection Women's Bellamy Bootie Black 8 Medium Womens US</t>
  </si>
  <si>
    <t>Journee Collection Womens Gentri Boot Black, 10 Extra Wide Calf US</t>
  </si>
  <si>
    <t>Journee Collection Women's Aretha Wedge Cognac</t>
  </si>
  <si>
    <t>Brinley Co Women's Prospect-08 Slouch Boot, Brown, 7.5 M US</t>
  </si>
  <si>
    <t>Brinley Co.</t>
  </si>
  <si>
    <t xml:space="preserve">12 SKU-12 units </t>
  </si>
  <si>
    <t xml:space="preserve">FBA16JPJYH0K	</t>
  </si>
  <si>
    <t>Journee Collection Womens Lola Bootie Brown, 8.5 Womens US</t>
  </si>
  <si>
    <t xml:space="preserve">1 SKU-1 unit </t>
  </si>
  <si>
    <t xml:space="preserve">FBA16JPHGW47	</t>
  </si>
  <si>
    <t>Journee Collection Journee Collection Womens Lor Brown 12M</t>
  </si>
  <si>
    <t>not approved to sell when in shipping plan</t>
  </si>
  <si>
    <t>RIMI BOOTIE</t>
  </si>
  <si>
    <t>Brinley Co Women's Rizz Ankle Boot, Black, 8 Regular US</t>
  </si>
  <si>
    <t>Journee Collection Nude Tru Pumps</t>
  </si>
  <si>
    <t>Journee Collection Journee Collection Womens Sar Black 6.5M</t>
  </si>
  <si>
    <t>Box #GR18267-Restricted shoes-Journee Collection -  - Marlon Byers - Superior Connection (SE)</t>
  </si>
  <si>
    <t>Marlon Byers</t>
  </si>
  <si>
    <t>Superior Connection (SE)</t>
  </si>
  <si>
    <t>2 Shipment   13/18=72%</t>
  </si>
  <si>
    <t>Brinley Co Women's Thora Ankle Boot, Black, 8.5 Regular US</t>
  </si>
  <si>
    <t>Brinley Co. Womens Extra Wide-Calf Mid-Calf Slouch Riding Boots Black, 8 Extra Wide Calf US</t>
  </si>
  <si>
    <t>Brinley Co. Womens Center Cutout Bootie Taupe, 8 Regular US</t>
  </si>
  <si>
    <t>Journee Collection Women's Knee Boots, Black, 8</t>
  </si>
  <si>
    <t>Journee Collection Womens Audrey Loafer Mustard, 9 Womens US</t>
  </si>
  <si>
    <t>Journee Collection Womens Gwenn Bootie Burgundy, 8 Womens US</t>
  </si>
  <si>
    <t>Journee Collection Womens Sarah Bootie Black, 6.5 Womens US</t>
  </si>
  <si>
    <t>Journee Collection Womens Harlow Bootie Brown, 8 Womens US</t>
  </si>
  <si>
    <t>Journee Collection Womens Kyllie Boot Black, 7 Extra Wide Calf US</t>
  </si>
  <si>
    <t>Journee Collection Womens Stelly Winter Boot Black, 9 Womens US</t>
  </si>
  <si>
    <t>Journee Collection Womens Sidney Pump Black, 7 Womens US</t>
  </si>
  <si>
    <t>Journee Collection Womens Gentri Boot Cognac, 9 Extra Wide Calf US</t>
  </si>
  <si>
    <t>Journee Collection Womens Jezebel Boot Black, 8.5 Extra Wide Calf US</t>
  </si>
  <si>
    <t>Journee Collection Womens Consuelo Sandal White, 9 Womens US</t>
  </si>
  <si>
    <t>Brinley Co Women's Prospect 08 WC Slouch Boot, Grey Wide, 8 M US</t>
  </si>
  <si>
    <t>FBA16JPF77Z0</t>
  </si>
  <si>
    <t>Box #CL18268-Restricted shoes-Journee Collection - - Marlon Byers - Superior Connection (SE)</t>
  </si>
  <si>
    <t>1SHIPMENT    16/16=100%</t>
  </si>
  <si>
    <t>Brinley Co Women's Sugar Over The Knee Boot, Black, 8 Wide/Wide Shaft US</t>
  </si>
  <si>
    <t>CL18269</t>
  </si>
  <si>
    <t>Brinley Co. Womens Regular and Wide Calf Vintage Almond Toe Over-The-Knee Boots Red, 7.5 Wide Calf US</t>
  </si>
  <si>
    <t>Comfort by Brinley Co. Womens Braid Strap Wedge Boot Black, 7.5 Extra Wide Calf US</t>
  </si>
  <si>
    <t>Journee Collection Womens Lola Bootie Black, 5.5 Womens US</t>
  </si>
  <si>
    <t>Journee Collection Womens Isobel Bootie Tan, 8 Womens US</t>
  </si>
  <si>
    <t>Journee Collection Womens Demmi Bootie Red, 7.5 Womens US</t>
  </si>
  <si>
    <t>Journee Collection Womens Kyllie Boot Black, 7.5 Extra Wide Calf US</t>
  </si>
  <si>
    <t>Journee Collection Womens Gentri Boot Black, 9 Extra Wide Calf US</t>
  </si>
  <si>
    <t>8 SKU's -  8 UNITS</t>
  </si>
  <si>
    <t>FBA16JPGY8SQ</t>
  </si>
  <si>
    <t>Box #CL18269-Restricted shoes-Journee Collection - - Marlon Byers - Superior Connection (SE)</t>
  </si>
  <si>
    <t xml:space="preserve"> 1 SHIPMENT  (8/8= 100%)</t>
  </si>
  <si>
    <t>LifeStride Del Mar Black 9 M (B)</t>
  </si>
  <si>
    <t>Lifestride</t>
  </si>
  <si>
    <t>CL18270</t>
  </si>
  <si>
    <t>LifeStride Women's Dara Low Heel Slip On Loafer Flat, Black, 9 W US</t>
  </si>
  <si>
    <t>LIFESTRIDE/CALERES INC</t>
  </si>
  <si>
    <t>LifeStride Women's Deja Vu Ballet Flat, Black, 5 M US</t>
  </si>
  <si>
    <t>LifeStride Women's Deja Vu Ballet Flat, Navy, 8 W US</t>
  </si>
  <si>
    <t>LifeStride Women's Parigi Dress Pump, Black, 7.5 W US</t>
  </si>
  <si>
    <t>LifeStride Womens^Women's Alita Heeled Sandal, Black, 9 M US</t>
  </si>
  <si>
    <t>LifeStride womens Deja Vu Ballet Flat, Tan, 8.5 US</t>
  </si>
  <si>
    <t>LifeStride womens Zee Loafer, Black, 9 Wide US</t>
  </si>
  <si>
    <t>Life Stride Izzy Women's Boot 7 C/D US Black</t>
  </si>
  <si>
    <t>Life Stride Women's Aurora Ankle Boot, Black, 8.5</t>
  </si>
  <si>
    <t>Life Stride Women's Georgia Ankle Boot, Black, 9 Wide</t>
  </si>
  <si>
    <t>LifeStride womens Nicolette Pump, Black/Black, 8.5 US</t>
  </si>
  <si>
    <t>LifeStride Women's Suki Pump, Fire Red, 5 M US</t>
  </si>
  <si>
    <t>LifeStride womens Prairie Ankle Boot, Black, 5.5 US</t>
  </si>
  <si>
    <t>FBA16JP7RS7V/1ZW5124W0323478698</t>
  </si>
  <si>
    <t>LifeStride Filomena Women's Boots Dk Choc Size 8.5 M</t>
  </si>
  <si>
    <t>LifeStride womens Deja Vu Ballet Flat, Tan, 8.5 Wide US</t>
  </si>
  <si>
    <t>LifeStride Maltese - Wide Calf Walnut 9 W (C)</t>
  </si>
  <si>
    <t>LifeStride Women's Margot Loafer, Black, 6 M US</t>
  </si>
  <si>
    <t>LifeStride Women's Margot Loafer, tan, 6 M US</t>
  </si>
  <si>
    <t>FBA16JP9G49P/1ZW5124W0304350664</t>
  </si>
  <si>
    <t>LifeStride Women's Adriana Ankle Bootie, Black, 9 W US</t>
  </si>
  <si>
    <t>LifeStride Women's Deja Vu Ballet Flat, Black, 11 M US</t>
  </si>
  <si>
    <t>2  SKU = 2 UNITS</t>
  </si>
  <si>
    <t>FBA16JP70BRK/1ZW5124W0360126462</t>
  </si>
  <si>
    <t>Box #CL18270-Restricted Shoes-Life Stride - - Marlon Byers - Superior Connection (SE)</t>
  </si>
  <si>
    <t>3 SHIPMENTS 21/21=100%</t>
  </si>
  <si>
    <t>LifeStride Trixie Slip-on Flats Black 6M</t>
  </si>
  <si>
    <t>LifeStride See This Pumps Black 9M</t>
  </si>
  <si>
    <t>LifeStride Madison Slip-ons Black 10W</t>
  </si>
  <si>
    <t>FBA16JP635SM/1ZW5124W0314653747</t>
  </si>
  <si>
    <t>Box #CL18271-Restricted Shoes-Life Stride - - Marlon Byers - Superior Connection (SE)</t>
  </si>
  <si>
    <t>1 shipment  3/3=100%</t>
  </si>
  <si>
    <t>Bella Vita Women's Dani Dress Shootie with Cutouts Shoe, Almond Kidsuede Leather, 8 W US</t>
  </si>
  <si>
    <t>BELLA VITA</t>
  </si>
  <si>
    <t>CL18272</t>
  </si>
  <si>
    <t>Bella Vita Women's Pump, Black Leather, 8 X-Wide US</t>
  </si>
  <si>
    <t>Bella Vita Women's Luna Ankle Boot, Desert Suede L, 11 XW US</t>
  </si>
  <si>
    <t>Bella Vita Women's Luna Ankle Boot, Grey Suede LEA, 11 XW US</t>
  </si>
  <si>
    <t>Bella Vita Women's REBECCAII Mid Calf Boot, Black, 8.5 XW US</t>
  </si>
  <si>
    <t xml:space="preserve">FBA16JPDN9L8	</t>
  </si>
  <si>
    <t>Bella Vita Women's Stephanie II Ankle Boot BRGNDY STR SPS 8.5 W US</t>
  </si>
  <si>
    <t>Bella Vita Women's Virginia II Mary Jane Flat Ballet, Black Suede, 10 2W US</t>
  </si>
  <si>
    <t xml:space="preserve">FBA16JPF4MP0	</t>
  </si>
  <si>
    <t>Jun-Italy by Bella Vita studded slide sandal</t>
  </si>
  <si>
    <t>Bella Vita</t>
  </si>
  <si>
    <t xml:space="preserve">FBA16JPF7LR6	</t>
  </si>
  <si>
    <t>Box #CL18272-Restricted Shoes-Bella Vita - - Marlon Byers - Superior Connection (SE)</t>
  </si>
  <si>
    <t>3 Shipments   8/8= 100%</t>
  </si>
  <si>
    <t>Steve Madden Cliff Sneaker</t>
  </si>
  <si>
    <t>Steve Madden</t>
  </si>
  <si>
    <t>CL18273</t>
  </si>
  <si>
    <t>WHARTON FUR WEDGE SNKR</t>
  </si>
  <si>
    <t>STEVE MADDEN</t>
  </si>
  <si>
    <t>Steve Madden Kimmie Espadrille Sandal</t>
  </si>
  <si>
    <t>Shoes Steve Madden Womens Paxtyn Slip-On Flats Leopard 6M</t>
  </si>
  <si>
    <t>BEALE</t>
  </si>
  <si>
    <t>Box #CL18273-Restricted Shoes-Steve Madden</t>
  </si>
  <si>
    <t>Brand Reject</t>
  </si>
  <si>
    <t>Easy Street Women's Gusto Comfort Bootie Ankle Boot, Black Matte, 7 W US</t>
  </si>
  <si>
    <t>EASY STREET SALES CORP</t>
  </si>
  <si>
    <t>CL18274</t>
  </si>
  <si>
    <t>Easy Street Women's, Zandra Shootie Black Lamy 9.5 M</t>
  </si>
  <si>
    <t>Easy Street Womens Holly Closed Toe Mules, Black/Matte Gunmetal, Size 10.0</t>
  </si>
  <si>
    <t>Easy Street</t>
  </si>
  <si>
    <t>Easy Street Women's Forever Mule,Black,7 N US</t>
  </si>
  <si>
    <t>Easy Street Women's Amaze Dress Sandal, White, 7.5 N US</t>
  </si>
  <si>
    <t>Easy Street Women's Proper Dress Pump, Navy, 7 M US</t>
  </si>
  <si>
    <t>Easy Street Women's Becca Mule, tan/Brown Crocodile, 8.5 M US</t>
  </si>
  <si>
    <t>Easy Street Women's Memphis Mid Calf Boot, Taupe, 8 M US</t>
  </si>
  <si>
    <t>Easy Street Women's Jewel Mid Calf Boot, Black, 8 W</t>
  </si>
  <si>
    <t>Easy Street Women's Jewel Plus Mid Calf Boot, Brown, 8 M US</t>
  </si>
  <si>
    <t>Easy Works by Easy Street Women's Laurie Clog, Navy Artisan Tool,11</t>
  </si>
  <si>
    <t>11SKU -11UNITS</t>
  </si>
  <si>
    <t>FBA16JPG609X</t>
  </si>
  <si>
    <t>Easy Street Women's Prim Dress Pump, Black, 7 W US</t>
  </si>
  <si>
    <t>Easy Street Women's Tarrah Wedge Sandal, Black/Black Patent Piping, 9 M US</t>
  </si>
  <si>
    <t>FBA16JPG67D8</t>
  </si>
  <si>
    <t>Shoes LEEZA</t>
  </si>
  <si>
    <t>Shoes Easy Street Lyndee Slip-On Clogs Black Tool 9W</t>
  </si>
  <si>
    <t>Easy Street Easy Works Laurie Clogs Women's Shoes</t>
  </si>
  <si>
    <t>Box #CL18274-Restricted Shoes-Easy Street - Roop Bath - A1 Wholesale Supplies</t>
  </si>
  <si>
    <t>2SHIPMENTS    13/16=81%</t>
  </si>
  <si>
    <t>Calvin Klein Women's Gayle Pump, Soft Gold, 8.5 Medium US</t>
  </si>
  <si>
    <t>CALVIN KLEIN/JIMLAR CORP (056/274)</t>
  </si>
  <si>
    <t>GR18275</t>
  </si>
  <si>
    <t>Calvin Klein | Gella Dress Pumps | Soft Gold/Natural | 8</t>
  </si>
  <si>
    <t>Calvin Klein Laeton White/White Cow Kansas/Crinkle 8.5 M</t>
  </si>
  <si>
    <t>Calvin Klein Womens Laeton Water Resistant Winter Boots Black 6 Medium (B,M)</t>
  </si>
  <si>
    <t>Calvin Klein Women's Gabrianna Pump, Steel New Saffiano, 7 Medium us</t>
  </si>
  <si>
    <t>5 SKU's -  5 UNITS</t>
  </si>
  <si>
    <t>FBA16JPKX11Z</t>
  </si>
  <si>
    <t>Calvin Klein Womens Cecily Wide-Strap Sand Platinum White 7.5M</t>
  </si>
  <si>
    <t>color conflict</t>
  </si>
  <si>
    <t>Calvin Klein Womens Cecily Wide-Strap Sand Platinum White 9.5M</t>
  </si>
  <si>
    <t>Box #GR18275-REStrictedShoes-Calvun Klein  - Roop Bath - A1 Wholesale Supplies</t>
  </si>
  <si>
    <t xml:space="preserve"> 1 SHIPMENT  (5/7= 71%)</t>
  </si>
  <si>
    <t>Sugar Women's Victory Transitional Dress Block Heel Ankle, Multicolor, Size 6.5</t>
  </si>
  <si>
    <t>RAMPAGE/ES ORIGINALS</t>
  </si>
  <si>
    <t>GR18276</t>
  </si>
  <si>
    <t>Sugar Women's Valera Peep-Toe Open Back Block Heel Fringe Ankle Bootie Boot, Natural, 10 M US</t>
  </si>
  <si>
    <t>Sugar Women's Halo Heeled Two Band Slide Sandal 10 Black Raffia</t>
  </si>
  <si>
    <t>Sugar Womens Wedge Sneakers High Top Womens Sneakers with Wedge, Wedgies Sneakers for Women 9.5 Black</t>
  </si>
  <si>
    <t>Sugar</t>
  </si>
  <si>
    <t>Sugar Women's Noelle Low Two Piece Block Heel Dress Shoe Ladies Ankle Strap Pump Sandal Olive Micro 10</t>
  </si>
  <si>
    <t>Sugar Women's Halo Heeled Two Band Slide Sandal 8 Black Raffia</t>
  </si>
  <si>
    <t>6  SKU = 6 UNITS</t>
  </si>
  <si>
    <t>FBA16JP7SQM5/1ZW5124W0358586694</t>
  </si>
  <si>
    <t>Sugar Women's Tarah Western Winter Ankle Bootie 9.5 White</t>
  </si>
  <si>
    <t>FBA16JP69HS3/1ZW5124W0318036746</t>
  </si>
  <si>
    <t>Box #GR18276-Restricted Shoes-Sugar   - Roop Bath - A1 Wholesale Supplies</t>
  </si>
  <si>
    <t>Kenneth Cole New York Women's Ames Low Heel Pump, red, 8.5 M US</t>
  </si>
  <si>
    <t>KENNETH COLE NEW YORK/KENNETH COLE</t>
  </si>
  <si>
    <t>GR18277</t>
  </si>
  <si>
    <t>Kenneth Cole Reaction Womens Tip Plain Wedge Bootie Black 9.5M</t>
  </si>
  <si>
    <t>Cole Haan Women's Zerogrand Side Zip Bootie Waterproof Ankle Boot, Black Nubuck/Optic White, 7 B US</t>
  </si>
  <si>
    <t>COLE-HAAN</t>
  </si>
  <si>
    <t>Kenneth Cole New York Womens West Side Booties Off WhiteBlack Snake 9M</t>
  </si>
  <si>
    <t>Kenneth Cole Reaction Kick Bit Booties Natural 8M</t>
  </si>
  <si>
    <t>Kenneth Cole Reaction Womens Wind-Y Over-The-Knee B Concrete 9M</t>
  </si>
  <si>
    <t>Kenneth Cole New York Womens Olivia Espadrille Peep Coral 5M</t>
  </si>
  <si>
    <t>Shoes Kenneth Cole New York Kenneth Cole New York Womens Black 8M</t>
  </si>
  <si>
    <t>Kenneth Cole Reaction Kenneth Cole Reaction Womens Pewter 7.5M</t>
  </si>
  <si>
    <t>Kenneth Cole REACTION womens Glam-athon Thong Sandal , CHAMPAGNE , 7.5</t>
  </si>
  <si>
    <t>Kenneth Cole Reaction Did You Tell Wedges Cocoa 9.5M</t>
  </si>
  <si>
    <t>Kenneth Cole New York Womens Kiera Sneakers Black 7.5M</t>
  </si>
  <si>
    <t>FBA16JP99GBH/1ZW5124W0323300995</t>
  </si>
  <si>
    <t>Kenneth Cole Reaction Womens Wind Riding Boots Black 8M</t>
  </si>
  <si>
    <t>FBA16JP895QF/1ZW5124W0355272635</t>
  </si>
  <si>
    <t>Box #GR18277-REstricted Shoes -Reaction kenneth cole  - Roop Bath - A1 Wholesale Supplies</t>
  </si>
  <si>
    <t>2 shipments  13/13=100%</t>
  </si>
  <si>
    <t>MARA GRAND CHELSEA BOOTI</t>
  </si>
  <si>
    <t>GR18278</t>
  </si>
  <si>
    <t>Box #GR18278-Restricted Shoes-Cole Haan  - Roop Bath - A1 Wholesale Supplies</t>
  </si>
  <si>
    <t>Lucky Brand Women's Jenley Sandal, Black 1, 7.5 Medium US</t>
  </si>
  <si>
    <t>LUCKY BRAND FOOTWEAR/VCS GROUP LLC</t>
  </si>
  <si>
    <t>GR18279</t>
  </si>
  <si>
    <t>Lucky Brand Women's GABRIEN Flat Sandal, Black, 7.5</t>
  </si>
  <si>
    <t>FBA16JPFHB2K</t>
  </si>
  <si>
    <t>Lucky Brand Womens Jenley Wedges Black 10M</t>
  </si>
  <si>
    <t>Not Available</t>
  </si>
  <si>
    <t>Lucky Brand Emmie Flats White 6.5M</t>
  </si>
  <si>
    <t>Lucky Brand Womens Kierlo Wedges Black 9.5M</t>
  </si>
  <si>
    <t>FAUSST BOOTIE</t>
  </si>
  <si>
    <t>TITA YABBA WEDGE</t>
  </si>
  <si>
    <t>Lucky Brand Joodith Wedge Sandals Black 10M</t>
  </si>
  <si>
    <t>Box #GR18279-Restricted Shoes-Lucky/Brand- Jerry Newsome - JBO LLC (SE)</t>
  </si>
  <si>
    <t>Jerry Newsome</t>
  </si>
  <si>
    <t>JBO LLC (SE)</t>
  </si>
  <si>
    <t>1SHIPMENT    2/8=25%</t>
  </si>
  <si>
    <t>Aerosoles Women's Big Bet Ballet Flat, Black, 12 M US</t>
  </si>
  <si>
    <t>Aerosoles</t>
  </si>
  <si>
    <t>GR18280</t>
  </si>
  <si>
    <t>Aerosoles Women's Kailee Loafer Flat, Leopard ,9</t>
  </si>
  <si>
    <t>Aerosoles Women's Kailee Loafer Flat, Leopard ,9.5</t>
  </si>
  <si>
    <t>Aerosoles Women's Backstage Mid Calf Boot, Black Suede, 7.5 M US</t>
  </si>
  <si>
    <t>Aerosoles Women's Eye Candy Pump, Champagne Leather, 7 M US</t>
  </si>
  <si>
    <t>FBA16JPM9R5C</t>
  </si>
  <si>
    <t>Aerosoles Women's Homerun Ballet Flat, Nude Leather, 10</t>
  </si>
  <si>
    <t>FBA16JPKXXNG</t>
  </si>
  <si>
    <t>Box #GR18280-Restricted Shoes-Aerosoles - Jerry Newsome - JBO LLC (SE)</t>
  </si>
  <si>
    <t>2 SHIPMENTS  (6/6= 100%)</t>
  </si>
  <si>
    <t>Bandolino Footwear Women's Rainaa Pump, Gold Glamour, 9.5</t>
  </si>
  <si>
    <t>BANDOLINO/MARC FISHER FOOTWEAR</t>
  </si>
  <si>
    <t>GR18281</t>
  </si>
  <si>
    <t>Bandolino Footwear Women's Armory Pump, Black, 9.5</t>
  </si>
  <si>
    <t>Bandolino Footwear Women's Armory Pump, Black, 10</t>
  </si>
  <si>
    <t>Bandolino Footwear Women's Cassy Mid Calf Boot, Black, 7.5 M US</t>
  </si>
  <si>
    <t>Bandolino Masie Black 5.5</t>
  </si>
  <si>
    <t>FBA16JPBSG8C/1ZW5124W0308581470</t>
  </si>
  <si>
    <t>Box #GR18281-Restricted Shoes-Bandolino  - Jerry Newsome - JBO LLC (SE)</t>
  </si>
  <si>
    <t>1 SHIPMENTS 5/5=100%</t>
  </si>
  <si>
    <t>Franco Sarto Brealyn Sandals Black 7M</t>
  </si>
  <si>
    <t>FRANCO SARTO/CALERES INC</t>
  </si>
  <si>
    <t>GR18282</t>
  </si>
  <si>
    <t>Franco Sarto Women's Darlis Pump, Purple, 5 M US</t>
  </si>
  <si>
    <t>Franco Sarto Women's NEST Ankle Boot, Ivory, 5 M US</t>
  </si>
  <si>
    <t>Franco Sarto womens Happily Ankle Boot, Cognac Leather, 7.5 US</t>
  </si>
  <si>
    <t>Franco Sarto Becky Wc Boots Black 8.5M</t>
  </si>
  <si>
    <t>FBA16JP8B4J9/1ZW5124W0333977782</t>
  </si>
  <si>
    <t>Franco Sarto Haylie WC High Shaft Boots Brown 8M</t>
  </si>
  <si>
    <t>FBA16JP65HJH/1ZW5124W0368108020</t>
  </si>
  <si>
    <t>Box #GR18282-Restricted Shoes-FrancoSarto - Jerry Newsome - JBO LLC (SE)</t>
  </si>
  <si>
    <t>2 shipments  6/6=100%</t>
  </si>
  <si>
    <t>Shoes Clarks Womens Cloud Steppers Sillian Black 6M</t>
  </si>
  <si>
    <t>GR18283</t>
  </si>
  <si>
    <t>Shoes Clarks Womens Verona Trish Booties Brown Leather 10M</t>
  </si>
  <si>
    <t>Shoes Clarks Womens Sharon Hop Lace-Up Boo Black Suede 6M</t>
  </si>
  <si>
    <t>Shoes Clarks Womens Linvale Sea Boots Black Leather 5M</t>
  </si>
  <si>
    <t>Shoes Clarks Womens Cheyn Lindie Boots Dark Brown 11M</t>
  </si>
  <si>
    <t>CHEYN LINDIE</t>
  </si>
  <si>
    <t>Shoes Clarks Womens Hollis Star Buckled Bo Black 6M</t>
  </si>
  <si>
    <t>Shoes Clarks Womens Hollis Star Buckled Bo Black 8.5M</t>
  </si>
  <si>
    <t>Box #GR18283-Restricted Shoes-Clarks - Jerry Newsome - JBO LLC (SE)</t>
  </si>
  <si>
    <t>Tommy Hilfiger Womens Rian 2 Faux Fur Closed Toe Mid-Calf, Dark Green, Size 6.0</t>
  </si>
  <si>
    <t>GR18284</t>
  </si>
  <si>
    <t>Tommy Hilfiger Womens Rian 2 Faux Fur Closed Toe Mid-Calf Cold, Black, Size 5.0</t>
  </si>
  <si>
    <t>Tommy Hilfiger Womens Imina Faux Leather Riding Boots Brown 9.5 Medium (B,M)</t>
  </si>
  <si>
    <t>Tommy Hilfiger Women's ONELLA Fashion Boot, Grey, 8</t>
  </si>
  <si>
    <t>FBA16JPH61GC</t>
  </si>
  <si>
    <t>Box #GR18284-Restricted Shoes-Tommy Hilfiger - Roop Bath - A1 Wholesale Supplies</t>
  </si>
  <si>
    <t>1SHIPMENT    4/4=100%</t>
  </si>
  <si>
    <t>Lugz Women's Flirt Hi Zip Winter Boot, Black, 7 M US</t>
  </si>
  <si>
    <t>JACK SCHWARTZ SHOES INC</t>
  </si>
  <si>
    <t>GR18285</t>
  </si>
  <si>
    <t>Lugz Women's Clipper Sneaker, black/white, 6.5 M US</t>
  </si>
  <si>
    <t>Lugz Women's Flip Classic Canvas Low Top Fasion Sneaker, White, 6.5 B (M)</t>
  </si>
  <si>
    <t>FBA16JPLR3HX</t>
  </si>
  <si>
    <t>Lugz Women's Fashion Boot, Soft Pink/Bone/Gum, 9</t>
  </si>
  <si>
    <t>FBA16JPPVWFZ</t>
  </si>
  <si>
    <t>Box #GR18285-Restricted Shoes-Lugz - - Roop Bath - A1 Wholesale Supplies</t>
  </si>
  <si>
    <t>2 SHIPMENTS  (4/4= 100%)</t>
  </si>
  <si>
    <t>Teva Women's Ysidro Extension Sandal, Black, 9 Medium US</t>
  </si>
  <si>
    <t>TEVA/DECKERS OUTDOOR CORP</t>
  </si>
  <si>
    <t>XM18286</t>
  </si>
  <si>
    <t>Teva Womens Highside '84 Mid Sneakers, Tortoise Shell, Size 11</t>
  </si>
  <si>
    <t>Teva Womens W Flatform Ceres Sandals, Black, Size 7.0</t>
  </si>
  <si>
    <t>Teva - Womens Flatform Ceres Sandal, Size: 8 M US, Color: Double Diamond Black</t>
  </si>
  <si>
    <t>Teva Unisex Flatform Universal Sandal, CHARA Bright White, 9 US Women</t>
  </si>
  <si>
    <t>Teva Original Dorado Burnt Olive/Waterfall 9</t>
  </si>
  <si>
    <t>Teva Original Dorado Burnt Olive/Waterfall 7</t>
  </si>
  <si>
    <t>Teva Women's Flatform Universal Sandal, Ziggy Poseidon, 9</t>
  </si>
  <si>
    <t>8  SKU = 9 UNITS</t>
  </si>
  <si>
    <t>FBA16JPC3GK2</t>
  </si>
  <si>
    <t>Teva Unisex Flatform Universal Sandal, CHARA Bright White, 10 US Women</t>
  </si>
  <si>
    <t>Teva Unisex Flatform Universal Sandal, Unicorn Waterfall, 7 US Women</t>
  </si>
  <si>
    <t>5  SKU = 6 UNITS</t>
  </si>
  <si>
    <t>FBA16JP9NTM4</t>
  </si>
  <si>
    <t>Teva Women's Midform Universal Leather Sandals, Black, 8</t>
  </si>
  <si>
    <t>FBA16JP7ZN9C</t>
  </si>
  <si>
    <t>Box #XM18286-Restricted Shoes-Teva - Martin        - Chmn 25 (SFBA)</t>
  </si>
  <si>
    <t>Martin</t>
  </si>
  <si>
    <t>Chmn 25 (SFBA)</t>
  </si>
  <si>
    <t>3 SHIPMENTS 11/11=100%</t>
  </si>
  <si>
    <t>Teva Womens Anaya Chelsea Waterpro Bison Brown 6M</t>
  </si>
  <si>
    <t>XM18287</t>
  </si>
  <si>
    <t>Teva Womens Ember Mid Booties Black 11M</t>
  </si>
  <si>
    <t>Shoes Teva Womens Highside 84 Sneakers Tortoise Shell Brown 10M</t>
  </si>
  <si>
    <t>Teva Womens W Flatform Ceres Sanda Double Diamond Black 5M</t>
  </si>
  <si>
    <t>Teva Womens W Flatform Ceres Sanda Double Diamond Black 6M</t>
  </si>
  <si>
    <t>Teva Womens W Flatform Ceres Sanda Double Diamond Black 8M</t>
  </si>
  <si>
    <t>Shoes Teva Womens Flatform Universal San Chara Bright White 9M</t>
  </si>
  <si>
    <t>Shoes Teva Womens Original Dorado Sandal Burnt Olivewaterfall 8M</t>
  </si>
  <si>
    <t>Shoes Teva Womens Original Dorado Sandal Burnt Olivewaterfall 9M</t>
  </si>
  <si>
    <t>Shoes Teva Womens Original Dorado Sandal Burnt Olivewaterfall 7M</t>
  </si>
  <si>
    <t>10 SKU-10 units</t>
  </si>
  <si>
    <t>FBA16JP66XK0/1ZW5124W0348794746</t>
  </si>
  <si>
    <t>Shoes Teva Womens Flatform Universal San Chara Bright White 10M</t>
  </si>
  <si>
    <t>5 SKU-6 units</t>
  </si>
  <si>
    <t>FBA16JPB6SDH/1ZW5124W0326890629</t>
  </si>
  <si>
    <t>FBA16JPB87DB/1ZW5124W0320782480</t>
  </si>
  <si>
    <t>Box #XM18287-Restricted Shoes-Teva - Martin        - Chmn 25 (SFBA)</t>
  </si>
  <si>
    <t>3 shipments  11/11=100%</t>
  </si>
  <si>
    <t>Teva Men's Arrowood Riva Waterproof Shoe - 11 - Walnut</t>
  </si>
  <si>
    <t>Teva</t>
  </si>
  <si>
    <t>XM18288</t>
  </si>
  <si>
    <t>Shoes Teva Womens Flatform Universal San Unicorn Waterfall 8M</t>
  </si>
  <si>
    <t>Teva Womens Flatform Universal San Chara Bright White 6M</t>
  </si>
  <si>
    <t>Teva Womens Original Dorado Sandal Burnt Olivewaterfall 5M</t>
  </si>
  <si>
    <t>Teva Womens Original Dorado Sandal Burnt Olivewaterfall 6M</t>
  </si>
  <si>
    <t>Shoes Teva Womens Original Dorado Sandal Burnt Olivewaterfall 10M</t>
  </si>
  <si>
    <t>Shoes Teva Womens Midform Universal Sand Double Diamond Festival 9M</t>
  </si>
  <si>
    <t>Box #XM18288-Restricted Shoes-Teva - Martin        - Chmn 25 (SFBA)</t>
  </si>
  <si>
    <t>Teva Womens Anaya Waterproof Tall Chocolate Brown 6.5M</t>
  </si>
  <si>
    <t>XM18289</t>
  </si>
  <si>
    <t>Shoes Teva Womens W Flatform Ceres Sanda Double Diamond Black 7M</t>
  </si>
  <si>
    <t>Shoes W FLATFORM CERES</t>
  </si>
  <si>
    <t>Shoes Teva Womens Flatform Universal San Unicorn Waterfall 7M</t>
  </si>
  <si>
    <t>Box #XM18289-Restricted Shoes-Teva -Teva - Martin        - Chmn 25 (SFBA)</t>
  </si>
  <si>
    <t>Shoes Teva Womens Ellery Waterproof Tall Bison 9M</t>
  </si>
  <si>
    <t>XM18290</t>
  </si>
  <si>
    <t>Shoes Teva Womens Ellery Waterproof Tall Black 7.5M</t>
  </si>
  <si>
    <t>Teva Womens Ellery Waterproof Tall Black 8M</t>
  </si>
  <si>
    <t>Shoes Teva Womens Ellery Waterproof Tall Black 9.5M</t>
  </si>
  <si>
    <t>Box #XM18290-Restricted Shoes-Teva -Teva - Martin        - Chmn 25 (SFBA)</t>
  </si>
  <si>
    <t>Rockport Women's Camdyn Bootie Ankle Boot, Cognac, 10 M US</t>
  </si>
  <si>
    <t>ROCKPORT</t>
  </si>
  <si>
    <t>XM18291</t>
  </si>
  <si>
    <t>Caparros Womens Twilight Open Toe Special Occasion Strappy, Twilight, Size 7.5 Silver Metal</t>
  </si>
  <si>
    <t>BZees womens Secret Wedge Sandal, brown knit, 8 M US</t>
  </si>
  <si>
    <t>BZEES/CALERES INC</t>
  </si>
  <si>
    <t>ECCO Women's Sculptured 45 Ankle Boot Bootie, Black/Black, 37 EU / 6-6.5 US</t>
  </si>
  <si>
    <t>STEVEN by Steve Madden Women's Rubie Sneaker, White Multi, 6.5</t>
  </si>
  <si>
    <t>STEVEN NEW YORK/DIVA ACQUISITION</t>
  </si>
  <si>
    <t>Rockport Women's Camdyn Bootie Ankle Boot, Cognac, 9 M US</t>
  </si>
  <si>
    <t>Rockport</t>
  </si>
  <si>
    <t>ECCO Women's Shape Sculpted Motion 35 Chelsea Ankle Boot, Wild Dove, 9-9.5</t>
  </si>
  <si>
    <t>7  SKU = 7 UNITS</t>
  </si>
  <si>
    <t>FBA16JPBG6XY</t>
  </si>
  <si>
    <t>Trotters Women's KACEE WC Knee High Boot, Black, 10.0 2W US</t>
  </si>
  <si>
    <t>Madden Girl Women's LINLEE Sneaker, White Multi, 8 M US</t>
  </si>
  <si>
    <t>MADDEN GIRL/STEVE MADDEN LTD</t>
  </si>
  <si>
    <t>FBA16JP7ZDG4</t>
  </si>
  <si>
    <t>Jessica Simpson Women's Mandalaye Ballet Flat, Black, 8.5 M US</t>
  </si>
  <si>
    <t>FitFlop Women's Chrissie Shearling Slipper Mule, Tumbled tan, 9 M US</t>
  </si>
  <si>
    <t>FBA16JP8112T</t>
  </si>
  <si>
    <t>Shoes REEF REEF Womens Bliss Nights Flip Black, Coral 8M</t>
  </si>
  <si>
    <t>REEF-V F CORPORATION</t>
  </si>
  <si>
    <t>REMY BLK SDE</t>
  </si>
  <si>
    <t>Box #XM18291-Restricted Shoes- - Jerry Newsome - JBO LLC (SE)</t>
  </si>
  <si>
    <t>3 SHIPMENTS 11/13=85%</t>
  </si>
  <si>
    <t>Shoes SUALLYP</t>
  </si>
  <si>
    <t>XM18292</t>
  </si>
  <si>
    <t>Box #XM18292-Restricted Shoes-Ted Baker</t>
  </si>
  <si>
    <t>Shoes Wanted Wanted Womens Marlo Patent Fl Coral 7M</t>
  </si>
  <si>
    <t>WANTED/FASHION FOOTWEAR LLC</t>
  </si>
  <si>
    <t>XM18293</t>
  </si>
  <si>
    <t xml:space="preserve">Box #XM18293-Restricted Shoes-Wanted </t>
  </si>
  <si>
    <t>Shoes Nautica Nautica Aalilah Rain Boots Cool Violet 8M</t>
  </si>
  <si>
    <t>NAUTICA/E S ORIGINALS</t>
  </si>
  <si>
    <t>XM18294</t>
  </si>
  <si>
    <t>Box #XM18294-Restricted Shoes-Nautica</t>
  </si>
  <si>
    <t>CAI BOX LEATHER</t>
  </si>
  <si>
    <t>GR18302</t>
  </si>
  <si>
    <t>Calvin Klein Womens Matos Dress Sandals Mahogany 6M</t>
  </si>
  <si>
    <t>Calvin Klein Womens Tea Sneakers WhiteGold 10M</t>
  </si>
  <si>
    <t>Calvin Klein Womens Laeton Boots Black 6.5M</t>
  </si>
  <si>
    <t>Calvin Klein Womens Laeton Boots Black 7M</t>
  </si>
  <si>
    <t>Calvin Klein Womens Laeton Boots Black 8.5M</t>
  </si>
  <si>
    <t>Shoes Calvin Klein Womens Freeda Boots Black Leather 6.5M</t>
  </si>
  <si>
    <t>Shoes Calvin Klein Womens Freeda Boots Black Leather 9M</t>
  </si>
  <si>
    <t>Shoes Calvin Klein Womens Freeda Boots Coffee Bean 6.5M</t>
  </si>
  <si>
    <t>Shoes Calvin Klein Womens Freeda Boots Coffee Bean 7M</t>
  </si>
  <si>
    <t>Shoes Calvin Klein Womens Roya Dress Pumps Champagne Metallic 9M</t>
  </si>
  <si>
    <t>Calvin Klein Womens Heidy Pumps Cuoio Tan 6M</t>
  </si>
  <si>
    <t>CELISE</t>
  </si>
  <si>
    <t>Shoes Calvin Klein Gayle Pumps Coral 8.5M</t>
  </si>
  <si>
    <t>Shoes Calvin Klein Missouri Strappy Flat Sandals Blackscuba Yellow 5M</t>
  </si>
  <si>
    <t>Calvin Klein Womens Saurin Flat Sandals Champagne 5M</t>
  </si>
  <si>
    <t>Box #GR18302-Calvin Klein Shoes - Imad -Shop'Drop (SFBA)</t>
  </si>
  <si>
    <t>adidas Originals adicolor Cotton Crop Black M</t>
  </si>
  <si>
    <t>ADIDAS AMERICA INC</t>
  </si>
  <si>
    <t>LC18303</t>
  </si>
  <si>
    <t>adidas Originals adicolor Cotton Crop Black L</t>
  </si>
  <si>
    <t>adidas Trefoil Logo T-Shirt Black XL</t>
  </si>
  <si>
    <t>adidas Linear-Logo Leggings Legend InkWhite XS</t>
  </si>
  <si>
    <t>adidas Dont Rest Racerback Medium-Su Signal Pink XXS</t>
  </si>
  <si>
    <t>adidas Plus Size ADICOLOR Danielle C Power Berry 3X</t>
  </si>
  <si>
    <t>adidas Originals Cotton T-Shirt Black XS</t>
  </si>
  <si>
    <t>adidas Originals Cotton T-Shirt Black S</t>
  </si>
  <si>
    <t>adidas Originals Logo Track Pants Black M</t>
  </si>
  <si>
    <t>adidas Trefoil Sports Bra White M</t>
  </si>
  <si>
    <t>adidas adidas Originals Womens Adico Scarlet XS</t>
  </si>
  <si>
    <t>adidas AEROREADY Knit Shorts Grey L</t>
  </si>
  <si>
    <t>adidas Colorblocked Hooded Windbreake Dark Pink XS</t>
  </si>
  <si>
    <t>adidas Designed to Move Printed Leggi Signal PinkWhite XXS</t>
  </si>
  <si>
    <t>adidas Originals Treifoil T-Shirt WhiteBluebird L</t>
  </si>
  <si>
    <t>ADIDAS ORIGINALS/ADIDAS AMERICA INC</t>
  </si>
  <si>
    <t>adidas ClimaLite Shorts BlackGlow Blue XL</t>
  </si>
  <si>
    <t>adidas Tiro ClimaCool Soccer Pants BlackRedWhiteBlue XL</t>
  </si>
  <si>
    <t>adidas Tiro ClimaCool Soccer Pants BlackRedWhiteBlue M</t>
  </si>
  <si>
    <t>adidas Tiro ClimaCool Soccer Pants BlackRedWhiteBlue XS</t>
  </si>
  <si>
    <t>adidas Power Mesh Compression Mid-Imp App Solar Red XXS</t>
  </si>
  <si>
    <t>adidas Power Mesh Compression Mid-Imp Whiteblack XL</t>
  </si>
  <si>
    <t>adidas Dont Rest Racerback Medium-Su Ltpas Org XXS</t>
  </si>
  <si>
    <t>adidas Plus Size Corduroy Cuffed Pant Off White 4X</t>
  </si>
  <si>
    <t>adidas Superlite 6-Pk. Super No-Show Clear Onix - Grey Space Dye A 4-10</t>
  </si>
  <si>
    <t>ADIDAS/AGRON INC</t>
  </si>
  <si>
    <t>adidas Cotton Vintage-Look Strapback Indigo Rose Gold ONE SIZE</t>
  </si>
  <si>
    <t>Box #LC18303- Greg Champagne - Champagne0711</t>
  </si>
  <si>
    <t>Greg Champagne</t>
  </si>
  <si>
    <t>Champagne0711 (SE)</t>
  </si>
  <si>
    <t>Calvin Klein Women's Flounce Hem Dress, Black W/Embellishment, 2</t>
  </si>
  <si>
    <t>LC18304</t>
  </si>
  <si>
    <t>Calvin Klein Women's Long Sleeve V-Neck Sheath with Ruffle Skirt Detail, Black Multi, 14</t>
  </si>
  <si>
    <t>Calvin Klein V-Neck Glitter Jersey Dress Night 12</t>
  </si>
  <si>
    <t>FBA16JPJ0QLC</t>
  </si>
  <si>
    <t>Calvin Klein Women's V-Neckline Cocktail Sheath with Flutter Sleeve, Black, 8</t>
  </si>
  <si>
    <t>FBA16JPHXX1T</t>
  </si>
  <si>
    <t>V NECK DYNASTY BLING</t>
  </si>
  <si>
    <t>3/4 SL V NECK SPLIT SHOU</t>
  </si>
  <si>
    <t>WM POLY DRESS CCU</t>
  </si>
  <si>
    <t>VNECK JUMPSUIT</t>
  </si>
  <si>
    <t xml:space="preserve">Box #LC18304-Cody Krueger - ECOM EXPERTS  LLC (SFBA) </t>
  </si>
  <si>
    <t>No Working Status</t>
  </si>
  <si>
    <t>2SHIPMENTS    4/8=50%</t>
  </si>
  <si>
    <t>LS SEQ VLV BASIC</t>
  </si>
  <si>
    <t>LC18305</t>
  </si>
  <si>
    <t>Blondie Nites Juniors Strapless Glitter Dre Teal 13</t>
  </si>
  <si>
    <t>EMB LACE DRESS</t>
  </si>
  <si>
    <t>GLITTER SLINKY TSHIRT DR</t>
  </si>
  <si>
    <t>CAP SLV RUCHED</t>
  </si>
  <si>
    <t>MULB GLITTER KNIT W/CUTAW</t>
  </si>
  <si>
    <t>NIGHT WAY</t>
  </si>
  <si>
    <t>Nightway Plus Size Off-The-Shoulder Gow SangriaBlack 18W</t>
  </si>
  <si>
    <t>BONDED LACE</t>
  </si>
  <si>
    <t>GLITTER SKATER DRESS</t>
  </si>
  <si>
    <t>ALL OVER LACE LACE BACK</t>
  </si>
  <si>
    <t>EMERALD SUNDAE</t>
  </si>
  <si>
    <t>Box #LC18305- Yuslein Sotolongo - KCYLLC (SFBA)</t>
  </si>
  <si>
    <t>Yuslein Sotolongo</t>
  </si>
  <si>
    <t>KCYLLC (SFBA)</t>
  </si>
  <si>
    <t>Trina Turk Womens Black Printed Short Sleeve Jewel Neck Above The Knee Body Con Dress Size S</t>
  </si>
  <si>
    <t>TRINA TURK</t>
  </si>
  <si>
    <t>LC18306</t>
  </si>
  <si>
    <t>Trina Trina Turk Women's Bold Dress, Multi, 10</t>
  </si>
  <si>
    <t>FBA16JP817N1</t>
  </si>
  <si>
    <t>Trina Trina Turk Women's Beckell Flutter Sleeve V Neck Shift Dress, Teaberry, 12</t>
  </si>
  <si>
    <t>FBA16JPC5P6G</t>
  </si>
  <si>
    <t>Trina Turk Women's Heat Set Dress, Ink, 4</t>
  </si>
  <si>
    <t>FBA16JPBGHNX</t>
  </si>
  <si>
    <t>Box #LC18306-Latif McDonald - Now LLC (SFBA)</t>
  </si>
  <si>
    <t>Latif McDonald</t>
  </si>
  <si>
    <t>Now LLC (SFBA)</t>
  </si>
  <si>
    <t>3 SHIPMENTS 4/4=100%</t>
  </si>
  <si>
    <t>LC18307</t>
  </si>
  <si>
    <t>S/S ALL OVER SEQUIN PATT</t>
  </si>
  <si>
    <t>VINCE CAMUTO/G-III APPAREL GRP</t>
  </si>
  <si>
    <t>Jessica Howard Petite Metallic Blouson Dress BlackSilver 2P</t>
  </si>
  <si>
    <t>LUREX FLORAL HALTER SKAT</t>
  </si>
  <si>
    <t>Alfani Wide-Neck Metallic Top Alf Gunmetal L</t>
  </si>
  <si>
    <t>ALEGRIA</t>
  </si>
  <si>
    <t>PETA FQP3473 LACE TRIM BA</t>
  </si>
  <si>
    <t>Box #LC18307-Kim Pham Pham - Ecom Corporation</t>
  </si>
  <si>
    <t>Kim Pham</t>
  </si>
  <si>
    <t>Pham Ecom Corporation (SFBA)</t>
  </si>
  <si>
    <t>Blondie Nites Juniors Strapless Glitter Dre Teal 11</t>
  </si>
  <si>
    <t>LC18308</t>
  </si>
  <si>
    <t>GLITTER KNIT L/S</t>
  </si>
  <si>
    <t>City Studios Juniors' Cut-Out-Back High-Low Shine Dress</t>
  </si>
  <si>
    <t>City Studios Juniors Cut-Out-Back High-Low BlackSilver 9</t>
  </si>
  <si>
    <t>INC INTERNATIONAL CONCEPTS RIBBED OFF-THE-SHOULDER SWEATE REAL RED XL</t>
  </si>
  <si>
    <t>Blondie Nites Juniors Glitter-Knit Flounce Blush 11</t>
  </si>
  <si>
    <t>BLAC LS GLITTER LACE COLUMN D</t>
  </si>
  <si>
    <t>SHEER CAPE SLV VNK S</t>
  </si>
  <si>
    <t>Box #LC18308-Mykel Ruptash - Blue Essence</t>
  </si>
  <si>
    <t>Mykel Ruptash</t>
  </si>
  <si>
    <t>Blue Essence (SE)</t>
  </si>
  <si>
    <t>Easy Spirit womens Ap1 Sneaker, Black 001, 8 US</t>
  </si>
  <si>
    <t>EASY SPIRIT/MARC FISHER FOOTWEAR</t>
  </si>
  <si>
    <t>CL18770</t>
  </si>
  <si>
    <t>Easy Spirit womens Ap1 Sneaker, Black 001, 10 US</t>
  </si>
  <si>
    <t>Easy Spirit Women's Devitt10 Loafer, Bronze 750, 7.5</t>
  </si>
  <si>
    <t>Easy Street Womens Pointed Rand Snake Pointed Toe Pumps Heels Mid Heel 2-3" - Brown - Size 8.5 D</t>
  </si>
  <si>
    <t>Easy Spirit Womens Avienta Embellished Flat Loafers Brown 7 Medium (B,M)</t>
  </si>
  <si>
    <t>Easy Street Women's Waive Dress Pump,New Navy,7 M US</t>
  </si>
  <si>
    <t>Easy Street Women's Waive Dress Pump,Silver Satin,6 M US</t>
  </si>
  <si>
    <t>7SKU -7UNITS</t>
  </si>
  <si>
    <t>FBA16JPHCG2H</t>
  </si>
  <si>
    <t>Easy Street Women's Moonlight Dress Pump,silver satin,9 M US</t>
  </si>
  <si>
    <t>FBA16JPDZ8WN</t>
  </si>
  <si>
    <t>Easy Spirit Acasia - Womens 7.5 Black Slip on Medium</t>
  </si>
  <si>
    <t>Easy Spirit</t>
  </si>
  <si>
    <t>Easy Spirit Equinox Suede Mule Black Suede 8M</t>
  </si>
  <si>
    <t>Shoes Easy Street Waive Pumps Red 9M</t>
  </si>
  <si>
    <t>Shoes Easy Street Proper Pumps Navy 8M</t>
  </si>
  <si>
    <t>Shoes Easy Street Tarrah Evening Sandals Silver Glitter 6.5M</t>
  </si>
  <si>
    <t>Box #CL18770-Restricted Shoes-Easy Street - Oscar Fontalvo - MIA Fashion Deals (SFBA)</t>
  </si>
  <si>
    <t>Oscar Fontalvo</t>
  </si>
  <si>
    <t>MIA Fashion Deals (SFBA)</t>
  </si>
  <si>
    <t>2SHIPMENTS    8/13=62%</t>
  </si>
  <si>
    <t>SAWYER MID SHAFT BOOT</t>
  </si>
  <si>
    <t>CL18771</t>
  </si>
  <si>
    <t>Shoes Carlos by Carlos Santana Amara Strappy Black 10M</t>
  </si>
  <si>
    <t>AMARA 2</t>
  </si>
  <si>
    <t>Box #CL18771-Restricted Shoes-Carlos - Oscar Fontalvo - MIA Fashion Deals (SFBA)</t>
  </si>
  <si>
    <t>Carlos by Carlos Santana Women's Amara 2 Sandal, Black, 6 Medium US</t>
  </si>
  <si>
    <t>CL18772</t>
  </si>
  <si>
    <t>Carlos by Carlos Santana Amara 2 Tawny Tan 6 M</t>
  </si>
  <si>
    <t>FBA16JP8Q115</t>
  </si>
  <si>
    <t>Carlos by Carlos Santana Womens Amara 2 Leather Flat Sandals Tan 8 Medium (B,M)</t>
  </si>
  <si>
    <t>FBA16JPC39DQ</t>
  </si>
  <si>
    <t>Box #CL18772-Restricted Shoes-Carlos - Oscar Fontalvo - MIA Fashion Deals (SFBA)</t>
  </si>
  <si>
    <t>2 SHIPMENTS 3/3=100%</t>
  </si>
  <si>
    <t>Shoes Naturalizer Jessie Wide Calf Riding Boots Chocolate 10M</t>
  </si>
  <si>
    <t>NATURALIZER/CALERES INC</t>
  </si>
  <si>
    <t>CL18773</t>
  </si>
  <si>
    <t>Shoes Naturalizer September Slip Ons Black Patent 9M</t>
  </si>
  <si>
    <t>Shoes Naturalizer Zola 2 Slip-ons Iced Lemon 8.5M</t>
  </si>
  <si>
    <t>Naturalizer Channing Flats Black Leather 9M</t>
  </si>
  <si>
    <t>Naturalizer Saban Flats Bridal Brown 9.5W</t>
  </si>
  <si>
    <t>Naturalizer Saban Flats Bridal Brown 4.5M</t>
  </si>
  <si>
    <t>HARMONY BLACK FABRIC</t>
  </si>
  <si>
    <t>Naturalizer Dianna Slingback Sandals Gold Glitter 9M</t>
  </si>
  <si>
    <t>COLETTE</t>
  </si>
  <si>
    <t>Naturalizer Nicole Pumps Cream 9M</t>
  </si>
  <si>
    <t>Naturalizer Cameron Ankle Strap Sandals Gold Glitter 6.5M</t>
  </si>
  <si>
    <t>Naturalizer Juliette Slip-ons Black Leather 11W</t>
  </si>
  <si>
    <t>Naturalizer Joy Dress Sandals Pewter Metallic 9W</t>
  </si>
  <si>
    <t>Naturalizer Leah Dress Sandals Cheetah 7M</t>
  </si>
  <si>
    <t>Shoes Naturalizer Bristol Ankle Strap Sandals Black Smooth Faux Leather 6M</t>
  </si>
  <si>
    <t>Naturalizer Celeste Booties Black Nubuck 8.5M</t>
  </si>
  <si>
    <t>Naturalizer Belina Ballerinas Barely Nude Leather 8.5W</t>
  </si>
  <si>
    <t>Naturalizer Belina Ballerinas Barely Nude Leather 6.5W</t>
  </si>
  <si>
    <t>Naturalizer Beale Slip-ons Black Leather 10W</t>
  </si>
  <si>
    <t>Box #CL18773-Restricted Shoes-Naturalizer  - Oscar Fontalvo - MIA Fashion Deals (SFBA)</t>
  </si>
  <si>
    <t>Nine West Nine West Womens Flax Pointed Barely Nude Leather 6.5M</t>
  </si>
  <si>
    <t>9 WEST/MARC FISHER FOOTWEAR</t>
  </si>
  <si>
    <t>CL18774</t>
  </si>
  <si>
    <t>Nine West Nine West Womens Flax Pointed Barely Nude Leather 7M</t>
  </si>
  <si>
    <t>Nine West Brock Bow Espadrille Flat Sand Black 9.5M</t>
  </si>
  <si>
    <t>FLAX MID HEEL PUMP</t>
  </si>
  <si>
    <t>Nine West Leisa Leather Two-Piece Kitten Black Leather 6M</t>
  </si>
  <si>
    <t>PARLANS DNAT LE</t>
  </si>
  <si>
    <t>DANIE DRESS BOOTIE</t>
  </si>
  <si>
    <t>Nine West Jessa Tailored Flats Black Suede 6M</t>
  </si>
  <si>
    <t>Box #CL18774-Restricted Shoes-Nine West - Oscar Fontalvo - MIA Fashion Deals (SFBA)</t>
  </si>
  <si>
    <t>Anne Klein Women's Norwood Pump, Sand, 9 M US</t>
  </si>
  <si>
    <t>ANNE KLEIN II/SCHWARTZ &amp; BENJAMIN</t>
  </si>
  <si>
    <t>CL18775</t>
  </si>
  <si>
    <t>Anne Klein Women's Norwood Pump, Sand, 9.5 M US</t>
  </si>
  <si>
    <t>Anne Klein Women's Norwood Pump, Sand, 10 M US</t>
  </si>
  <si>
    <t>Anne Klein Women's Norwood Pump, Sand, 10.5 M US</t>
  </si>
  <si>
    <t>Anne Klein Women's Meredith Pump, Floral, 7 M US</t>
  </si>
  <si>
    <t>Anne Klein Women's Jax Loafer Flat, Navy, 8.5 M US</t>
  </si>
  <si>
    <t>6SKU -6UNITS</t>
  </si>
  <si>
    <t>FBA16JPF0VWC</t>
  </si>
  <si>
    <t>FBA16JPJ59BK</t>
  </si>
  <si>
    <t>MEREDITH PA</t>
  </si>
  <si>
    <t>Anne Klein Parson Chelsea Booties</t>
  </si>
  <si>
    <t>Anne Klein</t>
  </si>
  <si>
    <t>Box #CL18775-Restricted Shoes-Anne Klein  - Roop Bath - A1 Wholesale</t>
  </si>
  <si>
    <t>2SHIPMENTS    6/8=75%</t>
  </si>
  <si>
    <t>Women's Kate Spade New York Thatcher Bootie, Size 7.5 B - Black</t>
  </si>
  <si>
    <t>Kate Spade New York</t>
  </si>
  <si>
    <t>CL18776</t>
  </si>
  <si>
    <t>Kate Spade New York Women's Menorca Slip on Pumps</t>
  </si>
  <si>
    <t>Shoes kate spade new york Womens Deck Flats Redwood 6.5M</t>
  </si>
  <si>
    <t>Box #CL18776-Restricted Shoes-Kate Spade - Roop Bath - A1 Wholesale</t>
  </si>
  <si>
    <t>SIARRA</t>
  </si>
  <si>
    <t>GUESS SPORT/MARC FISHER LLC</t>
  </si>
  <si>
    <t>CL18777</t>
  </si>
  <si>
    <t>GBG Los Angeles Karin Flat Sandals Gold 6M</t>
  </si>
  <si>
    <t>G BY GUESS/MARC FISHER LLC</t>
  </si>
  <si>
    <t>Shoes GUESS GUESS Womens Dejah Platform D Brown Croco 8.5M</t>
  </si>
  <si>
    <t>Shoes GUESS GUESS Womens Romeoo Sneakers Black 7M</t>
  </si>
  <si>
    <t>GUESS Sarraly Eva Logo Sandals Pink 7M</t>
  </si>
  <si>
    <t>GUESS Womens Chafee Slingback Pumps Black 6M</t>
  </si>
  <si>
    <t>Box #CL18777-Restricted Shoes-Guess - Kara Cooper - Karuka (SE)</t>
  </si>
  <si>
    <t>Kara Cooper</t>
  </si>
  <si>
    <t>Karuka (SE)</t>
  </si>
  <si>
    <t>Gentle Souls by Kenneth Cole Raina Lite Jogger Sneakers Women's Shoes</t>
  </si>
  <si>
    <t>Gentle Souls</t>
  </si>
  <si>
    <t>CL18778</t>
  </si>
  <si>
    <t>Shoes Gentle Souls Womens Ella Booties Leopard Print 7.5M</t>
  </si>
  <si>
    <t>Shoes Gentle Souls Gisele X-Band Slide Sandals Mushroom Suede 9M</t>
  </si>
  <si>
    <t>Shoes Gentle Souls Womens Lavern Easy Strap Plat Pale Blue 7.5M</t>
  </si>
  <si>
    <t>BROOKLYN BASIC</t>
  </si>
  <si>
    <t>Box #CL18778-Restricted Shoes-Gentle Souls  - Kara Kooper - Karuka (SE)</t>
  </si>
  <si>
    <t>Shoes Circus by Sam Edelman Womens Kate Square-Toe Bootie Black Nappa 6.5M</t>
  </si>
  <si>
    <t>CIRCUS BY SAM EDELMAN/CALERES INC</t>
  </si>
  <si>
    <t>CL18779</t>
  </si>
  <si>
    <t>Shoes Circus by Sam Edelman Womens Kate Square-Toe Bootie Black Nappa 9M</t>
  </si>
  <si>
    <t>Circus by Sam Edelman Catrina Flat Sandals Black Pewter 6M</t>
  </si>
  <si>
    <t>Circus by Sam Edelman Kirby Booties Black Smooth 6.5M</t>
  </si>
  <si>
    <t>Circus by Sam Edelman Whistler Booties Deep Saddle 8M</t>
  </si>
  <si>
    <t>Box #CL18779-Restricted Shoes-Circus  - Kara Kooper - Karuka (SE)</t>
  </si>
  <si>
    <t>Journee Collection Journee Collection Womens Cla Blue 7M</t>
  </si>
  <si>
    <t>CL18780</t>
  </si>
  <si>
    <t>Journee Collection Journee Collection Womens Cla Blue 8M</t>
  </si>
  <si>
    <t>Journee Collection Journee Collection Womens Har Sage 10M</t>
  </si>
  <si>
    <t>Box #CL18780-Restricted Shoes-Journee Collection  - Kara Kooper - Karuka (SE)</t>
  </si>
  <si>
    <t>Storage Limit</t>
  </si>
  <si>
    <t>Storage limit</t>
  </si>
  <si>
    <t>ECNTRCQT BLSH</t>
  </si>
  <si>
    <t>CL18781</t>
  </si>
  <si>
    <t>ERIN MID HEEL MULE</t>
  </si>
  <si>
    <t>Steve Madden Corey Slip-On Flat Sandals Blush Suede 9M</t>
  </si>
  <si>
    <t>Box #CL18781-Restricted Shoes-Steve Madden</t>
  </si>
  <si>
    <t>Shoes Cliffs by White Mountain Cliffs by White Mountain Women Brownfabric 6.5M</t>
  </si>
  <si>
    <t>CL18782</t>
  </si>
  <si>
    <t>Cliffs by White Mountain Cliffs by White Mountain Women Black 6.5M</t>
  </si>
  <si>
    <t>Box #CL18782-Restricted Shoes-Cliffs  - Kara Kooper - Karuka (SE)</t>
  </si>
  <si>
    <t>Propet Propet Womens Roxie Ankle Boo Black 7.5W</t>
  </si>
  <si>
    <t>PROPET USA</t>
  </si>
  <si>
    <t>CL18783</t>
  </si>
  <si>
    <t>Shoes Propet Propet Womens Darley Ankle Bo Black 9M</t>
  </si>
  <si>
    <t>Shoes Propet Propet Womens Lumi Ankle Zip BlackWhite 7W</t>
  </si>
  <si>
    <t>Box #CL18783-Restricted Shoes-Propet  - Kara Kooper - Karuka (SE)</t>
  </si>
  <si>
    <t>Shoes Timberland Womens Violet Marsh Two-Band Light Beige 8.5M</t>
  </si>
  <si>
    <t>TIMBERLAND-A DIV OF VF OUTDOOR INC</t>
  </si>
  <si>
    <t>CL18784</t>
  </si>
  <si>
    <t>Shoes Timberland Womens London Hiker Boots Black 9.5M</t>
  </si>
  <si>
    <t>Box #CL18784-Restricted Shoes-Timberland</t>
  </si>
  <si>
    <t>Shoes DKNY Abri Booties Navy Black 9.5M</t>
  </si>
  <si>
    <t>CL18785</t>
  </si>
  <si>
    <t>Shoes DKNY Abri Booties Stone 6M</t>
  </si>
  <si>
    <t>Box #CL18785-Restricted Shoes-DKNY  - Kara Kooper - Karuka (SE)</t>
  </si>
  <si>
    <t>Sam Edelman Jamille Size: 4 UK</t>
  </si>
  <si>
    <t>CL18786</t>
  </si>
  <si>
    <t>Sam Edelman Oatmeal Yaro Block Heel Sandals</t>
  </si>
  <si>
    <t>Box #CL18786-Restricted Shoes-Sam Edelman  - Kara Kooper - Karuka (SE)</t>
  </si>
  <si>
    <t>EMILYNA SY</t>
  </si>
  <si>
    <t>CL18787</t>
  </si>
  <si>
    <t>EQUIP TPE</t>
  </si>
  <si>
    <t>BOLT UNIT BTM SNDL W/GORE</t>
  </si>
  <si>
    <t>Easy Street Cozy Mules Black 6N</t>
  </si>
  <si>
    <t>PAPRIKA LACEUP SLIPON RESIST</t>
  </si>
  <si>
    <t>Box #CL18787-Restricted Shoes-Easy Street  - Kara Kooper - Karuka (SE)</t>
  </si>
  <si>
    <t>Baretraps Gyllian Boots Black 9.5M</t>
  </si>
  <si>
    <t>CL18788</t>
  </si>
  <si>
    <t>Baretraps Alysha Boots Brush Brown 6.5M</t>
  </si>
  <si>
    <t>Baretraps Baretraps Aster Rebound Techno White 8.5M</t>
  </si>
  <si>
    <t>Baretraps Averil Tall Shaft Women's Boot Women's Shoes</t>
  </si>
  <si>
    <t>Baretraps</t>
  </si>
  <si>
    <t>Box #CL18788-Restricted Shoes-Baretraps  - Kara Kooper - Karuka (SE)</t>
  </si>
  <si>
    <t>Shoes Juicy Couture Juicy Couture Oodles Combat Bo Black 8.5M</t>
  </si>
  <si>
    <t>CL18789</t>
  </si>
  <si>
    <t>Juicy Couture Juicy Couture Wiggles 2 sandal Black 9M</t>
  </si>
  <si>
    <t>Oodles Combat Boot</t>
  </si>
  <si>
    <t>Juicy Couture</t>
  </si>
  <si>
    <t>Box #CL18789-Restricted Shoes-Juicy Couture  - Kara Kooper - Karuka (SE)</t>
  </si>
  <si>
    <t>Shoes LELANI WN BLK LEA</t>
  </si>
  <si>
    <t>CL18790</t>
  </si>
  <si>
    <t>Women's TOMS Kelsey Wedge Bootie</t>
  </si>
  <si>
    <t>TOMS</t>
  </si>
  <si>
    <t>Box #CL18790-Restricted Shoes-Toms</t>
  </si>
  <si>
    <t>Shoes FALCON W</t>
  </si>
  <si>
    <t>CL18791</t>
  </si>
  <si>
    <t>Shoes ADILETTE COMFORT BASIC</t>
  </si>
  <si>
    <t>Box #CL18791-Restricted Shoes-Adidas - Greg Champagne  - Champagne0711</t>
  </si>
  <si>
    <t>Shoes RIDER SANDAL</t>
  </si>
  <si>
    <t>PUMA NORTH AMERICA</t>
  </si>
  <si>
    <t>CL18792</t>
  </si>
  <si>
    <t>Box #CL18792-Restricted Shoe-Puma - Ascaya Products</t>
  </si>
  <si>
    <t>Carolina Ojeda</t>
  </si>
  <si>
    <t>II Rombo (SFBA)</t>
  </si>
  <si>
    <t>Shoes The North Face Womens ThermoBall Button-Up B Tnf Black 7M</t>
  </si>
  <si>
    <t>NORTH FACE/VF OUTDOOR INC/V F CORP</t>
  </si>
  <si>
    <t>CL18793</t>
  </si>
  <si>
    <t>Box #CL18793-Restricted Shoe-The North Face</t>
  </si>
  <si>
    <t>SoftWalk Women's Helena Stone Ankle Boot - 9 M</t>
  </si>
  <si>
    <t>CL18794</t>
  </si>
  <si>
    <t>FBA16JPJ8GNY</t>
  </si>
  <si>
    <t>Box #CL18794-Restricted Shoe-Softwalk - Carolina Ojeda - II Rombo (SFBA)</t>
  </si>
  <si>
    <t>1SHIPMENT    1/1=100%</t>
  </si>
  <si>
    <t>SOUL Naturalizer Women's Melodi Booties Ankle Boot, Cheetah, 10</t>
  </si>
  <si>
    <t>NATUALIZER SOUL/CALERES INC</t>
  </si>
  <si>
    <t>CL18795</t>
  </si>
  <si>
    <t>SOUL Naturalizer Women's Myfave Ankle Boot, Black Smooth, 7</t>
  </si>
  <si>
    <t>FBA16JPK12KZ</t>
  </si>
  <si>
    <t>SOUL Naturalizer womens Micah Booties Ankle Boot, Black Smooth, 7.5 US</t>
  </si>
  <si>
    <t>FBA16JPFTYSV</t>
  </si>
  <si>
    <t>Box #CL18795-Restricted Shoes-Soul Natauralizer - Carolina Ojeda - II Rombo (SFBA)</t>
  </si>
  <si>
    <t>2SHIPMENTS    3/3=100%</t>
  </si>
  <si>
    <t>Shoes Frye Womens Ivy Sneakers Black 9M</t>
  </si>
  <si>
    <t>FRYE/JIMLAR CORPORATION</t>
  </si>
  <si>
    <t>CL18796</t>
  </si>
  <si>
    <t>Frye Womens Ivy Sneakers White 7.5M</t>
  </si>
  <si>
    <t>Shoes Frye Womens Sacha Chelsea Booties Brown Cream 10M</t>
  </si>
  <si>
    <t>Box #CL18796-Restricted Shoes-Frye - Carolina Ojeda - II Rombo (SFBA)</t>
  </si>
  <si>
    <t>Not approved for the brand</t>
  </si>
  <si>
    <t>Brinley Co. Womens Knee-high Ruffle Boot Grey, 8.5 Extra Wide Calf US</t>
  </si>
  <si>
    <t>CL18797</t>
  </si>
  <si>
    <t>FBA16JPJP37N</t>
  </si>
  <si>
    <t>Box #CL18797-Restricted Shoe-Journee Collection - Carolina Ojeda - II Rombo (SFBA)</t>
  </si>
  <si>
    <t>GIBSON</t>
  </si>
  <si>
    <t>CL18798</t>
  </si>
  <si>
    <t>FBA16JPHJWNY</t>
  </si>
  <si>
    <t>Box #CL18798-Restricted Shoe-Carlos - Vikas Kapoor - Venus Supplies (SFBA)</t>
  </si>
  <si>
    <t>Vikas Kapoor</t>
  </si>
  <si>
    <t>Venus Supplies (SFBA)</t>
  </si>
  <si>
    <t>CL18799</t>
  </si>
  <si>
    <t>Box #CL18799-Restricted Shoe-NB</t>
  </si>
  <si>
    <t>Shoes DISRUPTOR II PREMIUM FAD</t>
  </si>
  <si>
    <t>FILA SPORTS INC</t>
  </si>
  <si>
    <t>CL18710</t>
  </si>
  <si>
    <t>Box #CL187100-Restricted shoe-Fila</t>
  </si>
  <si>
    <t>DK B FRANKIE</t>
  </si>
  <si>
    <t>CL187101</t>
  </si>
  <si>
    <t>Dr. Scholls Dakota Wedge Booties Black 7.5M</t>
  </si>
  <si>
    <t>Frye Veronica Strap Short Faded Black 8M</t>
  </si>
  <si>
    <t>Frye Veronica Strap Short Faded Black 8.5M</t>
  </si>
  <si>
    <t>ANALIA 2 ALMOND TOE FLAT</t>
  </si>
  <si>
    <t>Dr. Scholls Brilliance Wide-Calf Tall Boot Whiskey 8.5M</t>
  </si>
  <si>
    <t>GOLDIIE DOUBLE BAND FOOTBED</t>
  </si>
  <si>
    <t>Box #CL187101-UnRestricted shoes - - Vikas Kapoor - Venus Supplies (SFBA)</t>
  </si>
  <si>
    <t>Baretraps Alysha Boots Brush Brown 6M</t>
  </si>
  <si>
    <t xml:space="preserve">MG18601 </t>
  </si>
  <si>
    <t>Baretraps Alysha Boots Brush Brown 8M</t>
  </si>
  <si>
    <t>Baretraps Alysha Boots Brush Brown 9M</t>
  </si>
  <si>
    <t>ALYSHA</t>
  </si>
  <si>
    <t>Baretraps Alysha Boots Mushroom 7.5M</t>
  </si>
  <si>
    <t>Baretraps Baretraps Mid-height Boot Black 9M</t>
  </si>
  <si>
    <t>BareTraps Fabulous - Womens 6 Black Boot Medium</t>
  </si>
  <si>
    <t>BareTraps</t>
  </si>
  <si>
    <t>BareTraps Fabulous - Womens 7 Black Boot Medium</t>
  </si>
  <si>
    <t>BareTraps Fabulous - Womens 10 Black Boot Medium</t>
  </si>
  <si>
    <t>Box #MG18601 - Baretrap - Carolina Ojeda - II Rombo (SFBA)</t>
  </si>
  <si>
    <t>Baretraps Gyllian Boots Black 6M</t>
  </si>
  <si>
    <t xml:space="preserve">MG18602 </t>
  </si>
  <si>
    <t>Baretraps Gyllian Boots Black 6.5M</t>
  </si>
  <si>
    <t>Baretraps Gyllian Boots Black 9M</t>
  </si>
  <si>
    <t>Baretraps Alysha Boots Brush Brown 7.5M</t>
  </si>
  <si>
    <t>Baretraps Alysha Boots Brush Brown 9.5M</t>
  </si>
  <si>
    <t>AERO SU WHSK</t>
  </si>
  <si>
    <t>Box #MG18602 - Baretrap  - Carolina Ojeda - II Rombo (SFBA)</t>
  </si>
  <si>
    <t xml:space="preserve">MG18603 </t>
  </si>
  <si>
    <t>Baretraps Alysha Boots Brush Brown 8.5M</t>
  </si>
  <si>
    <t>Baretraps Womens Alysha Faux Leather Faded Mid-Calf Boots</t>
  </si>
  <si>
    <t>Baretraps Baretraps Mid-height Boot Black 11M</t>
  </si>
  <si>
    <t>Box #MG18603 - Baretraps  - Carolina Ojeda - II Rombo (SFBA)</t>
  </si>
  <si>
    <t>Naturalizer womens Gia Pump, Black Leather, 10 Wide US</t>
  </si>
  <si>
    <t xml:space="preserve">MG18604 </t>
  </si>
  <si>
    <t>Naturalizer womens Marianne walking shoes, Black Multi Floral Brocade Fabric, 9 US</t>
  </si>
  <si>
    <t>Naturalizer Women's Samantha Pointed Toe Flat, Hot Sauce, 10 M US</t>
  </si>
  <si>
    <t>Naturalizer Women's Talan Slingback Heeled Sandal, Black, 6.5</t>
  </si>
  <si>
    <t>Naturalizer Women's TINDA Heeled Sandal, Black Leather, 9 M US</t>
  </si>
  <si>
    <t>Naturalizer TINDA Heeled Sandal, Silver, 9 M US</t>
  </si>
  <si>
    <t>Naturalizer TINDA Heeled Sandal, Silver, 6.5 W US</t>
  </si>
  <si>
    <t>Naturalizer Womens Panache Leather Closed Toe Loafers, Black, Size 8.0</t>
  </si>
  <si>
    <t>Naturalizer Womens Panache Leather Closed Toe Loafers Black</t>
  </si>
  <si>
    <t>Naturalizer Women's Leah Heeled Sandal, Champagne, 9</t>
  </si>
  <si>
    <t>Naturalizer womens Wallis Ankle Boot, PEANUT BUTTER Leather, 4.5 medium</t>
  </si>
  <si>
    <t>Naturalizer womens Beverly Pump, Inky Navy Leather, 9.5 Wide US</t>
  </si>
  <si>
    <t>Naturalizer Women's Gabby Shooties, Black, 7 Wide US</t>
  </si>
  <si>
    <t>Naturalizer Women's Vanessa2 Sandal, Champagne, 8.5</t>
  </si>
  <si>
    <t>Naturalizer womens Juliette2 Slip-ons Loafer, Bamboo Tan, 8 US</t>
  </si>
  <si>
    <t>15SKU -15UNITS</t>
  </si>
  <si>
    <t>FBA16JPGQYRY</t>
  </si>
  <si>
    <t>Naturalizer womens Kelso High Shaft Boots,Black,5.5 M US</t>
  </si>
  <si>
    <t>FBA16JPG04HS</t>
  </si>
  <si>
    <t>Box #MG18604 - Naturalizer  - Carolina Ojeda - II Rombo (SFBA)</t>
  </si>
  <si>
    <t>7 ERYC</t>
  </si>
  <si>
    <t xml:space="preserve">MG18605 </t>
  </si>
  <si>
    <t>MADDOX HIKER</t>
  </si>
  <si>
    <t>Kenneth Cole Reaction Fine Wedges Red 7.5M</t>
  </si>
  <si>
    <t>Kenneth Cole Reaction Fine Wedges Red 8M</t>
  </si>
  <si>
    <t>Kenneth Cole Reaction Fine Wedges Red 9M</t>
  </si>
  <si>
    <t>Kenneth Cole Reaction Fine Wedges Red 9.5M</t>
  </si>
  <si>
    <t>Kenneth Cole Reaction Fine Wedges Rose 9M</t>
  </si>
  <si>
    <t>MORGAN</t>
  </si>
  <si>
    <t>Kenneth Cole Reaction Womens Wind-Y Over-The-Knee B Black 10M</t>
  </si>
  <si>
    <t>Kenneth Cole New York Womens Levon Zip-Up Ankle Boo Black 10M</t>
  </si>
  <si>
    <t>JUSTIN</t>
  </si>
  <si>
    <t>Box #MG18605 - Kenneth Cole  - Carolina Ojeda - II Rombo (SFBA)</t>
  </si>
  <si>
    <t>LELLA</t>
  </si>
  <si>
    <t xml:space="preserve">MG18606 </t>
  </si>
  <si>
    <t>TAMAR 3</t>
  </si>
  <si>
    <t>Bandolino Bandolino Candra Womens Peep Gold-tone Glamour 6.5M</t>
  </si>
  <si>
    <t>BNBILYA</t>
  </si>
  <si>
    <t>Box #MG18606 - Bandolino  - Carolina Ojeda - II Rombo (SFBA)</t>
  </si>
  <si>
    <t xml:space="preserve">MG18607 </t>
  </si>
  <si>
    <t>Box #MG18607 - Bandolino  - Carolina Ojeda - II Rombo (SFBA)</t>
  </si>
  <si>
    <t>Tommy Hilfiger Womens Rian 2 Faux Fur Closed Toe Mid-Calf Cold Weather Boots</t>
  </si>
  <si>
    <t xml:space="preserve">MG18608 </t>
  </si>
  <si>
    <t>IMINA</t>
  </si>
  <si>
    <t>Tommy Hilfiger Womens Onella Booties Dark Green 8M</t>
  </si>
  <si>
    <t>Tommy Hilfiger Womens Onella Booties Dark Green 8.5M</t>
  </si>
  <si>
    <t>Box #MG18608 - Tommy Hilfiger - Imad Hatoum - Shop Drop</t>
  </si>
  <si>
    <t>Franco Sarto Women's Marquee Ankle Boot, Black Snake Print, 5 M US</t>
  </si>
  <si>
    <t xml:space="preserve">MG18609 </t>
  </si>
  <si>
    <t>Franco Sarto Women's Shannon Fashion Boot, Walnut Crocco Leather, 10 M US</t>
  </si>
  <si>
    <t>FBA16JPKCF88</t>
  </si>
  <si>
    <t>Franco Sarto Women's Shannon Fashion Boot, Brown Leather, 8.5 M US</t>
  </si>
  <si>
    <t>FBA16JPK0PM0</t>
  </si>
  <si>
    <t>Box #MG18609 - FrancoSarlo  - Carolina Ojeda - II Rombo (SFBA)</t>
  </si>
  <si>
    <t>Easy Spirit Equinox Suede Mule Dark Grey Suede 8.5M</t>
  </si>
  <si>
    <t xml:space="preserve">MG18610 </t>
  </si>
  <si>
    <t>Easy Spirit Equinox Suede Mule Black Suede 8.5M</t>
  </si>
  <si>
    <t>BLK BKLE ORN DRS SHOOTIE</t>
  </si>
  <si>
    <t>Easy Street Zandra Booties Black Suede 8M</t>
  </si>
  <si>
    <t>Shoes Easy Spirit Easy Spirit Elinot Womens Ank Brown 7.5M</t>
  </si>
  <si>
    <t>TRAVELTIME 234 BLK/BLK LE</t>
  </si>
  <si>
    <t>PASSION BSC MID TO HI PUMP CM</t>
  </si>
  <si>
    <t>Easy Street Kris Slip-Resistant Clogs Bright Multi Floral 8M</t>
  </si>
  <si>
    <t>Easy Street Time Clogs Navy 6M</t>
  </si>
  <si>
    <t>Easy Street Cozy Mules Black 7.5M</t>
  </si>
  <si>
    <t>Box #MG18610 - Easy  - Carolina Ojeda - II Rombo (SFBA)</t>
  </si>
  <si>
    <t>MEREDITH</t>
  </si>
  <si>
    <t xml:space="preserve">MG18611 </t>
  </si>
  <si>
    <t>HILDA</t>
  </si>
  <si>
    <t>Anne Klein Anne Klein Hilda Block Booties Brown 9M</t>
  </si>
  <si>
    <t>Anne Klein Ryan Loafers Black Stretch 7.5M</t>
  </si>
  <si>
    <t>Box #MG18611 - Anne Klein  - Carolina Ojeda - II Rombo (SFBA)</t>
  </si>
  <si>
    <t>BOETIS II</t>
  </si>
  <si>
    <t>BEARPAW/ROMEO &amp; JULIETTE INC</t>
  </si>
  <si>
    <t xml:space="preserve">MG18612 </t>
  </si>
  <si>
    <t>PHYLLY</t>
  </si>
  <si>
    <t>KALALUA</t>
  </si>
  <si>
    <t>CORSICA</t>
  </si>
  <si>
    <t>Box #MG18612 - Bearpaw</t>
  </si>
  <si>
    <t>MAYA BOOT</t>
  </si>
  <si>
    <t xml:space="preserve">MG18613 </t>
  </si>
  <si>
    <t>Journee Collection Camel Rimi Boot</t>
  </si>
  <si>
    <t>Journee Collection Journee Collection Womens Lol Multi 11M</t>
  </si>
  <si>
    <t>Journee Collection Journee Collection Womens Iso Olive 7.5M</t>
  </si>
  <si>
    <t>Journee Collection Journee Collection Womens Iso Olive 8M</t>
  </si>
  <si>
    <t>Journee Collection Journee Collection Womens Gwe Burgundy 8M</t>
  </si>
  <si>
    <t>Journee Collection Journee Collection Womens Sop Purple 8M</t>
  </si>
  <si>
    <t>Journee Collection Journee Collection Womens Kyl Gray 5.5M</t>
  </si>
  <si>
    <t>Journee Collection Journee Collection Womens Kyl Gray 6M</t>
  </si>
  <si>
    <t>Box #MG18613 - Journee  - Carolina Ojeda - II Rombo (SFBA)</t>
  </si>
  <si>
    <t>Cliffs by White Mountain Keegan Lace-Up Booties Brown 7.5M</t>
  </si>
  <si>
    <t xml:space="preserve">MG18614 </t>
  </si>
  <si>
    <t>Cliffs by White Mountain Cliffs by White Mountain Women Black 8M</t>
  </si>
  <si>
    <t>Box #MG18614 - Cliffs  - Carolina Ojeda - II Rombo (SFBA)</t>
  </si>
  <si>
    <t>BareTraps Women's Shoes Alysha Leather Closed Toe Knee, Brush Brown, Size 8.0</t>
  </si>
  <si>
    <t xml:space="preserve">MG18615 </t>
  </si>
  <si>
    <t>BareTraps Women's Shoes Alysha Leather Closed Toe Knee Brush Brown</t>
  </si>
  <si>
    <t>FBA16JPG08QR</t>
  </si>
  <si>
    <t>Box #MG18615 -Baretrap  - Carolina Ojeda - II Rombo (SFBA)</t>
  </si>
  <si>
    <t>1SHIPMENT    2/2=100%</t>
  </si>
  <si>
    <t xml:space="preserve">MG18616 </t>
  </si>
  <si>
    <t>RIAN</t>
  </si>
  <si>
    <t>FBA16JPK3K91</t>
  </si>
  <si>
    <t>Box #MG18616 - Tommy Hilfiger - Imad Hatoum - Shop Drop</t>
  </si>
  <si>
    <t>Tracy Porter Tracy Porter Juniper Standard Lavender-multi Standard Sham</t>
  </si>
  <si>
    <t>TRACY PORTER/BRITANNICA HOME FASH</t>
  </si>
  <si>
    <t>GR18294</t>
  </si>
  <si>
    <t>Sun Zero Grant 54" X 95" Grommet Top Curtain Panel</t>
  </si>
  <si>
    <t>Sun Zero</t>
  </si>
  <si>
    <t>Sun Zero Sun Zero Grant 54 x 18 Valan Navy 54x18</t>
  </si>
  <si>
    <t>S LICHTENBERG &amp; CO.</t>
  </si>
  <si>
    <t>Levtex Home Snowflake Love Joy Peach Throw Pillow in White</t>
  </si>
  <si>
    <t>Levtex Home</t>
  </si>
  <si>
    <t>Madison Park Aubrey 12-Pc. King Comforter S Red King</t>
  </si>
  <si>
    <t>JLA HOME/E &amp; E CO LTD</t>
  </si>
  <si>
    <t>Madison Park Irina 50 x 84 Embroidered Di White 50x84</t>
  </si>
  <si>
    <t>J Queen New York Bel Air Sand 4-Pc. King Comfor Sand King</t>
  </si>
  <si>
    <t>J QUEEN NEW YORK INC</t>
  </si>
  <si>
    <t xml:space="preserve">Box #GR18294-Linen </t>
  </si>
  <si>
    <t>No. 918 Lichtenberg No. 918 Clifford T Ecru 40x63</t>
  </si>
  <si>
    <t>GR18295</t>
  </si>
  <si>
    <t>Sure Fit Essential Twill 1PC Slipcover White ONE SIZE</t>
  </si>
  <si>
    <t>SURE FIT HOME PRODUCTS LLC</t>
  </si>
  <si>
    <t>CHF Window Treatments, Kendall 52 Ivory 52x95</t>
  </si>
  <si>
    <t>CHF INDUSTRIES INC</t>
  </si>
  <si>
    <t>Madison Park Madison Park Lucy 6-Pc FullQu Red FullQueen</t>
  </si>
  <si>
    <t>Madison Park Bennett 7-Pc. King Comforter S Grey King</t>
  </si>
  <si>
    <t>Classic Quilted Mattress Protector - Twin</t>
  </si>
  <si>
    <t>Ella Jayne</t>
  </si>
  <si>
    <t>Saro Lifestyle Saro Lifestyle Mongolian Wool Gray 20x20</t>
  </si>
  <si>
    <t>SARO TRADING COMPANY</t>
  </si>
  <si>
    <t>Box #GR18295-Linen</t>
  </si>
  <si>
    <t>Sure Fit Stretch Delicate Leaf One Piec Gray Chair Slipcover</t>
  </si>
  <si>
    <t>GR18296</t>
  </si>
  <si>
    <t>Achim Ombre 50x63 SS Autumn 50x63</t>
  </si>
  <si>
    <t>ACHIM IMPORTING CO INC</t>
  </si>
  <si>
    <t>Levtex Levtex Home Rudolph SnowflakeD Grey 18x18</t>
  </si>
  <si>
    <t>LEVTEX BABY/LEVTEX LLC</t>
  </si>
  <si>
    <t>Madison Park Reversible Ruched Faux-Fur Thr Ivory 50x60</t>
  </si>
  <si>
    <t>Madison Park Freshspun Cotton Basketweave K Blue King</t>
  </si>
  <si>
    <t>Woolrich Grey/Ivory Alton Plush to Sherpa Down Alternative Comforter Set</t>
  </si>
  <si>
    <t>Woolrich</t>
  </si>
  <si>
    <t>VCNY Home VCNY Home Dublin Cable Knit Co Camel Throw</t>
  </si>
  <si>
    <t>VICTORIA/TEXTILES FROM EUROPE</t>
  </si>
  <si>
    <t>Truly Soft Waffle Stripe King Comforter S Blue King</t>
  </si>
  <si>
    <t>PEM AMERICA INC</t>
  </si>
  <si>
    <t>Box #GR18296-LInen</t>
  </si>
  <si>
    <t>Madison Park Walter FullQueen 3 Piece Prin Grey FullQueen</t>
  </si>
  <si>
    <t>GR18297</t>
  </si>
  <si>
    <t>Madison Park Madison Park Quebec 3-Piece Fu Blue FullQueen</t>
  </si>
  <si>
    <t>Madison Park Oversized 60 x 70 Ogee-Print Grey 60x70</t>
  </si>
  <si>
    <t>Sleep Philosophy Peyton Reversible 3-Pc. FullQ Aqua FullQueen</t>
  </si>
  <si>
    <t>INKIVY Lars 20 Square Embroidered Br Natural 20x20</t>
  </si>
  <si>
    <t>Victoria Classics Carmen 60 x 20 Valance Gray 60x20</t>
  </si>
  <si>
    <t>Sweet Home Collection Down Alternative 7-Pc. King Co Gray King</t>
  </si>
  <si>
    <t>SWEET HOME COLLECTION/BED BATH N MO</t>
  </si>
  <si>
    <t>Sweet Home Collection Checkered 8-Pc. King Comforter Gray King</t>
  </si>
  <si>
    <t>Box #GR18297-Linen</t>
  </si>
  <si>
    <t>GR18298</t>
  </si>
  <si>
    <t>Pom Pom 7 Piece Queen Size Comforter Set Bedding</t>
  </si>
  <si>
    <t>Sanders</t>
  </si>
  <si>
    <t>Premier Comfort Parker 60 X 70 Corduroy Plush Down-Alternative Throw - Ivory</t>
  </si>
  <si>
    <t>No Brand</t>
  </si>
  <si>
    <t>Madison Park Rhapsody 7-Pc. King Comforter Grey King</t>
  </si>
  <si>
    <t>VCNY Home VCNY Home Buckingham Diamond 3 Aqua King</t>
  </si>
  <si>
    <t>TEXTILES-EUROPE INC</t>
  </si>
  <si>
    <t>Box #GR18298-linen</t>
  </si>
  <si>
    <t>VELLUX VELLUX FULLQUEEN BLANKET BLUSH FULLQUEEN</t>
  </si>
  <si>
    <t>VELLUX/WESTPOINT HOME</t>
  </si>
  <si>
    <t>GR18299</t>
  </si>
  <si>
    <t>Donovan Collection MP10-750 King Size 7 Piece Jacquard Comforter Set with Embroidered Taupe Details Made of Polyester Jacquard Hypoallergenic</t>
  </si>
  <si>
    <t>Woolrich Winter Hills Reversible 3-Pc. Tan FullQueen</t>
  </si>
  <si>
    <t>Vera Wang Waffleweave Blanket, Full/Queen</t>
  </si>
  <si>
    <t>Vera Wang</t>
  </si>
  <si>
    <t>Box #GR18299-LInen</t>
  </si>
  <si>
    <t>Sun Zero Lichtenberg Sun Zero Grant Sol Taupe 54x84</t>
  </si>
  <si>
    <t>GR18300</t>
  </si>
  <si>
    <t>Madison Park Madison Park Odette King 8 Pie Silver King</t>
  </si>
  <si>
    <t>Woolrich Plaid Down-Alternative Sherpa Brown 50x70</t>
  </si>
  <si>
    <t>Woolrich Buffalo Check Reversible 3-Pc. Red FullQueen</t>
  </si>
  <si>
    <t>Better Trends Ashton King Bedspread Gray</t>
  </si>
  <si>
    <t>BETTER TRENDS LLC</t>
  </si>
  <si>
    <t>Chic Home Chic Home Chagit 4 Piece King Aqua King</t>
  </si>
  <si>
    <t>CHIC HOME DESIGN LLC</t>
  </si>
  <si>
    <t>Box #GR18300-Linen</t>
  </si>
  <si>
    <t>GR18301</t>
  </si>
  <si>
    <t>510 Design 510 Design Otto FullQueen 3 P Grey FullQueen</t>
  </si>
  <si>
    <t>510 Design 510 Design Colt 37 x 84 Room Ivory 37x84</t>
  </si>
  <si>
    <t>Intelligent Design Annie 4 Piece FullQueen Solid Ivory FullQueen</t>
  </si>
  <si>
    <t>Woolrich Sheridan 5-Pc. King Oversized Comforter Set</t>
  </si>
  <si>
    <t>Madison Park Madison Park Sabrina 3-Pc King White KingCalifornia King</t>
  </si>
  <si>
    <t>Madison Park Elma Oversized Reversible 60 Blue 60x70</t>
  </si>
  <si>
    <t>Truly Soft Truly Soft Everyday White Full White FullQueen</t>
  </si>
  <si>
    <t>Box #GR18301</t>
  </si>
  <si>
    <t>No. 918 No. 918 Hoot 56 x 24 Pair of Mocha 56x24</t>
  </si>
  <si>
    <t>Sun Zero Sun Zero Grant 100 x 84 Grom Stone 100x84</t>
  </si>
  <si>
    <t>Waterford Jones European Sham Creamaqua European Sham</t>
  </si>
  <si>
    <t>WATERFORD/W-C HOME FASHIONS LLC</t>
  </si>
  <si>
    <t>Madison Park Edina 50" X 60" Faux-Fur Throw</t>
  </si>
  <si>
    <t>Madison Park</t>
  </si>
  <si>
    <t>Madison Park Trinity Charmeuse 7-Pc. King C Taupe King</t>
  </si>
  <si>
    <t>Madison Park Sarasota Twin Microcell Down Alternative Comforter Mini Set in Taupe - Olliix MP10-1258</t>
  </si>
  <si>
    <t>Madison Park Madison Park Andora 50 x 18 White 50x18</t>
  </si>
  <si>
    <t>Tommy Hilfiger All American II Cotton Washclo Pale Khaki Washcloths</t>
  </si>
  <si>
    <t>TOMMY HILFIGER/HIMATSINGKA AMERICA</t>
  </si>
  <si>
    <t>Eclipse Kendall Blackout Window Curtai Denim 42x63</t>
  </si>
  <si>
    <t>KEECO LLC/GRASSI ASSOCIATES INC</t>
  </si>
  <si>
    <t>Waverly Laurel Springs Lined Window Va Parchment 50x15</t>
  </si>
  <si>
    <t>Box #GR18302-LInen</t>
  </si>
  <si>
    <t>GR18303</t>
  </si>
  <si>
    <t>Intelligent Design Intelligent Design Sophie 50 Grey 50x84</t>
  </si>
  <si>
    <t>Madison Park Madison Park Quebec 3-Piece Fu Seafoam FullQueen</t>
  </si>
  <si>
    <t>Addison Park Madison Park Signature Shades Grey King</t>
  </si>
  <si>
    <t>Box #GR18303-Linen</t>
  </si>
  <si>
    <t>Madison Park Edina 50 x 60 Faux-Fur Throw Ivory 50x60</t>
  </si>
  <si>
    <t>GR18304</t>
  </si>
  <si>
    <t>Madison Park Laurel 7-Pc. King Comforter Se Taupe King</t>
  </si>
  <si>
    <t>Madison Park Madison Park Quebec 3-Piece Fu Ivory Full</t>
  </si>
  <si>
    <t>Faux Linen 50" X 96" Blackout Curtain Panel</t>
  </si>
  <si>
    <t>Exclusive Fabrics &amp; Furnishings</t>
  </si>
  <si>
    <t>GhostBed Memory Foam Pillow- the Coolest Pillow in the World</t>
  </si>
  <si>
    <t>Nature's Sleep</t>
  </si>
  <si>
    <t>Lush Decor Rowley Birds 18 x 52 Window Multi ONE SIZE</t>
  </si>
  <si>
    <t>LUSH DECOR/TRIANGLE HOME FASHIONS</t>
  </si>
  <si>
    <t>Box #GR18304-Linen</t>
  </si>
  <si>
    <t>GR18305</t>
  </si>
  <si>
    <t>Woolrich Flint Full/Queen 3 Piece CozySpun Down Alternative Comforter Mini Set - Navy</t>
  </si>
  <si>
    <t>Leona Collection MP10-6216 Full and Queen Size 3 Piece Comforter Set with Hypoallergenic Polyester Filling Casual Chic Style and Machine Washable in</t>
  </si>
  <si>
    <t>Vienna Collection MP10-3829 Queen Size 7 Piece Cotton Printed Comforter Set with Damask Design Embroidered &amp; Fabric Manipulation Decorative Pillows</t>
  </si>
  <si>
    <t>Box #GR18305-Linen</t>
  </si>
  <si>
    <t>Sleep Philosophy Sleep Philosophy Premium Soft Grey 60x70</t>
  </si>
  <si>
    <t>GR18306</t>
  </si>
  <si>
    <t>SunSmart Maya 100 x 84 Printed Heathe Taupe 100x84</t>
  </si>
  <si>
    <t>Madison Park Madison Park Palmer 6-Piece Fa Natural KingCalifornia King</t>
  </si>
  <si>
    <t>PREMIER COMFORT/E &amp; E CO LTD</t>
  </si>
  <si>
    <t>Mirage 50" X 84" Damask Total Blackout Curtain Panel</t>
  </si>
  <si>
    <t>Sunsmart</t>
  </si>
  <si>
    <t>Woolrich Tan Winter Hills 3-Piece Quilt Mini Set</t>
  </si>
  <si>
    <t>Madison Park Navy Biloxi 6 Piece Duvet Cover Set</t>
  </si>
  <si>
    <t>VCNY Home Floral Burst Solid Technique 7 Taupe ONE SIZE</t>
  </si>
  <si>
    <t>De Moocci Easy Wrap Platform Free Dust Ruffle 16_x0094_ 16'' Bed Skirt</t>
  </si>
  <si>
    <t>De Moocci</t>
  </si>
  <si>
    <t>Box #GR18306-Linen</t>
  </si>
  <si>
    <t>JLA Home 210 Lavender</t>
  </si>
  <si>
    <t>GR18307</t>
  </si>
  <si>
    <t>Intelligent Design Olivia 5-Pc. KingCalifornia K Pink KingCalifornia King</t>
  </si>
  <si>
    <t>VCNY Home Kaleidoscope 3-Pc. FullQueen Gold FullQueen</t>
  </si>
  <si>
    <t>Truly Soft Truly Soft Pleated White King Grey King</t>
  </si>
  <si>
    <t>Box #GR18307-LInen</t>
  </si>
  <si>
    <t>Calvin Klein Illusion-Trim Fit &amp; Flare Dress, Regular &amp; Petite</t>
  </si>
  <si>
    <t>XM18862</t>
  </si>
  <si>
    <t>RUFFLE HEM CHECKOUT</t>
  </si>
  <si>
    <t>Calvin Klein Chiffon-Bell-Sleeve Sheath Dre Black 6</t>
  </si>
  <si>
    <t>Calvin Klein Illusion-Trim Fit Flare Midi Black 8</t>
  </si>
  <si>
    <t>VELVET W RHINESTRONE TRI</t>
  </si>
  <si>
    <t>OTS FLUTTER SLEEVE CREPE</t>
  </si>
  <si>
    <t>BASIC BLACK SHRUG</t>
  </si>
  <si>
    <t>SEQUINED CAP SL COWL BAC</t>
  </si>
  <si>
    <t>NEW OTS HI LOW</t>
  </si>
  <si>
    <t>OTS FEATHER JUMPSUIT</t>
  </si>
  <si>
    <t>Calvin Klein Plus Size V-Neck Imitation Pea Black 16W</t>
  </si>
  <si>
    <t>PRINTED FLORAL VELVET BE</t>
  </si>
  <si>
    <t>NEW V NECK PUFF SL SCUBA</t>
  </si>
  <si>
    <t>S/S T- BODY W PLAID BOTT</t>
  </si>
  <si>
    <t>VELVET WRAP W TASSELS</t>
  </si>
  <si>
    <t>WM CRDL CARDIGAN C65</t>
  </si>
  <si>
    <t>Calvin Klein Womens Evening Dress Twisted Halter - Viridian</t>
  </si>
  <si>
    <t>Calvin Klein Cap-Sleeve Gown Regatta Blue 2</t>
  </si>
  <si>
    <t>MOCK NECK LACE HI LOW MI</t>
  </si>
  <si>
    <t>V NECK W HOT FIX BELTED</t>
  </si>
  <si>
    <t>ASYM NECK SHEATH</t>
  </si>
  <si>
    <t>Calvin Klein Printed Rhinestone-Pocket T-Sh Black M</t>
  </si>
  <si>
    <t>Calvin Klein Velvet Shrug Black XL</t>
  </si>
  <si>
    <t>Calvin Klein Womens Black 3/4 Sleeve Open Cardigan Formal Top Size L - All</t>
  </si>
  <si>
    <t>Calvin Klein Embellished Mock-Neck Sweater Black PS</t>
  </si>
  <si>
    <t>Calvin Klein Cape-Sleeve Sheath Dress Aubergine 10</t>
  </si>
  <si>
    <t>Calvin Klein Paisley Chiffon Trapeze Dress BlackCream 8</t>
  </si>
  <si>
    <t>Calvin Klein Tie-Sleeve Jacquard Shirtdress Aubergine 14</t>
  </si>
  <si>
    <t>Box #XM18862-Calvin Klein</t>
  </si>
  <si>
    <t>Calvin Klein Illusion-Trim Fit Flare Dres Black 2</t>
  </si>
  <si>
    <t>XM18863</t>
  </si>
  <si>
    <t>Calvin Klein Sleeveless High-Low Wrap-Hem D Black 12</t>
  </si>
  <si>
    <t>CAPELET</t>
  </si>
  <si>
    <t>BUTTON CHIFFON SLEEVE SH</t>
  </si>
  <si>
    <t>FLORAL FIT&amp;FLAIR</t>
  </si>
  <si>
    <t>DOUBLE TIER PIPED BELL S</t>
  </si>
  <si>
    <t>EMBOSSED SEQUIN VELVET V</t>
  </si>
  <si>
    <t>Calvin Klein Solid Plaid Shift Dress BlackCream 8</t>
  </si>
  <si>
    <t>Calvin Klein Starburst Sheath Dress Black 16</t>
  </si>
  <si>
    <t>Calvin Klein Starburst Sheath Dress Black 12</t>
  </si>
  <si>
    <t>OTS LACE MIDI</t>
  </si>
  <si>
    <t>Calvin Klein Sleeveless Sunburst Sheath Dre Aubergine 12</t>
  </si>
  <si>
    <t>Calvin Klein Off-The-Shoulder Ruffle Sheath Black 12</t>
  </si>
  <si>
    <t>Calvin Klein Womens White Zippered Short Sleeve Jewel Neck Above the Knee Sheath Wear to Work Dress Size 4 - All</t>
  </si>
  <si>
    <t>Calvin Klein Plus Size Asymmetrical Suit Ja Brown 22W</t>
  </si>
  <si>
    <t>CAP SLEEVE U NECK SIDE R</t>
  </si>
  <si>
    <t>ILLUSION SLEEVE</t>
  </si>
  <si>
    <t>RED FLORAL BABY DOLL</t>
  </si>
  <si>
    <t>Calvin Klein Balloon-Sleeve Sweater Black L</t>
  </si>
  <si>
    <t>Calvin Klein Logo Sweater Cerise XL</t>
  </si>
  <si>
    <t>Calvin Klein Embellished Puff-Sleeve Sheath Black 6</t>
  </si>
  <si>
    <t>Calvin Klein Tie-Neck Metallic Clip-Dot Dre BlackGold 16</t>
  </si>
  <si>
    <t>Calvin Klein Mixed-Media Leggings Black XL</t>
  </si>
  <si>
    <t>Calvin Klein Scuba-Crepe Sheath Dress Malachite 10</t>
  </si>
  <si>
    <t>Calvin Klein Printed Chiffon Shift Dress DK Purple Multi 12</t>
  </si>
  <si>
    <t>Calvin Klein Plus Size Tie-Dyed Sweatshirt Bristal Burgundy 1X</t>
  </si>
  <si>
    <t>Calvin Klein Metallic Plaid Belted Dress BlackCreamSilver 6</t>
  </si>
  <si>
    <t>Calvin Klein Scuba-Crepe V-Neck A-Line Dres Aubergine 14</t>
  </si>
  <si>
    <t>Calvin Klein Plus Size Long-Sleeve Tunic Black 0X</t>
  </si>
  <si>
    <t>Box #XM18863-Calvin Klein</t>
  </si>
  <si>
    <t>OTS SHEATH</t>
  </si>
  <si>
    <t>XM18864</t>
  </si>
  <si>
    <t>Calvin Klein Sleeveless Sunburst Sheath Dre Black 4P</t>
  </si>
  <si>
    <t>FLORAL BELL SLV SHEATH</t>
  </si>
  <si>
    <t>MOCK NECK BLING SWEATER</t>
  </si>
  <si>
    <t>Calvin Klein Sweetheart Off-The-Shoulder Go Aubergine 14</t>
  </si>
  <si>
    <t>WM NYLN DRESS CVU</t>
  </si>
  <si>
    <t>PEARL TRIM BELL</t>
  </si>
  <si>
    <t>F&amp;F W FUR CUFFS</t>
  </si>
  <si>
    <t>Calvin Klein ace-Trim Shrug Sweater Black M</t>
  </si>
  <si>
    <t>CUT OUT JUMPSUIT</t>
  </si>
  <si>
    <t>STROKE S/S WRAP MIDI</t>
  </si>
  <si>
    <t>CALVIN KLEIN OFF-THE-SHOULDER LACE MIDI DRE INDIGONUDE 6</t>
  </si>
  <si>
    <t>Calvin Klein Sleeveless Sunburst Sheath Dre Aubergine 12P</t>
  </si>
  <si>
    <t>Calvin Klein Womens Purple Pleated Sleeveless Scoop Neck Above The Knee Sheath Wear To Work Dress Size 6P - All</t>
  </si>
  <si>
    <t>Calvin Klein Sleeveless Sunburst Sheath Dre Aubergine 4P</t>
  </si>
  <si>
    <t>Calvin Klein Sleeveless Sunburst Sheath Dre Aubergine 2P</t>
  </si>
  <si>
    <t>Calvin Klein Tulip-Sleeve Sheath Dress Aubergine 10</t>
  </si>
  <si>
    <t>Calvin Klein Embroidered Illusion High-Low Black Multi 14</t>
  </si>
  <si>
    <t>MOCK NECK LACE MIDI</t>
  </si>
  <si>
    <t>F&amp;F W EMBROIDERY</t>
  </si>
  <si>
    <t>Calvin Klein Tie-Front Pants Black 8</t>
  </si>
  <si>
    <t>Calvin Klein Cargo Jogger Pants Black M</t>
  </si>
  <si>
    <t>Calvin Klein Plus Size Drawstring Pants Heather Granite 1X</t>
  </si>
  <si>
    <t>Calvin Klein V-Neck Printed Top Jungle Print M</t>
  </si>
  <si>
    <t>Calvin Klein Petite Embellished-Sleeve Shea Black 2P</t>
  </si>
  <si>
    <t>Calvin Klein Petite Embellished-Neck a-Line Dress</t>
  </si>
  <si>
    <t>Calvin Klein Embellished Puff-Sleeve Sheath Black 4</t>
  </si>
  <si>
    <t>Calvin Klein Ruffle-Sleeve Sheath Dress Black 2</t>
  </si>
  <si>
    <t>Calvin Klein Foil-Printed Belted Dress Black 16</t>
  </si>
  <si>
    <t>Calvin Klein Foil-Printed Belted Dress Black 14</t>
  </si>
  <si>
    <t>Calvin Klein Printed Chiffon Shift Dress DK Purple Multi 4</t>
  </si>
  <si>
    <t>Box #XM18864-Calvin Klein</t>
  </si>
  <si>
    <t>XM18865</t>
  </si>
  <si>
    <t>DKNY Logo-Graphic T-Shirt Dress White L</t>
  </si>
  <si>
    <t>DKNY 34 Tulip Sleep Side Ruche She Spring Navy 2</t>
  </si>
  <si>
    <t>DKNY Striped Ribbed Asymmetrical Sw Cream XS</t>
  </si>
  <si>
    <t>PULL ON WIDE LEG PANT</t>
  </si>
  <si>
    <t>DKNY Slim-Fit Straight-Leg Pants Dark Heather Grey 8</t>
  </si>
  <si>
    <t>DKNY Wide-Leg Yoga Pants Black M</t>
  </si>
  <si>
    <t>DKNY Belted Faux-Wrap Dress Natural Multi 2</t>
  </si>
  <si>
    <t>DKNY Jeans Juniors Black Camo-Print High Black Camo 27S</t>
  </si>
  <si>
    <t>G-III LEATHER FASHIONS/G-III CNSGN</t>
  </si>
  <si>
    <t>DKNY Colorblocked Sheath Dress Aubergine Multi 4</t>
  </si>
  <si>
    <t>DKNY DKNY Faux-Leather Leggings Black XL</t>
  </si>
  <si>
    <t>DKNY Cutout Bell-Sleeve Sweater Dre Marine M</t>
  </si>
  <si>
    <t>DKNY Sequin-Embellished Keyhole Swe Graphite XL</t>
  </si>
  <si>
    <t>DKNY Hooded Faux Fur Puffer Vest Camel S</t>
  </si>
  <si>
    <t>DKNY Petite One-Button Belted Blaze Misty Green 4P</t>
  </si>
  <si>
    <t>DKNY Pull-On Pants Classic Navy Blue 10</t>
  </si>
  <si>
    <t>DKNY Starry Ruched Tie-Front Dress BlackCream 14</t>
  </si>
  <si>
    <t>DKNY Printed Pleated-Trim Top Deep Lagoon Blue Multi XL</t>
  </si>
  <si>
    <t>DKNY Printed Pleated-Trim Top Deep Lagoon Blue Multi S</t>
  </si>
  <si>
    <t>RUFFLE SLEEVE MOCK NECK</t>
  </si>
  <si>
    <t>MIDI HANDKERCHIEF HEM WI</t>
  </si>
  <si>
    <t>RUCHED COVERED BUTTON SL</t>
  </si>
  <si>
    <t>3/4 SLEEVE COLORBLOCK SH</t>
  </si>
  <si>
    <t>MESH FIT &amp; FLARE WITH CU</t>
  </si>
  <si>
    <t>V-NK L/S DRS W/GOLD BUTT</t>
  </si>
  <si>
    <t>S/L SEAMED FIT &amp; FLARE</t>
  </si>
  <si>
    <t>L/S MIDI SHEATH</t>
  </si>
  <si>
    <t>V-NECK CURVE SEAM FIT &amp;</t>
  </si>
  <si>
    <t>DKNY DKNY Long Sleeve Tie Neck Plea Black 8</t>
  </si>
  <si>
    <t>SL MESH F&amp;F W/LACE HEM</t>
  </si>
  <si>
    <t>TWEED KNIT FIT &amp; DD8</t>
  </si>
  <si>
    <t>DKNY Skinny Ankle Pants Light Gray Heather 14</t>
  </si>
  <si>
    <t>DKNY Skinny Ankle Pants Light Gray Heather 10</t>
  </si>
  <si>
    <t>DKNY One-Button Blazer Light Gray Heather 16</t>
  </si>
  <si>
    <t>Box #XM18865-DKNY</t>
  </si>
  <si>
    <t>MIX BEADS PASHMINA W</t>
  </si>
  <si>
    <t>ADRIANNA PAPELL</t>
  </si>
  <si>
    <t>XM18866</t>
  </si>
  <si>
    <t>HALFTER METALLIC JERSEY</t>
  </si>
  <si>
    <t>Adrianna Papell High-Low Mikado Dress BlackSilver 2</t>
  </si>
  <si>
    <t>EVENING/ADRIANNA PAPELL</t>
  </si>
  <si>
    <t>Adrianna Papell Macato One-Shoulder Dress Ivory 10</t>
  </si>
  <si>
    <t>Adrianna Papell One-Shoulder Lace Bodycon Dres Ivory 4</t>
  </si>
  <si>
    <t>SLEEVELESS TEA LENGTH DR</t>
  </si>
  <si>
    <t>PINTUCK OFF SHOULDER</t>
  </si>
  <si>
    <t>OTS LONG DRS</t>
  </si>
  <si>
    <t>OTS MATLISSE LONG WITH R</t>
  </si>
  <si>
    <t>OTS LONG RED DRESS</t>
  </si>
  <si>
    <t>L/S SHEER BODY CON</t>
  </si>
  <si>
    <t>BLAC CREPE POPOVER JUMPSU</t>
  </si>
  <si>
    <t>EVENING</t>
  </si>
  <si>
    <t>Adrianna Papell Sequined Illusion-Yoke Column Navy 2</t>
  </si>
  <si>
    <t>SLV PRINT FLRL FNF</t>
  </si>
  <si>
    <t>ADRIANNA PAPELL INC</t>
  </si>
  <si>
    <t>Adrianna Papell Off-The-Shoulder Button Midi D Black 8</t>
  </si>
  <si>
    <t>SEQUIN MESH BLOUSON</t>
  </si>
  <si>
    <t>ONE SHOULDER CAPE JUMPSU</t>
  </si>
  <si>
    <t>KNIT CREPE DRESS</t>
  </si>
  <si>
    <t>ONE SHOULDER DRESS</t>
  </si>
  <si>
    <t>ONE SHOULDER COLUMN LACE</t>
  </si>
  <si>
    <t>SLV MOCK NCK LOREX KNIT</t>
  </si>
  <si>
    <t>ASYM NCK CREPE SHIFT</t>
  </si>
  <si>
    <t>PASHMINA COVERUP</t>
  </si>
  <si>
    <t>Adrianna Papell Pashmina Shawl Ivory OS</t>
  </si>
  <si>
    <t>Adrianna Papell One-Shoulder Ruffled Mermaid G Marble Taupe 10</t>
  </si>
  <si>
    <t>CHIFFON OVERLAY DRAP</t>
  </si>
  <si>
    <t>Adrianna Papell Wide-Leg Jumpsuit Midnight Blue 4</t>
  </si>
  <si>
    <t>NEW ORGANZA COVERUP</t>
  </si>
  <si>
    <t>Adrianna Papell Floral Chiffon Overlay Dress Blue Multi M</t>
  </si>
  <si>
    <t>Adrianna Papell Sleeveless Embellished Dress Beige 8</t>
  </si>
  <si>
    <t>IVOR MIX BEADS PASHMINA W</t>
  </si>
  <si>
    <t>BLUS MIX BEADS PASHMINA W</t>
  </si>
  <si>
    <t>Box #XM18866-Adrianna Papell</t>
  </si>
  <si>
    <t>LUCKY BRAND SOLSTICE CANYON STRAPPY ONE-PI SOLSTICE CANYON L</t>
  </si>
  <si>
    <t>LUCKY BRAND SWIM/MANHATTAN BEACH</t>
  </si>
  <si>
    <t>XM18867</t>
  </si>
  <si>
    <t>Alex Evenings Plus Size Mesh Waist-Tie Pants Black 2X</t>
  </si>
  <si>
    <t>ALEX EVENING/ALEX APPAREL GROUP</t>
  </si>
  <si>
    <t>LONG CAP SLV DRS</t>
  </si>
  <si>
    <t>ALEX APPAREL GROUP INC</t>
  </si>
  <si>
    <t>MIDI LENGTH JKT DRS</t>
  </si>
  <si>
    <t>ALEX EVENING</t>
  </si>
  <si>
    <t>ILLUSION LNG DRESS</t>
  </si>
  <si>
    <t>LONG V-NECK DRESS WITH E</t>
  </si>
  <si>
    <t>Alex Evenings Bolero Jacket Gown Navy 18</t>
  </si>
  <si>
    <t>ALEX EVENINGS Womens Pink Sheer Printed Short Sleeve V Neck MIDI Hi-Lo Party Dress Size 18</t>
  </si>
  <si>
    <t>ALEX EVENINGS</t>
  </si>
  <si>
    <t>ALEX EVENINGS Womens Black Glitter Printed 3/4 Sleeve Cowl Neck Formal Top Size 1X</t>
  </si>
  <si>
    <t>SHORT JACKET DRESS WITH</t>
  </si>
  <si>
    <t>LONG PRINTED HIGH/LOW HE</t>
  </si>
  <si>
    <t>3/4 SLEEVE PRINTED TWINS</t>
  </si>
  <si>
    <t>FIT AND FL COLD SHOULD E</t>
  </si>
  <si>
    <t>3/4 SLEEVE BLOUSE WITH E</t>
  </si>
  <si>
    <t>MIDI LENGTH SHEATH W NEC</t>
  </si>
  <si>
    <t>LONG SLVLESS GOWN</t>
  </si>
  <si>
    <t>Alex Evenings Embellished-Sleeve Jersey Gown Navy 6</t>
  </si>
  <si>
    <t>Alex Evenings Sequin Lace Sheath Dress Silver 4</t>
  </si>
  <si>
    <t>Box #XM18867- Alex Evenings</t>
  </si>
  <si>
    <t>Adrianna Papell High-Low Mikado Dress BlackSilver 8</t>
  </si>
  <si>
    <t>XM18868</t>
  </si>
  <si>
    <t>Adrianna Papell High-Low Mikado Dress BlackSilver 14</t>
  </si>
  <si>
    <t>Adrianna Papell Sequined Cowlneck Slip Dress Ivory 14</t>
  </si>
  <si>
    <t>SHIRRED WRAP JUMPSUIT</t>
  </si>
  <si>
    <t>SEQUIN COCKTAIL DRESS</t>
  </si>
  <si>
    <t>FOILED JERSEY WRAP DRESS</t>
  </si>
  <si>
    <t>ASYM VNECK LS GOWN</t>
  </si>
  <si>
    <t>Adrianna Papell Off-The-Shoulder Button Midi D Black 4</t>
  </si>
  <si>
    <t>Adrianna Papell Off-The-Shoulder Button Midi D Black 6</t>
  </si>
  <si>
    <t>Adrianna Papell Off-The-Shoulder Button Midi D Black 16</t>
  </si>
  <si>
    <t>Adrianna Papell Metallic Capelet Top Light Gold 4</t>
  </si>
  <si>
    <t>Adrianna Papell Metallic Capelet Top Light Gold 10</t>
  </si>
  <si>
    <t>Adrianna Papell Beaded Cape Sheath Dress Wildberry Purple 6</t>
  </si>
  <si>
    <t>PRINTED CHIFFON BALL</t>
  </si>
  <si>
    <t>Adrianna Papell Embellished Gown Pewter Silver 2</t>
  </si>
  <si>
    <t>Box #XM18868- Adrianna Papell</t>
  </si>
  <si>
    <t>ANYA CARGO PANT</t>
  </si>
  <si>
    <t>GUESS INC</t>
  </si>
  <si>
    <t>XM18869</t>
  </si>
  <si>
    <t>GUESS Womens Black Lace Sleeveless Scoop Neck Body Suit Top Size XS</t>
  </si>
  <si>
    <t>GUESS</t>
  </si>
  <si>
    <t>LS REBECCA DRESS</t>
  </si>
  <si>
    <t>SL MAIA MOCK NECK</t>
  </si>
  <si>
    <t>GUESS Sleeveless Jacquard Romper Carnaval Orange 8</t>
  </si>
  <si>
    <t>MARCIANO/GUESS? INC</t>
  </si>
  <si>
    <t>SL ROSALY LACE BODYSUIT</t>
  </si>
  <si>
    <t>GUESS Nila Lace-Sleeve Smocked Top Lavender Hush XS</t>
  </si>
  <si>
    <t>GUESS Nila Lace-Sleeve Smocked Top Lavender Hush S</t>
  </si>
  <si>
    <t>GUESS Nila Lace-Sleeve Smocked Top Lavender Hush M</t>
  </si>
  <si>
    <t>GUESS Gabby Smocked Floral-Print Dre Sumatra M</t>
  </si>
  <si>
    <t>GUESS Daisy Lace Bodysuit Lime Drop S</t>
  </si>
  <si>
    <t>LS ASSYM ALMA BODYSUIT</t>
  </si>
  <si>
    <t>GUESS Kaia Asymmetrical-Hem Dress Bright Blue L</t>
  </si>
  <si>
    <t>GUESS Karlee Printed Crisscross Top Zebra Meadows XS</t>
  </si>
  <si>
    <t>SKY HIGH BOOT</t>
  </si>
  <si>
    <t>GUESS Irina Pierced-Detail Ribbed Sw Dove White S</t>
  </si>
  <si>
    <t>GUESS Isla Ribbed Rhinestone-Embelli Engine Red XL</t>
  </si>
  <si>
    <t>SEQUIN LACE</t>
  </si>
  <si>
    <t>LS ILLUSION LACE DRESS</t>
  </si>
  <si>
    <t>BANDAGE FOIL</t>
  </si>
  <si>
    <t>MARCIANO</t>
  </si>
  <si>
    <t>GUESS Off-The-Shoulder Animal-Print Animal Print 6</t>
  </si>
  <si>
    <t>PRINTED SCUBA APRON</t>
  </si>
  <si>
    <t>WM PLYR DRESS G44</t>
  </si>
  <si>
    <t>GUESS Candy Printed Faux-Wrap Dress Tribal Rhombus Pink Combo L</t>
  </si>
  <si>
    <t>Box #XM18869-Guess</t>
  </si>
  <si>
    <t>JOLIE VELVET DRESS</t>
  </si>
  <si>
    <t>RACHEL RACHEL ROY</t>
  </si>
  <si>
    <t>XM18870</t>
  </si>
  <si>
    <t>MEGAN PENCIL SKIRT</t>
  </si>
  <si>
    <t>RACHEL RACHEL ROY/RROPCO LLC</t>
  </si>
  <si>
    <t>DOT SEQUIN FAUX WRAP</t>
  </si>
  <si>
    <t>RACHEL RACHEL ROY/RROPCO (180/149)</t>
  </si>
  <si>
    <t>RACHEL Rachel Roy Brett Midi Wrap Dress Coppertone XL</t>
  </si>
  <si>
    <t>RACHEL RACHEL ROY/TOPSON DOWNS OF C</t>
  </si>
  <si>
    <t>MASSIMA TANK</t>
  </si>
  <si>
    <t>BRET JERSEY LS</t>
  </si>
  <si>
    <t>RACHEL RACHEL ROY/RROPCO (195/149)</t>
  </si>
  <si>
    <t>ISSA MAXI CHIFFON</t>
  </si>
  <si>
    <t>FLORAL JACQUARD TIERED</t>
  </si>
  <si>
    <t>SS V NECK W SIDE RUFFLE</t>
  </si>
  <si>
    <t>ASYMM NECK W CASCADING R</t>
  </si>
  <si>
    <t>METALLIC RINGER PULLOVER</t>
  </si>
  <si>
    <t>ALINE TANK</t>
  </si>
  <si>
    <t>VNECK LUREX LS ROUCHE</t>
  </si>
  <si>
    <t>FLOAT CABLE SWEATER</t>
  </si>
  <si>
    <t>FOIL MOCKNECK</t>
  </si>
  <si>
    <t>SIMONE DRESS</t>
  </si>
  <si>
    <t>HALLIE TOP</t>
  </si>
  <si>
    <t>LONG VERSION OF RD19S629</t>
  </si>
  <si>
    <t>BEN BLOUSE</t>
  </si>
  <si>
    <t>VAL TURTLENECK</t>
  </si>
  <si>
    <t>RACHEL Rachel Roy Simone Crisscross-Halter Sheat Scarlet Combo S</t>
  </si>
  <si>
    <t>RACHEL Rachel Roy Plus Size Printed Simone Dress Forrest Green Combo 2X</t>
  </si>
  <si>
    <t>Box #XM18870-Rachel Ray</t>
  </si>
  <si>
    <t>ANNE KLEIN Womens Navy Embroidered Square Neck Fit + Flare Dress Size 4</t>
  </si>
  <si>
    <t>ANNE KLEIN</t>
  </si>
  <si>
    <t>XM18871</t>
  </si>
  <si>
    <t>SABRE STRETCH SAILOR PAN</t>
  </si>
  <si>
    <t>AK ANNE KLEIN/KASPER GROUP LLC</t>
  </si>
  <si>
    <t>LONG WAIST SEAM CARDIGAN</t>
  </si>
  <si>
    <t>AK ANNE KLEIN/KASPER GROUP LLC BBM</t>
  </si>
  <si>
    <t>STRETCH VELVET L/S BTTN</t>
  </si>
  <si>
    <t>LIQUID SATIN CUFF TUNIC</t>
  </si>
  <si>
    <t>Anne Klein Bell-Sleeve A-Line Dress Anne BlackAnne White XL</t>
  </si>
  <si>
    <t>Anne Klein Cropped Straight-Leg Pants Black Forest 16</t>
  </si>
  <si>
    <t>Anne Klein Cropped Straight-Leg Pants Black Forest 4</t>
  </si>
  <si>
    <t>Anne Klein Cropped Straight-Leg Pants Black Forest 6</t>
  </si>
  <si>
    <t>Anne Klein Cropped Straight-Leg Pants Black Forest 8</t>
  </si>
  <si>
    <t>LS BOW BLOUSE</t>
  </si>
  <si>
    <t>Anne Klein Split-Neck Blouse Anne White M</t>
  </si>
  <si>
    <t>ANNE KLEIN/KASPER GROUP LLC</t>
  </si>
  <si>
    <t>Anne Klein Split-Neck Blouse Anne White S</t>
  </si>
  <si>
    <t>POLKA DOT CREW NK TANK</t>
  </si>
  <si>
    <t>Anne Klein Belted Midi Skirt Distant Mountain 10</t>
  </si>
  <si>
    <t>Anne Klein Striped Sleeveless Top Distant Mountain XL</t>
  </si>
  <si>
    <t>Anne Klein Striped Sheath Dress Rainshadowanne White 8</t>
  </si>
  <si>
    <t>Anne Klein Anne Klein Dot-Print Midi Dres Siren Bluenyc Wht M</t>
  </si>
  <si>
    <t>Anne Klein Anne Klein Dot-Print Midi Dres Siren Bluenyc Wht S</t>
  </si>
  <si>
    <t>Anne Klein Dotted Drawstring-Waist Midi D NantucketWhite M</t>
  </si>
  <si>
    <t>Anne Klein Striped Seersucker Dress Distant MountainBlack 12</t>
  </si>
  <si>
    <t>Anne Klein Pin-Dot Printed Leggings Anne BlackAnne White 12</t>
  </si>
  <si>
    <t>Anne Klein Mid-Rise Pants Anne Black 10</t>
  </si>
  <si>
    <t>Anne Klein Mid-Rise Pants Anne Black 2</t>
  </si>
  <si>
    <t>Anne Klein Anne Klein Extend-Tab Stretch Rouge 6</t>
  </si>
  <si>
    <t>Anne Klein Anne Klein Smocked-Sleeve Sati Anne Black XL</t>
  </si>
  <si>
    <t>TWEED SHEATH DRESS WITH</t>
  </si>
  <si>
    <t>Anne Klein Plus Size Solid Elbow-Sleeve T Anne White 1X</t>
  </si>
  <si>
    <t>Anne Klein Tie-Neck Top Anne Black M</t>
  </si>
  <si>
    <t>Box #XM18871-Anne Klein</t>
  </si>
  <si>
    <t>XM18872</t>
  </si>
  <si>
    <t>Madison Park Elena 38 x 46 Faux-Silk Rod Bronze 38x46</t>
  </si>
  <si>
    <t>Ella Jayne Overstuffed Plush MediumFirm White King</t>
  </si>
  <si>
    <t>ELLA JAYNE/PILLOW GUY INC</t>
  </si>
  <si>
    <t>Morgan Home LAST ACT Holiday Print Plush Holiday Truck No Size</t>
  </si>
  <si>
    <t>MORGAN HOME FASHIONS</t>
  </si>
  <si>
    <t>Home Essence Teen Leo Ultra Soft Reversible Bedding Comforter Set</t>
  </si>
  <si>
    <t>Mi Zone</t>
  </si>
  <si>
    <t>Madison Park Signature Madison Park Signature Serene Blue King</t>
  </si>
  <si>
    <t>Lush Decor Flower Drops 84x42 Single Wi Blue ONE SIZE</t>
  </si>
  <si>
    <t>Box #XM18872-Linen</t>
  </si>
  <si>
    <t>XM18873</t>
  </si>
  <si>
    <t>510 Design Oakley Full/Queen 3 Piece Bedspread Set</t>
  </si>
  <si>
    <t>510 Design</t>
  </si>
  <si>
    <t>Raina Metallic Print 50" X 84" Total Blackout Curtain Panel</t>
  </si>
  <si>
    <t>Intelligent Design</t>
  </si>
  <si>
    <t>Quebec Collection MP13-1567 Queen Size Reversible Bedspread Set with Pre-Washed Cotton Filling Patterned Quilting and Machine Washable in Seafoam</t>
  </si>
  <si>
    <t>Madison Park Eden 50 x 63 Fretwork Burnou Ivory 50x63</t>
  </si>
  <si>
    <t>Madison Park Holly 7-Pc. Full/Queen Duvet Cover Set Bedding</t>
  </si>
  <si>
    <t>Martha Stewart Collection Americana Truck 12 x 22 Deco Blue</t>
  </si>
  <si>
    <t>MARTHA STEWART-MMG/MSLO-THROWS</t>
  </si>
  <si>
    <t>Chic Home Black Jazmine Comforter Set</t>
  </si>
  <si>
    <t>Chic Home Design</t>
  </si>
  <si>
    <t>RT Designers Collection Durant Floral Embroidered 54 Terracotta 54x84</t>
  </si>
  <si>
    <t>RAMALLAH TRADING CO INC</t>
  </si>
  <si>
    <t>Box #XM18873-Linen</t>
  </si>
  <si>
    <t>Waterford Carrick Reversible 4-Pc. Queen SilverGold Queen</t>
  </si>
  <si>
    <t>XM18874</t>
  </si>
  <si>
    <t>Sleep Philosophy True North by Sleep Philosophy White King</t>
  </si>
  <si>
    <t>Intelligent Design Intelligent Design Marabella 2 Pink TwinTwin XL</t>
  </si>
  <si>
    <t>Riverbrook Home Riverbrook Home Moonstone 3 Pi Dark Gray King</t>
  </si>
  <si>
    <t>HALLMART COLLECTIBLES INC</t>
  </si>
  <si>
    <t>Box #XM18874-Linen</t>
  </si>
  <si>
    <t>XM18875</t>
  </si>
  <si>
    <t>Mi Zone Tamil 60 x 70 Quilted Paisle Multi 60x70</t>
  </si>
  <si>
    <t>Madison Park Geneva 6-Pc. Quilted KingCali Brown KingCalifornia King</t>
  </si>
  <si>
    <t>Saratoga 100" X 84" Fretwork-Print Grommet Patio Curtain Panel</t>
  </si>
  <si>
    <t>Box #XM18875-Linen</t>
  </si>
  <si>
    <t>Fresh Ideas Allergy Relief Fitted Mattress White Queen</t>
  </si>
  <si>
    <t>LEVINSOHN TEXTILE CO INC</t>
  </si>
  <si>
    <t>XM18876</t>
  </si>
  <si>
    <t>Vellux Vellux Twin Blanket Blush Twin</t>
  </si>
  <si>
    <t>Levtex Levtex Home Santa Claus Lane X Green</t>
  </si>
  <si>
    <t>Madison Park Duke Reversible 3-Pc. KingCal Black KingCalifornia King</t>
  </si>
  <si>
    <t>Box #XM18876-Linen</t>
  </si>
  <si>
    <t>Sun Zero Lichtenberg Sun Zero Ena Flora Stone 54x84</t>
  </si>
  <si>
    <t>XM18877</t>
  </si>
  <si>
    <t>Madison Park Quinn 7-Pc. Geometric Jacquard Grey King</t>
  </si>
  <si>
    <t>Madison Park Elma Oversized Reversible 60 Gray 60x70</t>
  </si>
  <si>
    <t>Miller Curtains Miller Curtains Preston 48 x Crimson 48x216</t>
  </si>
  <si>
    <t>NATCO/WINDHAM WEAVE/WINDHAM TRADING</t>
  </si>
  <si>
    <t>Truly Soft Truly Soft Everyday White Full Orange FullQueen</t>
  </si>
  <si>
    <t>Geneva Home Fashion Belize 8 Pc Queen Bed In A Bag Coral Queen</t>
  </si>
  <si>
    <t>GENEVA HOME FASHION LLC</t>
  </si>
  <si>
    <t>Box #XM18877-Linen</t>
  </si>
  <si>
    <t>XM18878</t>
  </si>
  <si>
    <t>Madison Park Chloe Cotton 50" X 60" Tufted-Chenille Throw</t>
  </si>
  <si>
    <t>Shaly 4 or 3 Piece Quilt Cover Set Interlaced Vine Pattern Quilted Bed in a Bag King in Grey</t>
  </si>
  <si>
    <t>J Queen New York J Queen New York Marquis Queen Cream Queen</t>
  </si>
  <si>
    <t>Box #XM18878-Linen</t>
  </si>
  <si>
    <t>Madison Park Lola 6-Pc. FullQueen Coverlet Purple FullQueen</t>
  </si>
  <si>
    <t>XM18879</t>
  </si>
  <si>
    <t>MADISON PARK MADISON PARK DAWN 6-PIECE KING BLUE KINGCALIFORNIA KING</t>
  </si>
  <si>
    <t>VCNY Home VCNY Home Carmen Pintuck 4 Pie Burgundy King</t>
  </si>
  <si>
    <t>Box #XM18879-Linen</t>
  </si>
  <si>
    <t>XM18880</t>
  </si>
  <si>
    <t>Madison Park Madison Park Andora 50 x 18 Navy 50x18</t>
  </si>
  <si>
    <t>Pem America Coventry Queen Comforter Set Charcoal Queen</t>
  </si>
  <si>
    <t>Cathay Home Inc. Ultimate Luxury Reversible Mic Burgundy King</t>
  </si>
  <si>
    <t>CATHAY HOME INC</t>
  </si>
  <si>
    <t>Box #XM18880-Linen</t>
  </si>
  <si>
    <t>XM18881</t>
  </si>
  <si>
    <t>Madison Park Aubrey 50" X 18" Beaded Jacquard Window Valance</t>
  </si>
  <si>
    <t>Madison Park Rhapsody 7-Pc. California King Grey California King</t>
  </si>
  <si>
    <t>Madison Park Essentials Hayden Reversible 3-Pc. Full/Queen Comforter Set Bedding</t>
  </si>
  <si>
    <t>Martha Stewart Collection Wedding Rings Blue FullQueen Medium Blue FullQueen</t>
  </si>
  <si>
    <t>MARTHA STEWART-MMG/COLLECTION 43417</t>
  </si>
  <si>
    <t>Box #XM18881-Linen</t>
  </si>
  <si>
    <t>Intelligent Design Benny 4-Pc. TwinTwin XL Duvet White TwinTwin XL</t>
  </si>
  <si>
    <t>XM18882</t>
  </si>
  <si>
    <t>Madison Park Emory 7-Pc. King Comforter Set Grey King</t>
  </si>
  <si>
    <t>Madison Park Viola FullQueen 3 Piece Tufte White FullQueen</t>
  </si>
  <si>
    <t>Mirage 50" X 95" Damask Total Blackout Curtain Panel</t>
  </si>
  <si>
    <t>Eden 50" X 63" Fretwork Burnout Sheer Curtain Panel</t>
  </si>
  <si>
    <t>Vcny Home Carmen Pintuck 4 Piece Comforter Set, Queen Bedding</t>
  </si>
  <si>
    <t>Vcny Home</t>
  </si>
  <si>
    <t>Truly Soft Truly Soft Everyday White Full Khaki FullQueen</t>
  </si>
  <si>
    <t>Box #XM18882-Linen</t>
  </si>
  <si>
    <t>XM18883</t>
  </si>
  <si>
    <t>Madison Park Madison Park Princeton 5-Pc Ki Blue King</t>
  </si>
  <si>
    <t>Madison Park Ridge 6-Pc. FullQueen Coverle Grey FullQueen</t>
  </si>
  <si>
    <t>Montevilla Curtain Clip Rings for 5/8-Inch Rod, Set of 7, Hematite</t>
  </si>
  <si>
    <t>Decopolitan</t>
  </si>
  <si>
    <t>Box #XM18883-Linen</t>
  </si>
  <si>
    <t>G.H. Bass Co. Colorblock Sherpa FullQueen C Natural FullQueen</t>
  </si>
  <si>
    <t>XM18884</t>
  </si>
  <si>
    <t>Duke Ribbed 50" X 60" Faux-Fur Throw</t>
  </si>
  <si>
    <t>Woolrich Alton 3-Pc. Twin Comforter Set GreyIvory Twin</t>
  </si>
  <si>
    <t>Truly Soft Cuddle Warmth Twin Xl Comforter Set Bedding</t>
  </si>
  <si>
    <t>Truly Soft</t>
  </si>
  <si>
    <t>DONNA KARAN MOONSCAPE REVERSIBLE TEXTURED CHARCOAL KING</t>
  </si>
  <si>
    <t>DONNA KARAN HOME/CHF INDUSTRIES</t>
  </si>
  <si>
    <t>Box #XM18884-Linen</t>
  </si>
  <si>
    <t>Sun Zero Sun Zero Preston 40 x 84 Gro Navy 40x84</t>
  </si>
  <si>
    <t>XM18885</t>
  </si>
  <si>
    <t>Madison Park Dolores 3 Piece King/California King Duvet Set Bedding</t>
  </si>
  <si>
    <t>Madison Park Madison Park Quebec 3-Piece Ki Grey KingCalifornia King</t>
  </si>
  <si>
    <t>Levtex Levtex Home Mackenzie Embroide Teal</t>
  </si>
  <si>
    <t>Box #XM18885-Linen</t>
  </si>
  <si>
    <t>Madison Park Bayside 6-Pc. Quilted FullQue Blue FullQueen</t>
  </si>
  <si>
    <t>XM18886</t>
  </si>
  <si>
    <t>Madison Park Madison Park Keaton 3-Piece Fu White FullQueen</t>
  </si>
  <si>
    <t>Ella Jayne Lofty 100 Cotton Plush Gel Fi White Twin</t>
  </si>
  <si>
    <t>Brooklyn Loom Brooklyn Loom Marshmallow Sher Green 60x50</t>
  </si>
  <si>
    <t>Chic Home Chic Home Hannah 10-Pc. King C Burgundy King</t>
  </si>
  <si>
    <t>Box #XM18886-Linen</t>
  </si>
  <si>
    <t>XM18887</t>
  </si>
  <si>
    <t>Madison Park Madison Park Quebec 2-Piece Tw Ivory Twin</t>
  </si>
  <si>
    <t>Woolrich Woolrich Plaid Patchwork Quilt Red 50x70</t>
  </si>
  <si>
    <t>Madison Park Madison Park Keaton 3-Piece Ki Navy KingCalifornia King</t>
  </si>
  <si>
    <t>Naturepedic Naturepedic Organic Waterproof Beige King</t>
  </si>
  <si>
    <t>NATUREPEDIC</t>
  </si>
  <si>
    <t>Chic Home Chic Home Osnat 10-Pc. King Be Brown King</t>
  </si>
  <si>
    <t>Box #XM18887-Linen</t>
  </si>
  <si>
    <t>Intelligent Design Raina 5-Pc. KingCalifornia Ki Whitesilver KingCalifornia King</t>
  </si>
  <si>
    <t>XM18888</t>
  </si>
  <si>
    <t>Sleep Philosophy Mink to Microfiber Navy 60 in. X 80 in. 17 Lbs. Weighted Blanket, Blue</t>
  </si>
  <si>
    <t>Sleep Philosophy</t>
  </si>
  <si>
    <t>Madison Park Quinn 6-Pc. FullQueen Duvet C Grey FullQueen</t>
  </si>
  <si>
    <t>Beautyrest Duke Faux-Fur Electric Throw Black Throw</t>
  </si>
  <si>
    <t>Madison Park Camelia 8-Pc. King Comforter S Natural King</t>
  </si>
  <si>
    <t>Cathay Home Inc. Floral Pintuck KingCal King C White</t>
  </si>
  <si>
    <t>Box #XM18888-Linen</t>
  </si>
  <si>
    <t>Beautyrest Deluxe Quilted Cotton 12 Lb. Weighted Blanket</t>
  </si>
  <si>
    <t>Beautyrest</t>
  </si>
  <si>
    <t>XM18889</t>
  </si>
  <si>
    <t>SunSmart Everly 50 x 84 Branch Jacqua Navy 50x84</t>
  </si>
  <si>
    <t>Sleep Philosophy Sleep Philosophy Velvet to Ber Gray 50x60</t>
  </si>
  <si>
    <t>INTELLIGENT DESIGN NADIA 5-PC. REVERSIBLE FULLQU YELLOW FULLQUEEN</t>
  </si>
  <si>
    <t>Woolrich Woolrich Plaid Patchwork Quilt Tan 50x70</t>
  </si>
  <si>
    <t>Saro Lifestyle Saro Lifestyle Plaid Flannel D Red 18x18</t>
  </si>
  <si>
    <t>Rod Desyne Frame 716 Curtain Rod 28-48 Black 28-48in</t>
  </si>
  <si>
    <t>ROD DESYNE</t>
  </si>
  <si>
    <t>Eclipse Eclipse Solid Thermapanel River Blue 54x63</t>
  </si>
  <si>
    <t>Eclipse Correll Back Tab Panel Ivory 52x84</t>
  </si>
  <si>
    <t>Box #XM18889-Linen</t>
  </si>
  <si>
    <t>XM18890</t>
  </si>
  <si>
    <t>Madison Park Madison Park Quebec 3-Pc King Khaki King</t>
  </si>
  <si>
    <t>VCNY Home Carmen 3-Pc. Ruched Queen Duve White Queen</t>
  </si>
  <si>
    <t>Riztex USA Riztex USA Deja Queen 3 Piece Indigo Queen</t>
  </si>
  <si>
    <t>RIZZY HOME/RIZTEX USA INC</t>
  </si>
  <si>
    <t>Box #XM18890-Linen</t>
  </si>
  <si>
    <t>XM18891</t>
  </si>
  <si>
    <t>Madison Park Bismarck Reversible 3-Pc. King Ivory King</t>
  </si>
  <si>
    <t>Madison Park Madison Park Quebec 3-Pc King Yellow King</t>
  </si>
  <si>
    <t>Madison Park Essentials Merritt Reversible TaupeWhite FullQueen</t>
  </si>
  <si>
    <t>Cathay Home Inc. Ultimate Luxury Reversible Mic Chocolate Full</t>
  </si>
  <si>
    <t>Pairs To Go Vickery Panel Pair Taupe 56x63</t>
  </si>
  <si>
    <t>Box #XM18891-Linen</t>
  </si>
  <si>
    <t>Everything Kids Everything Kids Toddler Pillow White</t>
  </si>
  <si>
    <t>NOJO BABY &amp; KIDS INC</t>
  </si>
  <si>
    <t>XM18892</t>
  </si>
  <si>
    <t>HIGHGROVE BASIC</t>
  </si>
  <si>
    <t>TED BAKER/SUNHAM HOME FASHIONS</t>
  </si>
  <si>
    <t>J Queen New York J Queen New York Marquis King Cream King</t>
  </si>
  <si>
    <t>Box #XM18892-Linen</t>
  </si>
  <si>
    <t>XM18893</t>
  </si>
  <si>
    <t>Madison Park Madison Park Linnette 3-Pc Ful Ivory FullQueen</t>
  </si>
  <si>
    <t>Box #XM18893-Linen</t>
  </si>
  <si>
    <t>KL187102</t>
  </si>
  <si>
    <t>Kasper Elbow Sleeve Blouse Lily White XS</t>
  </si>
  <si>
    <t>Women's 7 For All Mankind Kimmie Straight Leg Jeans, Size 30 - Blue</t>
  </si>
  <si>
    <t>7 For All MankindR</t>
  </si>
  <si>
    <t>KNIT COMBO DRESS</t>
  </si>
  <si>
    <t>BOAT NK TOP</t>
  </si>
  <si>
    <t>Blondie Nites Juniors Glitter-Flower Halter BlackMulti Floral 7</t>
  </si>
  <si>
    <t>Tahari ASL Petite Crepe Wide-Leg Pants Black 16P</t>
  </si>
  <si>
    <t>TAHARI ASL/PACIFIC ALLIANCE MFG</t>
  </si>
  <si>
    <t>Silver Jeans Co. Avery Slim Bootcut Jeans Blue 29R</t>
  </si>
  <si>
    <t>Alfani Straight-Leg Trousers Deep Black 4</t>
  </si>
  <si>
    <t>Alfani Straight-Leg Trousers Deep Black 16</t>
  </si>
  <si>
    <t>INC International Concepts Seam-Front Tunic Deep Black XS</t>
  </si>
  <si>
    <t>INC International Concepts Seam-Front Tunic Hunter Forest XS</t>
  </si>
  <si>
    <t>Alfani Snap-Waist Trousers Deep Black 8</t>
  </si>
  <si>
    <t>INC International Concepts Ruffled Star Sweatshirt Deep Black XS</t>
  </si>
  <si>
    <t>INC International Concepts Ruffled Star Sweatshirt Deep Black S</t>
  </si>
  <si>
    <t>INC International Concepts Ruffled Star Sweatshirt Deep Black M</t>
  </si>
  <si>
    <t>INC International Concepts Ruffled Star Sweatshirt Deep Black L</t>
  </si>
  <si>
    <t>INC International Concepts Ruffled Star Sweatshirt Deep Black XL</t>
  </si>
  <si>
    <t>INC INTERNATIONAL CONCEPTS RUFFLED STAR SWEATSHIRT HTHR BELLE GREY M</t>
  </si>
  <si>
    <t>INC International Concepts Ruffled Star Sweatshirt Pale Mauve XS</t>
  </si>
  <si>
    <t>INC International Concepts Ruffled Star Sweatshirt Pale Mauve S</t>
  </si>
  <si>
    <t>INC International Concepts Ruffled Sweatshirt Lemon Candy XS</t>
  </si>
  <si>
    <t>INC International Concepts Ruffled Sweatshirt Heather Belle Grey XS</t>
  </si>
  <si>
    <t>INC International Concepts Ruffled Sweatshirt Heather Belle Grey S</t>
  </si>
  <si>
    <t>INC International Concepts Ruffled Sweatshirt Heather Belle Grey M</t>
  </si>
  <si>
    <t>INC International Concepts Ruffled Sweatshirt Heather Belle Grey L</t>
  </si>
  <si>
    <t>INC International Concepts Embellished-Star Ruffled Sweat Nantucket Breez XL</t>
  </si>
  <si>
    <t>INC International Concepts Ribbed Short-Sleeve V-Neck Top Baltic Sea XXL</t>
  </si>
  <si>
    <t>Alfani Sleeveless Blouson Top Cream Beige XL</t>
  </si>
  <si>
    <t>Alfani Pull-On Ankle Pants Deep Black M</t>
  </si>
  <si>
    <t>Foxiedox Angelica Sequin Dress</t>
  </si>
  <si>
    <t>Foxiedox</t>
  </si>
  <si>
    <t>GREER</t>
  </si>
  <si>
    <t>MARLETTE</t>
  </si>
  <si>
    <t>Box #KL187102-unrestricted</t>
  </si>
  <si>
    <t>ALLOVER SPARKLE ILLUSION</t>
  </si>
  <si>
    <t>KL187103</t>
  </si>
  <si>
    <t>Alfani Alfani Ponte-Knit Skinny Pant Deep Black 10</t>
  </si>
  <si>
    <t>Bar III Printed Ruffled Mini Dress Red Dot 10</t>
  </si>
  <si>
    <t>INC International Concepts V-Neck T-Shirt Serena L</t>
  </si>
  <si>
    <t>Alfani Asymmetrical Sleeveless Tunic Soft White M</t>
  </si>
  <si>
    <t>Alfani Asymmetrical Sleeveless Tunic Soft White L</t>
  </si>
  <si>
    <t>Alfani Eyelash-Trim Long Cardigan Coal Melange M</t>
  </si>
  <si>
    <t>Alfani Turtleneck Sweater Berry Jam M</t>
  </si>
  <si>
    <t>INC International Concepts High-Rise Flare-Leg Pants Deep Black 12</t>
  </si>
  <si>
    <t>INC INTERNATIONAL CONCEPTS RUFFLED STAR SWEATSHIRT HTHR BELLE GREY XL</t>
  </si>
  <si>
    <t>Bar III Pull-On Coated Legging Deep Black M</t>
  </si>
  <si>
    <t>BAR III-EDI/DFA</t>
  </si>
  <si>
    <t>INC International Concepts High-Rise Shorts Ivory M</t>
  </si>
  <si>
    <t>INC International Concepts Animal-Print Belted Trench Coa Ocelot Charm M</t>
  </si>
  <si>
    <t>Alfani Pencil Skirt Deep Black 12</t>
  </si>
  <si>
    <t>Alfani Tonal-Print Surplice Blouse Small Teal Scales XL</t>
  </si>
  <si>
    <t>INC International Concepts Metallic Leopard-Print Legging Port 18</t>
  </si>
  <si>
    <t>Alfani Alfani Textured-Stripe Top, Cr Pure Ivory M</t>
  </si>
  <si>
    <t>ALFANI CROPPED WIDE-LEG PANTS PURE IVORY 12</t>
  </si>
  <si>
    <t>INC International Concepts Ruffled Star Sweatshirt Washed White S</t>
  </si>
  <si>
    <t>INC International Concepts Ruffled Star Sweatshirt Washed White M</t>
  </si>
  <si>
    <t>INC International Concepts Sequin-Sleeve Cropped Sweatshi Navy XS</t>
  </si>
  <si>
    <t>INC International Concepts Sequin-Sleeve Cropped Sweatshi Navy S</t>
  </si>
  <si>
    <t>INC International Concepts Sequin-Sleeve Cropped Sweatshi Navy M</t>
  </si>
  <si>
    <t>INC International Concepts Tie-Dye Sweatshirt Yellow Tie Dye S</t>
  </si>
  <si>
    <t>INC International Concepts Cropped Cardigan Sweater Navy XL</t>
  </si>
  <si>
    <t>Alfani Striped Tunic Shirt Lavender Rain M</t>
  </si>
  <si>
    <t>INC International Concepts Flared Sweatpants Nantucket Breez S</t>
  </si>
  <si>
    <t>INC International Concepts Ruffled Sweatshirt Nantucket Breez M</t>
  </si>
  <si>
    <t>INC International Concepts Ruffled Sweatshirt Lemon Candy M</t>
  </si>
  <si>
    <t>INC International Concepts Embellished-Star Ruffled Sweat Nantucket Breez XS</t>
  </si>
  <si>
    <t>Alfani Flared Pants Deep Black 4</t>
  </si>
  <si>
    <t>Alfani Seamed-Sleeve Top Violet Tulle 2XL</t>
  </si>
  <si>
    <t>Alfani Pull-On Ankle Pants Deep Black XL</t>
  </si>
  <si>
    <t>LONG GOWN W/ COMBO</t>
  </si>
  <si>
    <t>Box #KL187103-Unrestricted</t>
  </si>
  <si>
    <t>Bar III Plus Size Ruffle-Hem Skirt Black 24W</t>
  </si>
  <si>
    <t>BAR III/KASPER GROUP LLC</t>
  </si>
  <si>
    <t>KL187104</t>
  </si>
  <si>
    <t>1.STATE High-Neck Cold-Shoulder Top Medium Heather Grey M</t>
  </si>
  <si>
    <t>b new york b new york Open-Front Shawl Ca Dusty Mauve ML</t>
  </si>
  <si>
    <t>B NEW YORK/PACIFIC ALLIANCE MFG</t>
  </si>
  <si>
    <t>Silver Jeans Co. Avery High-Rise Straight-Leg J Indigo 24R</t>
  </si>
  <si>
    <t>INC International Concepts Illusion-Sleeve V-Neck Blouse Deep Black L</t>
  </si>
  <si>
    <t>R M Richards Sequin-Embellished Pleated-God Merlot 8</t>
  </si>
  <si>
    <t>City Studios Trendy Plus Size Cross-Back Sh Black 18W</t>
  </si>
  <si>
    <t>MILLENNIAL PLUS/JODI KRISTOPHER</t>
  </si>
  <si>
    <t>INC International Concepts V-Neck Tank Top Bright White M</t>
  </si>
  <si>
    <t>Alfani Turtleneck Poncho Sweater Malbec M</t>
  </si>
  <si>
    <t>Alfani Turtleneck Poncho Sweater Blue Sapphire S</t>
  </si>
  <si>
    <t>Alfani V-Neck Top New City Silver L</t>
  </si>
  <si>
    <t>Alfani Asymmetrical Sleeveless Tunic Soft White S</t>
  </si>
  <si>
    <t>Alfani Metallic-Detail Vented-Hem Swe Teal Motif S</t>
  </si>
  <si>
    <t>Alfani Funnel-Neck Shell Top Matchless Texture XL</t>
  </si>
  <si>
    <t>INC International Concepts Seam-Front Tunic Hunter Forest M</t>
  </si>
  <si>
    <t>Alfani Faux-Wrap Dress Berry Jam 14</t>
  </si>
  <si>
    <t>Alfani Snakeskin-Print Top Python L</t>
  </si>
  <si>
    <t>Alfani Knit-Back Mixed-Media Jacket Dark Forest L</t>
  </si>
  <si>
    <t>ALFANI-EDI/COFFEESHOP</t>
  </si>
  <si>
    <t>Bar III Pull-On Coated Legging Deep Black XS</t>
  </si>
  <si>
    <t>Bar III Pull-On Coated Legging Deep Black S</t>
  </si>
  <si>
    <t>Bar III Pull-On Coated Legging Deep Black L</t>
  </si>
  <si>
    <t>Bar III Pull-On Coated Legging Deep Black XXS</t>
  </si>
  <si>
    <t>INC INTERNATIONAL CONCEPTS RIBBED OFF-THE-SHOULDER SWEATE REAL RED L</t>
  </si>
  <si>
    <t>INC INTERNATIONAL CONCEPTS RIBBED OFF-THE-SHOULDER SWEATE FUCHSIA POP L</t>
  </si>
  <si>
    <t>Alfani Alfani Pleated V-Neck Tank Top Faded Blue L</t>
  </si>
  <si>
    <t>Alfani 34-Sleeve Top Prairie Rose M</t>
  </si>
  <si>
    <t>INC International Concepts Spaghetti-Strap Bodysuit Black M</t>
  </si>
  <si>
    <t>INC International Concepts Mini T-Shirt Dress Navy L</t>
  </si>
  <si>
    <t>Alfani Draped-Front Blouse Island Oasis M</t>
  </si>
  <si>
    <t>Alfani Draped-Front Blouse Island Oasis L</t>
  </si>
  <si>
    <t>ALFANI ONE-SHOULDER FLUTTER-SLEEVE TO ENGLISH IVY M</t>
  </si>
  <si>
    <t>Alfani Abstract-Print Swing Top Ethereal Wisps S</t>
  </si>
  <si>
    <t>INC International Concepts Ruffled Sweatshirt Lemon Candy S</t>
  </si>
  <si>
    <t>INC International Concepts Ruffled Sweatshirt Heather Belle Grey XL</t>
  </si>
  <si>
    <t>Alfani Cap-Sleeve Top Deep Black L</t>
  </si>
  <si>
    <t>Alfani Cap-Sleeve Top Deep Black 2XL</t>
  </si>
  <si>
    <t>Alfani Pleated Midi Skirt Lavender Rain XS</t>
  </si>
  <si>
    <t>Alfani Tie-Neck Top Cream Beige XL</t>
  </si>
  <si>
    <t>Alfani Pull-On Pants Antique White M</t>
  </si>
  <si>
    <t>Box #KL187104-Unrestricted</t>
  </si>
  <si>
    <t>Danielle Bernstein T-Shirt Bodysuit, Created for Black S</t>
  </si>
  <si>
    <t>DANIELLE BERNSTEIN/REUNITED LLC</t>
  </si>
  <si>
    <t>KL187105</t>
  </si>
  <si>
    <t>Danielle Bernstein Satin Bodysuit White 14</t>
  </si>
  <si>
    <t>Danielle Bernstein Strappy Fit Flare Dress Dark Red 8</t>
  </si>
  <si>
    <t>CeCe Leopard-Print Ruffled Top Soft Pewter XS</t>
  </si>
  <si>
    <t>CECE/BERNARD CHAUS INC</t>
  </si>
  <si>
    <t>INC International Concepts Illusion-Sleeve V-Neck Blouse Port L</t>
  </si>
  <si>
    <t>Morgan Company Trendy Plus Size Trumpet-Skirt White 18W</t>
  </si>
  <si>
    <t>MILLENNIAL PLUS DRESS/R &amp; M RICHARD</t>
  </si>
  <si>
    <t>Alfani V-Neck Top Pottery Clay S</t>
  </si>
  <si>
    <t>Alfani Mixed-Stitch Open-Front Linen- Cobalt Sea L</t>
  </si>
  <si>
    <t>Alfani Mixed-Stitch Open-Front Linen- Cobalt Sea XL</t>
  </si>
  <si>
    <t>Alfani Band Collar Blouse Cobalt Sea XL</t>
  </si>
  <si>
    <t>Alfani Square-Neck Tank Top Deep Black XL</t>
  </si>
  <si>
    <t>Alfani Printed Dolman-Sleeve Top Paint Profusion S</t>
  </si>
  <si>
    <t>INC International Concepts INC , Created for Macys Mango Beach XL</t>
  </si>
  <si>
    <t>Alfani Satin V-Neck Tank Top Urban Olive S</t>
  </si>
  <si>
    <t>Alfani Alfani Cutout-Shoulder Asymmet Warm Ginger S</t>
  </si>
  <si>
    <t>Alfani Colorblocked Mock-Neck Top Marigold Petal S</t>
  </si>
  <si>
    <t>INC International Concepts Smocked Printed Dress Rio Rain M</t>
  </si>
  <si>
    <t>Alfani Alfani Cutout-Shoulder Asymmet Rose Petal XL</t>
  </si>
  <si>
    <t>Alfani Abstract-Print Pointed-Hem Top Large Paint Plume S</t>
  </si>
  <si>
    <t>Alfani Printed Asymmetrical Midi Dres White Houndstooth XS</t>
  </si>
  <si>
    <t>Alfani Satin V-Neck Tank Top Fresh Sprig XL</t>
  </si>
  <si>
    <t>Alfani Surplice Asymmetrical Blouse Pure Ivory S</t>
  </si>
  <si>
    <t>Alfani Funnel-Neck Top Fresh Sprig XS</t>
  </si>
  <si>
    <t>Alfani Pocket Open Front Cardigan Deep Black M</t>
  </si>
  <si>
    <t>ALFANI FLARED-SLEEVE TOP PRAIRIE ROSE L</t>
  </si>
  <si>
    <t>Alfani Printed Bungee-Hem Top Navy S</t>
  </si>
  <si>
    <t>Alfani Draped V-Neck Top Prairie Rose XL</t>
  </si>
  <si>
    <t>INC International Concepts Cropped Cardigan Sweater Navy S</t>
  </si>
  <si>
    <t>Alfani Split-Neck Balloon-Sleeve Top Lime Peel XL</t>
  </si>
  <si>
    <t>Alfani Open-Front Cardigan Deep Black XL</t>
  </si>
  <si>
    <t>Alfani Seamed-Sleeve Top Violet Tulle M</t>
  </si>
  <si>
    <t>Alfani Printed Boat-Neck Top Bl Small Bloom Bliss M</t>
  </si>
  <si>
    <t>Alfani Pleated Trench Coat Lime Peel S</t>
  </si>
  <si>
    <t>Alfani Pocket Button-Front Top Lightest Lilac XL</t>
  </si>
  <si>
    <t>Alfani Cropped Straight-Leg Pants Peanut Brittle 12</t>
  </si>
  <si>
    <t>Alfani Mandarin-Collar Faux-Leather B Spicy Purple XL</t>
  </si>
  <si>
    <t>Box #KL187105-Unrestricted</t>
  </si>
  <si>
    <t>Jessica Simpson Infinite High-Waist Denim Shor On The Run 32</t>
  </si>
  <si>
    <t>JESSICA SIMPSON/ONE JEANSWEAR GROUP</t>
  </si>
  <si>
    <t>KL187106</t>
  </si>
  <si>
    <t>Danielle Bernstein T-Shirt Bodysuit, Created for White XS</t>
  </si>
  <si>
    <t>Danielle Bernstein Belted Satin Blazer Yellow M</t>
  </si>
  <si>
    <t>Sam Edelman The Commander Utility Pants Jet Black 4</t>
  </si>
  <si>
    <t>SAM EDELMAN DENIM/CENTRIC WEST LLC</t>
  </si>
  <si>
    <t>Blondie Nites Juniors' Plunging Brocade Gown</t>
  </si>
  <si>
    <t>Alfani Gingham Midi Pencil Skirt Black Gingham XXL</t>
  </si>
  <si>
    <t>Morgan Company Trendy Plus Size Sequin Strapp Peacock 14W</t>
  </si>
  <si>
    <t>City Studios Juniors 2-Pc. Square-Neck Top BlackRed 15</t>
  </si>
  <si>
    <t>Alfani Satin V-Neck Tank Top Pottery Clay L</t>
  </si>
  <si>
    <t>Alfani Tummy-Control Skinny Pants Dark Grey Heather 6S</t>
  </si>
  <si>
    <t>ALFANI-EDI/DFA</t>
  </si>
  <si>
    <t>Bar III Twist-Front Cutout T-Shirt Dusty Olive XL</t>
  </si>
  <si>
    <t>INC International Concepts Smocked Tiered Maxi Skirt Deep Black L</t>
  </si>
  <si>
    <t>Alfani Printed Pull-On Pants Animal Impression XL</t>
  </si>
  <si>
    <t>INC International Concepts Shirttail Sweater Hunter Forest M</t>
  </si>
  <si>
    <t>INC International Concepts Seam-Front Tunic Hunter Forest S</t>
  </si>
  <si>
    <t>Alfani Mock-Neck Long Sleeve Top Cranberry Rose S</t>
  </si>
  <si>
    <t>Alfani Mock-Neck Long Sleeve Top Cranberry Rose M</t>
  </si>
  <si>
    <t>Alfani Sheer Crossover-Hem Tunic Dark Ruby XS</t>
  </si>
  <si>
    <t>Alfani Mock Neck Midi Dress Black Houndstooth 16</t>
  </si>
  <si>
    <t>Charter Club Velour Button-Down Shirt</t>
  </si>
  <si>
    <t>Charter Club</t>
  </si>
  <si>
    <t>Alfani Draped V-Neck Top Prairie Rose L</t>
  </si>
  <si>
    <t>INC International Concepts Ruffled Sweatshirt Washed White XL</t>
  </si>
  <si>
    <t>Alfani Seamed-Sleeve Top Violet Tulle S</t>
  </si>
  <si>
    <t>Alfani Pleated Midi Skirt Lavender Rain L</t>
  </si>
  <si>
    <t>Alfani Cinch-Sleeve Dress Deep Black S</t>
  </si>
  <si>
    <t>Alfani Tie-Neck Top Lavender Rain L</t>
  </si>
  <si>
    <t>Alfani Solid Wide-Leg Pants Antique White S</t>
  </si>
  <si>
    <t>Alfani Solid Wide-Leg Pants Antique White XL</t>
  </si>
  <si>
    <t>Alfani Pleated Faux-Leather Skirt Peanut Brittle 12</t>
  </si>
  <si>
    <t>Alfani Printed Tiered Midi Dress White Daisy Dream L</t>
  </si>
  <si>
    <t>HI NK XBK ASSYM HEM</t>
  </si>
  <si>
    <t>Speechless</t>
  </si>
  <si>
    <t>Box #KL187106-Unretricted</t>
  </si>
  <si>
    <t>S/S SUEDE BELT DRESS</t>
  </si>
  <si>
    <t>KL187107</t>
  </si>
  <si>
    <t>Theory Womens Asymmetric Casual Tank Dress</t>
  </si>
  <si>
    <t>Theory</t>
  </si>
  <si>
    <t>TIE SCARF TOP</t>
  </si>
  <si>
    <t>Theory Women's Tailored Pinstripe Crop Trousers - Size 16</t>
  </si>
  <si>
    <t>kensie Printed Lace Midi Bodycon Dres Green Floral 0</t>
  </si>
  <si>
    <t>Free People Forget Me Not Floral-Print Min Ivory Combo 6</t>
  </si>
  <si>
    <t>Jessica Howard Petite Chiffon-Sleeve Sheath D Black 10P</t>
  </si>
  <si>
    <t>Jessica Howard Plus Size Printed Long-Sleeve Navy Tan 14W</t>
  </si>
  <si>
    <t>Jessica Howard Plus Size Illusion-Trim Blouso Black 16W</t>
  </si>
  <si>
    <t>Blondie Nites Juniors Strapless Applique D Navy 11</t>
  </si>
  <si>
    <t>KNIT EYELET FLORAL HALTE</t>
  </si>
  <si>
    <t>Teeze Me</t>
  </si>
  <si>
    <t>RO NAVY EDV BOLERO</t>
  </si>
  <si>
    <t>RO WHITE BASIC SHRUG</t>
  </si>
  <si>
    <t>BCS-RUFFLE LINGERIE MIO</t>
  </si>
  <si>
    <t>Morgan Company Juniors Sequined Lace Halter Navy 5</t>
  </si>
  <si>
    <t>Alfani Striped Twist-Neck Top Black White Stripe XXL</t>
  </si>
  <si>
    <t>Alfani Sheer Crossover-Hem Tunic Marigold Petal XL</t>
  </si>
  <si>
    <t>Alfani Twist-Front Top Brilliant White L</t>
  </si>
  <si>
    <t>KN SH PRT PLT TANK</t>
  </si>
  <si>
    <t>INC International Concepts Puff-Sleeve Turtleneck Top Port XL</t>
  </si>
  <si>
    <t>Alfani Twist-Front Top Island Oasis M</t>
  </si>
  <si>
    <t>LNG SMJ OTS BEAD A21</t>
  </si>
  <si>
    <t>B&amp;A BY BETSY &amp; ADAM</t>
  </si>
  <si>
    <t>CARLYNA</t>
  </si>
  <si>
    <t>CLEORA</t>
  </si>
  <si>
    <t>RETAH</t>
  </si>
  <si>
    <t>SHUTTER CAPELET DRESS</t>
  </si>
  <si>
    <t>TA 3/4</t>
  </si>
  <si>
    <t>VICTORINA</t>
  </si>
  <si>
    <t>POLLY</t>
  </si>
  <si>
    <t>JERI LACE</t>
  </si>
  <si>
    <t>LAUREN RALPH LAUREN PRINTED MATTE JERSEY-DRESS BLACK/PARLOR RED/MULTI 12</t>
  </si>
  <si>
    <t>ALODIE</t>
  </si>
  <si>
    <t>CALEB</t>
  </si>
  <si>
    <t>MARLI MAUPIN FLORAL</t>
  </si>
  <si>
    <t>Robbie Bee Petite Belted Cowlneck Sweater Black PM</t>
  </si>
  <si>
    <t>Box #KL187107-Unrestricted</t>
  </si>
  <si>
    <t>BROOK DRESS</t>
  </si>
  <si>
    <t>PAPPAGALLO</t>
  </si>
  <si>
    <t>KL187108</t>
  </si>
  <si>
    <t>LIGHT BLUE GROUND FLORAL</t>
  </si>
  <si>
    <t>Trixxi</t>
  </si>
  <si>
    <t>XSCAPE Plus Size Off-The-Shoulder Gow Royal Blue 16W</t>
  </si>
  <si>
    <t>LONG DOUBLE STRAP BASIC</t>
  </si>
  <si>
    <t>XSCAPE Plus Size Off-The-Shoulder Gow Plum Purple 18W</t>
  </si>
  <si>
    <t>Eliza J Illusion-Mesh Bodycon Dress Black 10</t>
  </si>
  <si>
    <t>VELVET LONG SLEEVE DRESS</t>
  </si>
  <si>
    <t>S/S LUREX STRIPE T DRE</t>
  </si>
  <si>
    <t>Jessica Howard Plus Size Illusion-Trim Blouso Black 22W</t>
  </si>
  <si>
    <t>SATIN RUFFLE DRESS</t>
  </si>
  <si>
    <t>TAYLOR/DANNY &amp; NICOLE</t>
  </si>
  <si>
    <t>RUBY BLK FLORAL DRESS</t>
  </si>
  <si>
    <t>Jessica Howard Sweater, Three Quarter Sleeve Natural XL</t>
  </si>
  <si>
    <t>RED 1PC SHEER TRIM ANGEL</t>
  </si>
  <si>
    <t>STRETCH SATIN V0NK</t>
  </si>
  <si>
    <t>F/F BODY</t>
  </si>
  <si>
    <t>City Studios Juniors' Floral-Skirt Fit &amp; Flare Dress</t>
  </si>
  <si>
    <t>Alfani Pleated Midi Skirt Fresh Sprout M</t>
  </si>
  <si>
    <t>Alfani Printed Asymmetrical Midi Dres White Houndstooth M</t>
  </si>
  <si>
    <t>INC International Concepts Spaghetti-Strap Bodysuit White XL</t>
  </si>
  <si>
    <t>Alfani High-Low Jersey Tunic Top Palm Leaf L</t>
  </si>
  <si>
    <t>POPLINE FLORAL BRINGHT</t>
  </si>
  <si>
    <t>LACE TOP DOUBLE SKIRT BO</t>
  </si>
  <si>
    <t>NIGH LNG SCBCRP OTSCUFF F</t>
  </si>
  <si>
    <t>Ny Collection Petite Wide-Leg Palazzo - Black</t>
  </si>
  <si>
    <t>NY Collection</t>
  </si>
  <si>
    <t>LNG SLV TIER DRESS</t>
  </si>
  <si>
    <t>SL Fashions Allover-Floral Tiered Shift Dr Cream Floral 8</t>
  </si>
  <si>
    <t>NAVY 2PC METALLIC 2X2 BAB</t>
  </si>
  <si>
    <t>R M Richards Plus-Size Embellished Dress Plum 18W</t>
  </si>
  <si>
    <t>R M Richards Metallic Knit Keyhole Halter G Gold 6</t>
  </si>
  <si>
    <t>VEMETRA-LONG SLEEVE-SWEA</t>
  </si>
  <si>
    <t>Connected Plus Size Embroidered Capelet NavySilver 14W</t>
  </si>
  <si>
    <t>LUREX JUMPSUIT</t>
  </si>
  <si>
    <t>Connected Petite Mesh-Sleeve Dress Purple 8P</t>
  </si>
  <si>
    <t>Connected Petite Printed Sheath Dress Bordeaux 8P</t>
  </si>
  <si>
    <t>JORDAN</t>
  </si>
  <si>
    <t>MAXMARA WEEKEND/MAXMARA USA INC</t>
  </si>
  <si>
    <t>Box #KL187108-Unrestricted</t>
  </si>
  <si>
    <t>Trixxi Juniors Bustier Bodycon Dress Hot Pink 3</t>
  </si>
  <si>
    <t>KL187109</t>
  </si>
  <si>
    <t>XSCAPE Floral Lace Gown Hunter Green 12</t>
  </si>
  <si>
    <t>OTS RUFFLE GOWN</t>
  </si>
  <si>
    <t>SSW1389RH SUPR SKINY</t>
  </si>
  <si>
    <t>HUDSON</t>
  </si>
  <si>
    <t>NEW DAWN VEGAN JACKET</t>
  </si>
  <si>
    <t>Free People Forever Your Girl Top Lilac XS</t>
  </si>
  <si>
    <t>Free People French Quarter Ruffled Wrap Dr Red Combo XS</t>
  </si>
  <si>
    <t>Free People Great Expectations Tank Top Sand S</t>
  </si>
  <si>
    <t>Free People Kia Semi-Sheer Henley Top Ivory L</t>
  </si>
  <si>
    <t>Free People Kia Semi-Sheer Henley Top Stardust L</t>
  </si>
  <si>
    <t>Free People Aries Tank Blue L</t>
  </si>
  <si>
    <t>ZUWENA-STRAIGHT-PANT</t>
  </si>
  <si>
    <t>JULIETH</t>
  </si>
  <si>
    <t>Lauren Ralph Lauren Pleated Paisley Jersey Dress RedBlue 2</t>
  </si>
  <si>
    <t>Vince Camuto Tie-Dyed Drawstring Shorts Dusty Blossom XS</t>
  </si>
  <si>
    <t>VINCE CAMUTO/BERNARD CHAUS</t>
  </si>
  <si>
    <t>Women's Sweater Small Lace Sequin Shrug S</t>
  </si>
  <si>
    <t> Tahari</t>
  </si>
  <si>
    <t>LONG DRESS</t>
  </si>
  <si>
    <t>J-KARA/JAI MA CREATION INC</t>
  </si>
  <si>
    <t>LONG SLEEVELESS BEAD</t>
  </si>
  <si>
    <t>Alfani V-Neck Top Pottery Clay M</t>
  </si>
  <si>
    <t>Alfani Printed Swing Top Green Text Pathway XL</t>
  </si>
  <si>
    <t>Alfani Printed Swing Top Green Text Pathway XXL</t>
  </si>
  <si>
    <t>INC International Concepts Seam-Front Tunic Heather Ginger S</t>
  </si>
  <si>
    <t>Alfani Washed-Out Button-Down Shirt Floral Teal L</t>
  </si>
  <si>
    <t>INC International Concepts Puff-Sleeve Turtleneck Top Port L</t>
  </si>
  <si>
    <t>INC International Concepts Puff-Sleeve Turtleneck Top French Roast L</t>
  </si>
  <si>
    <t>Alfani Velvet-Overlay Asymmetrical To Teal Motif L</t>
  </si>
  <si>
    <t>Alfani Batwing-Sleeve Blouse Island Oasis L</t>
  </si>
  <si>
    <t>ALFANI COLORBLOCKED BOAT-NECK TUNIC DEEP BLACK XL</t>
  </si>
  <si>
    <t>Alfani Ribbed-Knit Tank Top Dress Lavender Rain M</t>
  </si>
  <si>
    <t>Betsy Adam Cowlneck Metallic Glitter Gown BlackRoyal Blue 10</t>
  </si>
  <si>
    <t>Dickies Belted Cropped High-Rise Pants Khaki 11</t>
  </si>
  <si>
    <t>DICKIES GIRL/JERRY LEIGH</t>
  </si>
  <si>
    <t>SLVLS EYELET JUMP</t>
  </si>
  <si>
    <t>NEMOTA</t>
  </si>
  <si>
    <t>JALISSA</t>
  </si>
  <si>
    <t>WRAP FRONT LACE BACK</t>
  </si>
  <si>
    <t>Box #KL187109-Unrestricted</t>
  </si>
  <si>
    <t>Hudson Jeans Holly Cropped Bootcut Jeans Planetoid 28</t>
  </si>
  <si>
    <t>KL187110</t>
  </si>
  <si>
    <t>Hudson Jeans Krista Destroyed-Hem Super Ski Dame 27</t>
  </si>
  <si>
    <t>Eileen Fisher Infinity Scarf Black OS</t>
  </si>
  <si>
    <t>Joes Jeans Charlie Raw-Hem Ripped Ankle J Obsidian 26</t>
  </si>
  <si>
    <t>Free People Just Float On Corduroy Flare P Mustard 31</t>
  </si>
  <si>
    <t>Free People Valencia Set Black S</t>
  </si>
  <si>
    <t>Celebrity Pink Juniors' Distressed Curvy High-Rise Skinny Jeans</t>
  </si>
  <si>
    <t>Celebrity Pink</t>
  </si>
  <si>
    <t>Riley Rae Blair Tie-Neck Sweater Varsity Orange M</t>
  </si>
  <si>
    <t>RILEY &amp; RAE/BERNARD CHAUS INC</t>
  </si>
  <si>
    <t>LS LONG DRESS</t>
  </si>
  <si>
    <t>Alfani Straight-Leg Trousers Deep Black 12</t>
  </si>
  <si>
    <t>TANK DRESS</t>
  </si>
  <si>
    <t>V NK BCK BOW DRESS</t>
  </si>
  <si>
    <t>Kingston Grey Trendy Plus Size Twist-Front F Black 3X</t>
  </si>
  <si>
    <t>City Studios Trendy Plus Size Ombre Rainbo Ivory Combo 22W</t>
  </si>
  <si>
    <t>ASYM OVERLAY ROMPER</t>
  </si>
  <si>
    <t>INC International Concepts Inverted-Pleat V-Neck Top, Cre Washed White S</t>
  </si>
  <si>
    <t>Alfani Smocked-Shoulder Top Soft White XL</t>
  </si>
  <si>
    <t>Alfani Printed Dolman-Sleeve Top Prem Stripe M</t>
  </si>
  <si>
    <t>INC International Concepts Shirttail Sweater Autumn Berry XS</t>
  </si>
  <si>
    <t>Alfani High-Low Jersey Tunic Top Cranberry Rose M</t>
  </si>
  <si>
    <t>ALFANI 34-SLEEVE TOP PURE CINDER XL</t>
  </si>
  <si>
    <t>Alfani Printed Top White Floral S</t>
  </si>
  <si>
    <t>ALFANI MOCK NECK MIDI DRESS BLACK HOUNDSTOOTH 10</t>
  </si>
  <si>
    <t>Alfani Tonal-Print Surplice Blouse Small Scales Black S</t>
  </si>
  <si>
    <t>Alfani Velvet Sequined Dolman Top Faded Blue M</t>
  </si>
  <si>
    <t>INC International Concepts Ruffled-Shoulder Sweater Real Red L</t>
  </si>
  <si>
    <t>Alfani Velvet-Overlay Asymmetrical To Teal Motif S</t>
  </si>
  <si>
    <t>Alfani Velvet-Overlay Asymmetrical To Teal Motif XL</t>
  </si>
  <si>
    <t>Alfani 34-Sleeve Top Prairie Rose S</t>
  </si>
  <si>
    <t>Bar III Heart-Print Ruched-Waist Dress Flutter Heart Blue S</t>
  </si>
  <si>
    <t>Alfani Striped Tunic Shirt Soft White L</t>
  </si>
  <si>
    <t>INC International Concepts Volume-Sleeve Sweatshirt Heather Belle Grey L</t>
  </si>
  <si>
    <t>INC International Concepts Ruffled Sweatshirt Deep Black M</t>
  </si>
  <si>
    <t>INC International Concepts Printed Ruffled Sweatshirt Swirl Dye M</t>
  </si>
  <si>
    <t>INC International Concepts Cotton Ruffled Sweatshirt Indigo Sea M</t>
  </si>
  <si>
    <t>INC International Concepts O-Ring Cutout Ribbed Sweater Sunbeam XS</t>
  </si>
  <si>
    <t>Alfani Floral-Print Blouse Bl New Blossom XS</t>
  </si>
  <si>
    <t>Alfani Pull-On Ankle Pants Deep Black L</t>
  </si>
  <si>
    <t>Hula Honey WHITE SMOKE Wild Waters Adjustable Bikini Swim Bottom, US Small</t>
  </si>
  <si>
    <t>Hula Honey</t>
  </si>
  <si>
    <t>Box #KL187110-Unrestricted</t>
  </si>
  <si>
    <t>CORD SQUARE NECK W T SHI</t>
  </si>
  <si>
    <t>KL187111</t>
  </si>
  <si>
    <t>Theory Tailored Trouser C</t>
  </si>
  <si>
    <t>Hudson Jeans Nico Mid-Rise Bootcut Jeans Requiem 29L</t>
  </si>
  <si>
    <t>Hudson Jeans Collin Skinny Jeans Louvre 31</t>
  </si>
  <si>
    <t>Hudson Jeans Skinny Ankle Jeans Ultralife 26</t>
  </si>
  <si>
    <t>Free People Main Squeeze Ribbed Seamed Swe Black M</t>
  </si>
  <si>
    <t>Free People Night Out Mesh Maxi Dress Black XS</t>
  </si>
  <si>
    <t>Free People High Tide Printed Top Ivory Combo S</t>
  </si>
  <si>
    <t>Free People Boarderline Printed Tunic Ivory XL</t>
  </si>
  <si>
    <t>Free People Kia Semi-Sheer Henley Top Ivory S</t>
  </si>
  <si>
    <t>Free People Kia Semi-Sheer Henley Top Strawberry Lemonade M</t>
  </si>
  <si>
    <t>Free People Sandy Tank Top White M</t>
  </si>
  <si>
    <t>Free People Sundrop Tie-Back Camisole Pink XS</t>
  </si>
  <si>
    <t>Free People Sun Valley Cotton T-Shirt Olive S</t>
  </si>
  <si>
    <t>Free People XOXO Cotton Printed Smocked Bl Snake L</t>
  </si>
  <si>
    <t>b new york Faux-Fur Hooded Coat Canteen Canteen M</t>
  </si>
  <si>
    <t>PPWER SATEEN OFF SHOULDE</t>
  </si>
  <si>
    <t>CeCe Ruffled Square-Neck Top Bay Coral XL</t>
  </si>
  <si>
    <t>INC International Concepts V-Neck Tank Top Deep Black M</t>
  </si>
  <si>
    <t>INC International Concepts Side-Tie Faux-Wrap Dress Deep Black M</t>
  </si>
  <si>
    <t>Alfani Printed Swing Top Green Text Pathway S</t>
  </si>
  <si>
    <t>Alfani Mixed-Stitch Open-Front Linen- Cobalt Sea XXL</t>
  </si>
  <si>
    <t>INC International Concepts Button-Front Cardigan Sweater Medium Heather Grey XL</t>
  </si>
  <si>
    <t>Alfani Mock-Neck Long Sleeve Top Cranberry Rose L</t>
  </si>
  <si>
    <t>INC International Concepts Metallic Leopard-Print Legging Port 2</t>
  </si>
  <si>
    <t>INC International Concepts Ruffled Star Sweatshirt Pale Mauve M</t>
  </si>
  <si>
    <t>INC International Concepts Ruffled Star Sweatshirt Pale Mauve XL</t>
  </si>
  <si>
    <t>Culpos X Inc Spaghetti-Strap Bodysuit</t>
  </si>
  <si>
    <t>INC International Concepts Tie-Dye Sweatshirt Yellow Tie Dye M</t>
  </si>
  <si>
    <t>INC International Concepts Cropped Cardigan Sweater Navy L</t>
  </si>
  <si>
    <t>Alfani Cap-Sleeve Wrap Dress Deep Black XL</t>
  </si>
  <si>
    <t>Culpos X Inc Ribbed Cardigan Sweater</t>
  </si>
  <si>
    <t>INC International Concepts Cardigan Sweater Oatmilk Latte L</t>
  </si>
  <si>
    <t>ALFANI DRAWSTRING-WAIST FIT-AND-FLARE LAVENDER RAIN M</t>
  </si>
  <si>
    <t>Alfani Open-Front Cardigan Blue Glass XL</t>
  </si>
  <si>
    <t>Alfani Zippered Mock-Neck Sweater Deep Black L</t>
  </si>
  <si>
    <t>Alfani Textured Shirt Lavender Rain M</t>
  </si>
  <si>
    <t>Alfani Pull-On Ankle Pants Deep Black S</t>
  </si>
  <si>
    <t>Sun Moon Balloon-Sleeve Tunic Sweater Pink Spacedye XL</t>
  </si>
  <si>
    <t>SUN+MOON/RDG GLOBAL LLC</t>
  </si>
  <si>
    <t>WYNTER Cable-Knit Tunic Sweater Blonde Camel L</t>
  </si>
  <si>
    <t>WYNTER/MAJOR LABEL GROUP</t>
  </si>
  <si>
    <t>Box #KL187111-Unrestricted</t>
  </si>
  <si>
    <t>Ultra Flirt Womens Black Long Sleeve Scoop Neck Short Sheath Dress Size L - All</t>
  </si>
  <si>
    <t>Flirt</t>
  </si>
  <si>
    <t>KL187112</t>
  </si>
  <si>
    <t>Theory Womens Crepe Tailored Trouser Pants</t>
  </si>
  <si>
    <t>Free People Night Shimmers Lace Sequined D Red 0</t>
  </si>
  <si>
    <t>Free People Juniors Colorblock Sweater Peach XS</t>
  </si>
  <si>
    <t>Free People Free People Frayed-Hem Skinny Capri Blue 24</t>
  </si>
  <si>
    <t>Free People Free People Frayed-Hem Skinny Capri Blue 26</t>
  </si>
  <si>
    <t>Free People Just Float On Corduroy Flare P Mustard 25</t>
  </si>
  <si>
    <t>Free People Gold Rush Mini Dress Ivory L</t>
  </si>
  <si>
    <t>Free People Weekend Rush Short-Sleeve Henl Copper L</t>
  </si>
  <si>
    <t>Free People Sonnet T-Shirt Turquoise S</t>
  </si>
  <si>
    <t>Free People Matilda Printed Bodysuit Willow Combo L</t>
  </si>
  <si>
    <t>Free People High-Low Paisley-Print T-Shirt Black XS</t>
  </si>
  <si>
    <t>Free People Coconut V Sweater Pristine Blue S</t>
  </si>
  <si>
    <t>Free People Coconut V Sweater Pristine Blue M</t>
  </si>
  <si>
    <t>Free People Sleeveless Printed Trapeze Dre Black S</t>
  </si>
  <si>
    <t>Free People Parker Cotton Ripped Denim Ski Light Denim 24</t>
  </si>
  <si>
    <t>Free People Adella Camisole Turquoise XS</t>
  </si>
  <si>
    <t>Free People Printed Talk Back Bodysuit Lilac Combo XS</t>
  </si>
  <si>
    <t>Free People Brookside Dolman-Sleeve Tunic Ivory M</t>
  </si>
  <si>
    <t>Free People Laurel Canyon Flared Jeans Cream 25R</t>
  </si>
  <si>
    <t>Free People Low Tide Bodysuit White M</t>
  </si>
  <si>
    <t>Free People Joni Maxi Cotton T-Shirt Out To Sea Combo M</t>
  </si>
  <si>
    <t>Free People Joni Maxi Cotton T-Shirt Out To Sea Combo XL</t>
  </si>
  <si>
    <t>Free People Joni Maxi Cotton T-Shirt Orange XL</t>
  </si>
  <si>
    <t>Free People Open Back Sweet Heart Top Green XL</t>
  </si>
  <si>
    <t>Free People Maybelle Camo-Print T-Shirt Ivory M</t>
  </si>
  <si>
    <t>Free People In The Mix Contrast-Cuff Therm Super Nova Combo XS</t>
  </si>
  <si>
    <t>Free People Natasha Ruched-Sleeve T-Shirt Amber XS</t>
  </si>
  <si>
    <t>Free People Juniors Square-Neck Printed T Dark Combo XS</t>
  </si>
  <si>
    <t>Free People Phoenix Coated Skinny Jeans Silver 29R</t>
  </si>
  <si>
    <t>Women's Free People Clemence Button-Up Blouse, Size Small - Pink</t>
  </si>
  <si>
    <t>Free People Ready to Run Cinch-Waist Cotto Dirty Olive L</t>
  </si>
  <si>
    <t>City Studios Striped Smocked-Waist a-Line Dress</t>
  </si>
  <si>
    <t>Alfani Straight-Leg Trousers Malbec 10</t>
  </si>
  <si>
    <t>Alfani Square-Neck Camisole Deep Black L</t>
  </si>
  <si>
    <t>INC International Concepts Seam-Front Tunic Deep Black L</t>
  </si>
  <si>
    <t>Alfani Alfani Cutout-Shoulder Asymmet Rose Petal XS</t>
  </si>
  <si>
    <t>Alfani Organza Bow Blouse Deep Black S</t>
  </si>
  <si>
    <t>Bar III Embroidered Chiffon Dress Deep Black S</t>
  </si>
  <si>
    <t>Alfani 34-Sleeve Tunic Island Oasis M</t>
  </si>
  <si>
    <t>INC International Concepts Zebra-Embellished-Sleeve Sweat Lemon Candy L</t>
  </si>
  <si>
    <t>Alfani Ditsy-Print Mandarin-Collar Bl Purple Bliss Ditsy XL</t>
  </si>
  <si>
    <t>Alfani Notched Collar Open-Front Jack Lightest Lilac XL</t>
  </si>
  <si>
    <t>Free People Night Shimmers Lace Sequined D Black 4</t>
  </si>
  <si>
    <t>Free People Night Shimmers Lace Sequined D Black 6</t>
  </si>
  <si>
    <t>Box #KL187112-Unrestricted</t>
  </si>
  <si>
    <t>Free People Gummy Pull-On Dark Blue Wash F Blue 25</t>
  </si>
  <si>
    <t>KL187113</t>
  </si>
  <si>
    <t>Free People Gummy Pull-On Dark Blue Wash F Blue 26</t>
  </si>
  <si>
    <t>Sanctuary Sparks Fly Abstract-Print Mini Dark Grape 6</t>
  </si>
  <si>
    <t>SAGE/SANCTUARY CLOTHING INC</t>
  </si>
  <si>
    <t>French Connection Desta Lame Floral-Print Top Desta Multi 2</t>
  </si>
  <si>
    <t>FRENCH CONNECTION GROUP INC</t>
  </si>
  <si>
    <t>Hudson Jeans Raw-Hem Skinny Jeans Medium Wash 24</t>
  </si>
  <si>
    <t>Free People Margate Pleated Pull-On Trouse White S</t>
  </si>
  <si>
    <t>Free People Free People Frayed-Hem Skinny Capri Blue 25</t>
  </si>
  <si>
    <t>Free People Gold Rush Mini Dress Wine XS</t>
  </si>
  <si>
    <t>GOLD RUSH MINI</t>
  </si>
  <si>
    <t>Free People Say La Vie Palazzo Pants Pop Star 6</t>
  </si>
  <si>
    <t>Free People Riptide V-Neck Sweater Yellow S</t>
  </si>
  <si>
    <t>Free People Sweet Talker Cardigan Honeydew S</t>
  </si>
  <si>
    <t>Free People Blue Nile Printed Top Pink S</t>
  </si>
  <si>
    <t>Free People Kia Semi-Sheer Henley Top Ivory M</t>
  </si>
  <si>
    <t>Free People French Quarter Mini Dress Black XS</t>
  </si>
  <si>
    <t>Free People Aries Tank Blue XS</t>
  </si>
  <si>
    <t>Free People Free People Crochet-Lace Floun Blue 4</t>
  </si>
  <si>
    <t>Free People Free People Kissing Sunlight H Black Combo S</t>
  </si>
  <si>
    <t>Free People Brookside Dolman-Sleeve Tunic Pineneedle S</t>
  </si>
  <si>
    <t>Free People Like A Diamond Sweater Icy Diamonds S</t>
  </si>
  <si>
    <t>1.STATE Cotton Tie-Dye French Terry Dr Dark Olive XS</t>
  </si>
  <si>
    <t>Kut from the Kloth Natalie Bootcut Jeans Vagos 4S</t>
  </si>
  <si>
    <t>KUT/SWAT FAME</t>
  </si>
  <si>
    <t>Kut from the Kloth Natalie Bootcut Jeans Vagos 6S</t>
  </si>
  <si>
    <t>Kut from the Kloth Natalie Bootcut Jeans Vagos 8S</t>
  </si>
  <si>
    <t>Kut from the Kloth Natalie Bootcut Jeans Vagos 16S</t>
  </si>
  <si>
    <t>Kut from the Kloth Cuffed Straight-Leg Jeans Opulent 16</t>
  </si>
  <si>
    <t>INC International Concepts 34-Sleeve Belted Shirtdress Deep Black 10</t>
  </si>
  <si>
    <t>Alfani Wrap-Style Top Pure Ivory S</t>
  </si>
  <si>
    <t>CUTOUT KNIT</t>
  </si>
  <si>
    <t>Bar III Tie-Sleeve Top Crocus Petal XXL</t>
  </si>
  <si>
    <t>Alfani Textured Shirt Lavender Rain XL</t>
  </si>
  <si>
    <t>Alfani Woven Pull-On Pants Antique White M</t>
  </si>
  <si>
    <t>Celebrity Pink Juniors' Jayden Mid-Rise Colored Wash Skinny Jeans</t>
  </si>
  <si>
    <t>INC International Concepts Curvy Pull-On Shorts Bright White 4</t>
  </si>
  <si>
    <t>Box #KL187113-Unrestricted</t>
  </si>
  <si>
    <t>KL187114</t>
  </si>
  <si>
    <t>Free People Home Town Cardigan Blue Combo XS</t>
  </si>
  <si>
    <t>Eileen Fisher Long T-Shirt Hycth M</t>
  </si>
  <si>
    <t>Free People On My Mind Contrast Bomber Jac Navy XS</t>
  </si>
  <si>
    <t>Free People Valencia Set Black L</t>
  </si>
  <si>
    <t>Free People Bright Lights Oversized Pullov Blue XS</t>
  </si>
  <si>
    <t>Free People Bright Lights Oversized Pullov Blue M</t>
  </si>
  <si>
    <t>Free People Bright Lights Oversized Pullov Blue L</t>
  </si>
  <si>
    <t>Free People Coconut V Sweater Pristine Blue XS</t>
  </si>
  <si>
    <t>Free People Sun Valley Cotton T-Shirt Olive L</t>
  </si>
  <si>
    <t>Vince Camuto Striped Ruffled Top Bright Coral M</t>
  </si>
  <si>
    <t>INC International Concepts Illusion-Sleeve V-Neck Blouse Port M</t>
  </si>
  <si>
    <t>Alfani Straight-Leg Trousers Deep Black 6</t>
  </si>
  <si>
    <t>Alfani Straight-Leg Trousers Deep Black 8</t>
  </si>
  <si>
    <t>Alfani Top, Short-Sleeve High-Low Tee Tuscan Gold S</t>
  </si>
  <si>
    <t>Alfani Satin V-Neck Tank Top Fuchsia S</t>
  </si>
  <si>
    <t>ALFANI PRINTED SLEEVELESS TOP MICRO SPRITZ XL</t>
  </si>
  <si>
    <t>Alfani Square-Neck Tank Top Deep Black M</t>
  </si>
  <si>
    <t>Alfani Ruched-Side Top Alf Fuchsia M</t>
  </si>
  <si>
    <t>Alfani Asymmetrical Sleeveless Tunic Soft White XS</t>
  </si>
  <si>
    <t>Alfani Flutter-Sleeve Surplice Blouse Brilliant White XL</t>
  </si>
  <si>
    <t>Alfani 34-Sleeve Tunic Warm Ginger S</t>
  </si>
  <si>
    <t>Alfani Mock-Neck Long Sleeve Top Deep Black M</t>
  </si>
  <si>
    <t>Alfani 34-Sleeve Top Pure Cinder S</t>
  </si>
  <si>
    <t>INC International Concepts Ruffled Star Sweatshirt Hthr Belle Grey L</t>
  </si>
  <si>
    <t>INC INTERNATIONAL CONCEPTS RIBBED OFF-THE-SHOULDER SWEATE REAL RED M</t>
  </si>
  <si>
    <t>Inc Ribbed Off-the-Shoulder Sweater</t>
  </si>
  <si>
    <t>INC International Concepts Cold-Shoulder Cable-Knit Sweat Deep Black XS</t>
  </si>
  <si>
    <t>INC International Concepts Convertible Sweatpants Heather Grey S</t>
  </si>
  <si>
    <t>Inc Elizabeth Bootcut Jeans</t>
  </si>
  <si>
    <t>Alfani Ribbed Boat-Neck Top Deep Black XL</t>
  </si>
  <si>
    <t>ALFANI MIXED-M A CUFFED-SLEEVE TOP ANTIQUE WHITE M</t>
  </si>
  <si>
    <t>Alfani Solid Wide-Leg Pants Lavender Rain M</t>
  </si>
  <si>
    <t>Alfani Wide-Sleeve Blouse Blue Glass XL</t>
  </si>
  <si>
    <t>Box #KL187114-Unrestricted</t>
  </si>
  <si>
    <t>Free People Denim Mini Skirt Gold 8</t>
  </si>
  <si>
    <t>KL187115</t>
  </si>
  <si>
    <t>MSK Plus Size Cold-Shoulder Wide-L Black 1X</t>
  </si>
  <si>
    <t>Free People Juniors Colorblock Sweater Lime XS</t>
  </si>
  <si>
    <t>Free People Night Out Mesh Maxi Dress Mauve Swoon XS</t>
  </si>
  <si>
    <t>Free People Laurel Canyon Flared Jeans Blue 27R</t>
  </si>
  <si>
    <t>CAIA SN</t>
  </si>
  <si>
    <t>TRUE RELIGION/GURU DENIM INC</t>
  </si>
  <si>
    <t>BLONDIE Turquoise Spaghetti Strap Full-Length Dress 9</t>
  </si>
  <si>
    <t>Free People Nightfall Vegan-Suede Pants Queen Pomegranate 12</t>
  </si>
  <si>
    <t>Free People Swit The Small Stuff Crochet T Femme Combo XL</t>
  </si>
  <si>
    <t>Free People Violet Textured Mini Dress Olive Combo XS</t>
  </si>
  <si>
    <t>MIKADO HI LO DRESS</t>
  </si>
  <si>
    <t>RED PUFF SLEEVE COCKTAIL</t>
  </si>
  <si>
    <t>AIDAN MATTOX/ADRIANNA PAPELL</t>
  </si>
  <si>
    <t>1PC LSLV SHIFT DRJ40</t>
  </si>
  <si>
    <t>Morgan Company Trendy Plus Size Trumpet-Skirt White 16W</t>
  </si>
  <si>
    <t>City Studios Trendy Plus Size Ombre Rainbow Stripe Gown</t>
  </si>
  <si>
    <t>INC International Concepts Studded Tee Deep Black L</t>
  </si>
  <si>
    <t>Alfani 34-Sleeve Top Pure Cinder L</t>
  </si>
  <si>
    <t>I.N.C. International Concepts INC Womens Paisley-Print Ruffled Mini Dress, Black, Medium</t>
  </si>
  <si>
    <t>Alfani Printed Wide-Sleeve Surplice T Purple Bold Leaf L</t>
  </si>
  <si>
    <t>Alfani Drawstring-Waist Collared Shir Blue Glass M</t>
  </si>
  <si>
    <t>Alfani Pleated Trench Coat Lime Peel L</t>
  </si>
  <si>
    <t>Alfani Slit-Hem Skirt Cream Beige M</t>
  </si>
  <si>
    <t>Alfani Faux-Wrap Jumpsuit Deep Black XL</t>
  </si>
  <si>
    <t>NEED TO PICK VBODY</t>
  </si>
  <si>
    <t>R M Richards Petite Sequined Cape Sheath Dr Mocha 10P</t>
  </si>
  <si>
    <t>Monteau Plus Size Smocked-Waist Dress Mauve 3X</t>
  </si>
  <si>
    <t>MONTEAU INC</t>
  </si>
  <si>
    <t>EDV BTTN CRVY TRSR</t>
  </si>
  <si>
    <t>Box #KL187115-Unrestricted</t>
  </si>
  <si>
    <t>Kasper Kasper Vanilla Pull-On Pants Vanilla Ice 4</t>
  </si>
  <si>
    <t>KL187116</t>
  </si>
  <si>
    <t>Free People Juniors Colorblock Sweater Peach M</t>
  </si>
  <si>
    <t>Sam Edelman The Stiletto Distressed Straig Xtina 4</t>
  </si>
  <si>
    <t>Free People Say La Vie Palazzo Pants Pop Star 0</t>
  </si>
  <si>
    <t>Free People Betty Long-Sleeve T-Shirt Sky S</t>
  </si>
  <si>
    <t>Riley Rae Drawstring Shorts Ultra White XS</t>
  </si>
  <si>
    <t>Kut from the Kloth Cuffed Straight-Leg Jeans Opulent 14</t>
  </si>
  <si>
    <t>LACE BELTED GOWN</t>
  </si>
  <si>
    <t>TADASHI SHOJI &amp; ASSOC INC</t>
  </si>
  <si>
    <t>Alfani Printed Sleeveless Top Micro Spritz S</t>
  </si>
  <si>
    <t>Alfani Printed Sleeveless Top Micro Spritz L</t>
  </si>
  <si>
    <t>INC International Concepts Frayed Zip-Front Culottes Bright White 8</t>
  </si>
  <si>
    <t>INC International Concepts Curvy-Fit Pull-On Straight-Leg French Roast 10</t>
  </si>
  <si>
    <t>Bar III Side-Zip Turtleneck Tunic Washed White S</t>
  </si>
  <si>
    <t>KN SLD LS WRAP TOP</t>
  </si>
  <si>
    <t>Alfani Cropped Dot-Print Pants Micro Spritz S</t>
  </si>
  <si>
    <t>INC International Concepts Flutter-Sleeve High-Low Midi D Deep Black XS</t>
  </si>
  <si>
    <t>Alfani Printed Dolman-Sleeve Top Prem Stripe XL</t>
  </si>
  <si>
    <t>Alfani Square-Neck Camisole Deep Black XXL</t>
  </si>
  <si>
    <t>Bar III Pull-On Coated Legging Deep Black XL</t>
  </si>
  <si>
    <t>Alfani Metallic Botanical-Print Top Teal 2XL</t>
  </si>
  <si>
    <t>INC International Concepts Knit Coat Pattern Print L</t>
  </si>
  <si>
    <t>Alfani Batwing-Sleeve Blouse Peanut Brittle S</t>
  </si>
  <si>
    <t>Alfani Open-Front Long Cardigan Deep Black L</t>
  </si>
  <si>
    <t>Alfani Drawstring-Waist Collared Shir Blue Glass S</t>
  </si>
  <si>
    <t>Alfani Seamed-Sleeve Top Violet Tulle XL</t>
  </si>
  <si>
    <t>Alfani Wide-Leg Pull-On Pants Cream Beige 8</t>
  </si>
  <si>
    <t>INC International Concepts Gathered Peasant Top Patina Green M</t>
  </si>
  <si>
    <t>Alfani Floral-Print Blouse Bl New Blossom S</t>
  </si>
  <si>
    <t>Betsy &amp; Adam Sheer-Sleeve Dress</t>
  </si>
  <si>
    <t>Betsy &amp; Adam</t>
  </si>
  <si>
    <t>Sun Moon Balloon-Sleeve Tunic Sweater Pink Spacedye L</t>
  </si>
  <si>
    <t>Box #KL187116-Unrestricted</t>
  </si>
  <si>
    <t>Jessica Simpson Saskia Mesh-Sleeve Top Gardenia L</t>
  </si>
  <si>
    <t>KL187117</t>
  </si>
  <si>
    <t>XSCAPE Plus Size Off-The-Shoulder Gow Royal Blue 18W</t>
  </si>
  <si>
    <t>Sam Edelman The Extreme High-Waist Skinny Alexis 6</t>
  </si>
  <si>
    <t>Vince Camuto Womens Short Sleeve Tie Dye S Evening Sky S</t>
  </si>
  <si>
    <t>VINCE CAMUTO/BERNARD CHAUS-CONSIGN</t>
  </si>
  <si>
    <t>Vince Camuto Verona Garden Ruffled Surplice New Ivory M</t>
  </si>
  <si>
    <t>Vince Camuto Striped Ribbed Cardigan Rich Black S</t>
  </si>
  <si>
    <t>Kut from the Kloth Natalie Bootcut Jeans Vagos 14S</t>
  </si>
  <si>
    <t>Speechless Trendy Plus Size Glitter Gown</t>
  </si>
  <si>
    <t>Speechless Trendy Plus Size Glitter Gown Silver 18W</t>
  </si>
  <si>
    <t>City Studios Trendy Plus Size Cross-Back Sh Red 16W</t>
  </si>
  <si>
    <t>INC International Concepts Puff-Sleeve Top Bright White L</t>
  </si>
  <si>
    <t>Alfani V-Neck Top New City Silver S</t>
  </si>
  <si>
    <t>INC International Concepts Poplin Ruffle Top Bright White L</t>
  </si>
  <si>
    <t>Bar III Ruched Boyfriend Blazer Egret XXL</t>
  </si>
  <si>
    <t>BAR III-EDI/KASPER GROUP LLC</t>
  </si>
  <si>
    <t>Alfani Abstract-Print Shirt Black Astral Vision XL</t>
  </si>
  <si>
    <t>INC International Concepts Seam-Front Tunic Deep Black S</t>
  </si>
  <si>
    <t>Alfani Mockneck Abstract-Print Sweate Wine Fine Feathers XXL</t>
  </si>
  <si>
    <t>INC INTERNATIONAL CONCEPTS COLD-SHOULDER SWEATER DRESS REAL RED M</t>
  </si>
  <si>
    <t>Alfani Velvet-Overlay Asymmetrical To Teal Motif M</t>
  </si>
  <si>
    <t>Alfani Striped Tunic Shirt Classic Cobalt M</t>
  </si>
  <si>
    <t>Bar III Tie-Dyed Twist-Back Sweatshirt Tie Dye Cloud M</t>
  </si>
  <si>
    <t>Alfani Twist-Front Top Island Oasis L</t>
  </si>
  <si>
    <t>INC International Concepts Ruffled Sweatshirt Washed White L</t>
  </si>
  <si>
    <t>Alfani Balloon-Sleeve Top Violet Tulle S</t>
  </si>
  <si>
    <t>Alfani Open-Front Cardigan Blue Glass S</t>
  </si>
  <si>
    <t>Alfani Cinch-Sleeve Dress Deep Black M</t>
  </si>
  <si>
    <t>ALFANI WIDE-LEG PULL-ON PANTS CREAM BEIGE 6</t>
  </si>
  <si>
    <t>Alfani Solid Wide-Leg Pants Lavender Rain S</t>
  </si>
  <si>
    <t>Alfani Smocked-Waist Peplum-Hem Top Blue Glass M</t>
  </si>
  <si>
    <t>Alfani Smocked-Waist Peplum-Hem Top Blue Glass L</t>
  </si>
  <si>
    <t>Alfani Skinny Ankle Pants Blue Glass 16</t>
  </si>
  <si>
    <t>ALFANI GATHERED-CREWNECK CONTRAST-TRI LAVENDER RAIN XL</t>
  </si>
  <si>
    <t>Alfani Mock-Neck Fit Flare Sleevele Blue Glass M</t>
  </si>
  <si>
    <t>BCX Trendy Plus Size Embellished A Black 1X</t>
  </si>
  <si>
    <t>MILLENNIAL PLUS DRESS/BYER CALIFORN</t>
  </si>
  <si>
    <t>BCX Trendy Plus Size Embellished A Black 3X</t>
  </si>
  <si>
    <t>Box #KL187117-Unrestricted</t>
  </si>
  <si>
    <t>LC18309</t>
  </si>
  <si>
    <t>Box #LC18309-Calvin Klein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</si>
</sst>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&quot;$&quot;#,##0.00"/>
    <numFmt numFmtId="166" formatCode="$_(* #,##0.00_);_(* (#,##0.00);_(* &quot;-&quot;_);_(@_)"/>
    <numFmt numFmtId="167" formatCode="m/d/yy"/>
    <numFmt numFmtId="168" formatCode="$_(* #,##0_);_(* (#,##0);_(* &quot;-&quot;_);_(@_)"/>
    <numFmt numFmtId="169" formatCode="m/d/yyyy"/>
    <numFmt numFmtId="170" formatCode="mm/dd/yy"/>
  </numFmts>
  <fonts count="19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b/>
      <sz val="12.0"/>
      <color theme="1"/>
      <name val="Arial"/>
    </font>
    <font>
      <u/>
      <color rgb="FF0000FF"/>
    </font>
    <font>
      <b/>
      <sz val="24.0"/>
      <color theme="1"/>
      <name val="Arial"/>
    </font>
    <font>
      <b/>
      <color theme="1"/>
      <name val="Arial"/>
    </font>
    <font/>
    <font>
      <b/>
      <sz val="11.0"/>
      <color theme="1"/>
      <name val="Arial"/>
    </font>
    <font>
      <b/>
      <sz val="14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Verdana"/>
    </font>
    <font>
      <sz val="11.0"/>
      <color rgb="FF000000"/>
      <name val="Calibri"/>
    </font>
    <font>
      <color rgb="FF000000"/>
      <name val="Arial"/>
    </font>
    <font>
      <b/>
      <color theme="1"/>
      <name val="Calibri"/>
    </font>
    <font>
      <color theme="1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2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8761D"/>
        <bgColor rgb="FF38761D"/>
      </patternFill>
    </fill>
    <fill>
      <patternFill patternType="solid">
        <fgColor rgb="FFC9DAF8"/>
        <bgColor rgb="FFC9DAF8"/>
      </patternFill>
    </fill>
    <fill>
      <patternFill patternType="solid">
        <fgColor rgb="FF0000FF"/>
        <bgColor rgb="FF0000FF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shrinkToFit="0" vertical="bottom" wrapText="1"/>
    </xf>
    <xf borderId="0" fillId="2" fontId="3" numFmtId="164" xfId="0" applyAlignment="1" applyFont="1" applyNumberFormat="1">
      <alignment horizontal="center" shrinkToFit="0" vertical="bottom" wrapText="1"/>
    </xf>
    <xf borderId="1" fillId="2" fontId="3" numFmtId="165" xfId="0" applyAlignment="1" applyBorder="1" applyFont="1" applyNumberFormat="1">
      <alignment horizontal="center" shrinkToFit="0" vertical="bottom" wrapText="1"/>
    </xf>
    <xf borderId="1" fillId="2" fontId="3" numFmtId="165" xfId="0" applyAlignment="1" applyBorder="1" applyFont="1" applyNumberFormat="1">
      <alignment horizontal="left" shrinkToFit="0" vertical="bottom" wrapText="0"/>
    </xf>
    <xf borderId="0" fillId="2" fontId="3" numFmtId="165" xfId="0" applyAlignment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3" numFmtId="164" xfId="0" applyAlignment="1" applyBorder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4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3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49" xfId="0" applyFont="1" applyNumberFormat="1"/>
    <xf borderId="2" fillId="3" fontId="3" numFmtId="164" xfId="0" applyAlignment="1" applyBorder="1" applyFont="1" applyNumberFormat="1">
      <alignment horizontal="center" readingOrder="0" shrinkToFit="0" vertical="bottom" wrapText="1"/>
    </xf>
    <xf borderId="3" fillId="0" fontId="7" numFmtId="0" xfId="0" applyBorder="1" applyFont="1"/>
    <xf borderId="2" fillId="2" fontId="3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1" fillId="4" fontId="8" numFmtId="0" xfId="0" applyAlignment="1" applyBorder="1" applyFill="1" applyFont="1">
      <alignment horizontal="center" vertical="bottom"/>
    </xf>
    <xf borderId="1" fillId="4" fontId="8" numFmtId="165" xfId="0" applyAlignment="1" applyBorder="1" applyFont="1" applyNumberFormat="1">
      <alignment horizontal="center" vertical="bottom"/>
    </xf>
    <xf borderId="0" fillId="2" fontId="1" numFmtId="0" xfId="0" applyFont="1"/>
    <xf borderId="1" fillId="2" fontId="3" numFmtId="49" xfId="0" applyAlignment="1" applyBorder="1" applyFont="1" applyNumberFormat="1">
      <alignment horizontal="center" readingOrder="0" shrinkToFit="0" vertical="bottom" wrapText="1"/>
    </xf>
    <xf borderId="1" fillId="2" fontId="3" numFmtId="165" xfId="0" applyAlignment="1" applyBorder="1" applyFont="1" applyNumberFormat="1">
      <alignment horizontal="center" readingOrder="0" shrinkToFit="0" vertical="bottom" wrapText="1"/>
    </xf>
    <xf borderId="1" fillId="0" fontId="1" numFmtId="0" xfId="0" applyAlignment="1" applyBorder="1" applyFont="1">
      <alignment horizontal="center" vertical="bottom"/>
    </xf>
    <xf borderId="1" fillId="0" fontId="1" numFmtId="10" xfId="0" applyAlignment="1" applyBorder="1" applyFont="1" applyNumberFormat="1">
      <alignment horizontal="center" vertical="bottom"/>
    </xf>
    <xf borderId="1" fillId="5" fontId="1" numFmtId="10" xfId="0" applyAlignment="1" applyBorder="1" applyFill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0" fillId="2" fontId="1" numFmtId="0" xfId="0" applyAlignment="1" applyFont="1">
      <alignment readingOrder="0"/>
    </xf>
    <xf borderId="0" fillId="0" fontId="9" numFmtId="0" xfId="0" applyAlignment="1" applyFont="1">
      <alignment readingOrder="0"/>
    </xf>
    <xf borderId="1" fillId="0" fontId="1" numFmtId="0" xfId="0" applyBorder="1" applyFon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6" fontId="1" numFmtId="0" xfId="0" applyFill="1" applyFont="1"/>
    <xf borderId="0" fillId="6" fontId="1" numFmtId="49" xfId="0" applyFont="1" applyNumberFormat="1"/>
    <xf borderId="0" fillId="6" fontId="1" numFmtId="165" xfId="0" applyFont="1" applyNumberFormat="1"/>
    <xf borderId="0" fillId="6" fontId="1" numFmtId="164" xfId="0" applyFont="1" applyNumberFormat="1"/>
    <xf borderId="1" fillId="2" fontId="1" numFmtId="0" xfId="0" applyBorder="1" applyFont="1"/>
    <xf borderId="1" fillId="2" fontId="1" numFmtId="165" xfId="0" applyBorder="1" applyFont="1" applyNumberFormat="1"/>
    <xf borderId="1" fillId="2" fontId="1" numFmtId="49" xfId="0" applyAlignment="1" applyBorder="1" applyFont="1" applyNumberFormat="1">
      <alignment readingOrder="0"/>
    </xf>
    <xf borderId="1" fillId="0" fontId="1" numFmtId="164" xfId="0" applyBorder="1" applyFont="1" applyNumberFormat="1"/>
    <xf borderId="1" fillId="2" fontId="1" numFmtId="165" xfId="0" applyBorder="1" applyFont="1" applyNumberFormat="1"/>
    <xf borderId="0" fillId="0" fontId="1" numFmtId="165" xfId="0" applyFont="1" applyNumberFormat="1"/>
    <xf borderId="1" fillId="7" fontId="1" numFmtId="10" xfId="0" applyAlignment="1" applyBorder="1" applyFill="1" applyFont="1" applyNumberFormat="1">
      <alignment horizontal="center" vertical="bottom"/>
    </xf>
    <xf borderId="1" fillId="8" fontId="1" numFmtId="10" xfId="0" applyAlignment="1" applyBorder="1" applyFill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/>
    </xf>
    <xf borderId="0" fillId="0" fontId="6" numFmtId="0" xfId="0" applyAlignment="1" applyFont="1">
      <alignment horizontal="center" readingOrder="0"/>
    </xf>
    <xf borderId="1" fillId="0" fontId="1" numFmtId="10" xfId="0" applyBorder="1" applyFont="1" applyNumberFormat="1"/>
    <xf borderId="0" fillId="2" fontId="1" numFmtId="49" xfId="0" applyFont="1" applyNumberFormat="1"/>
    <xf borderId="0" fillId="2" fontId="1" numFmtId="165" xfId="0" applyFont="1" applyNumberFormat="1"/>
    <xf borderId="0" fillId="0" fontId="1" numFmtId="164" xfId="0" applyFont="1" applyNumberFormat="1"/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wrapText="1"/>
    </xf>
    <xf borderId="6" fillId="9" fontId="1" numFmtId="0" xfId="0" applyAlignment="1" applyBorder="1" applyFill="1" applyFont="1">
      <alignment horizontal="center" readingOrder="0"/>
    </xf>
    <xf borderId="6" fillId="9" fontId="1" numFmtId="0" xfId="0" applyAlignment="1" applyBorder="1" applyFont="1">
      <alignment horizontal="center" readingOrder="0" shrinkToFit="0" wrapText="1"/>
    </xf>
    <xf borderId="6" fillId="9" fontId="1" numFmtId="165" xfId="0" applyAlignment="1" applyBorder="1" applyFont="1" applyNumberFormat="1">
      <alignment horizontal="center" readingOrder="0"/>
    </xf>
    <xf borderId="8" fillId="0" fontId="7" numFmtId="0" xfId="0" applyBorder="1" applyFont="1"/>
    <xf borderId="9" fillId="0" fontId="1" numFmtId="0" xfId="0" applyAlignment="1" applyBorder="1" applyFont="1">
      <alignment horizontal="center"/>
    </xf>
    <xf borderId="10" fillId="0" fontId="7" numFmtId="0" xfId="0" applyBorder="1" applyFont="1"/>
    <xf borderId="9" fillId="0" fontId="7" numFmtId="0" xfId="0" applyBorder="1" applyFont="1"/>
    <xf borderId="0" fillId="0" fontId="1" numFmtId="0" xfId="0" applyAlignment="1" applyFont="1">
      <alignment horizontal="center" readingOrder="0"/>
    </xf>
    <xf borderId="0" fillId="0" fontId="1" numFmtId="166" xfId="0" applyFont="1" applyNumberFormat="1"/>
    <xf borderId="0" fillId="0" fontId="1" numFmtId="167" xfId="0" applyFont="1" applyNumberFormat="1"/>
    <xf borderId="0" fillId="0" fontId="1" numFmtId="0" xfId="0" applyFont="1"/>
    <xf borderId="1" fillId="9" fontId="1" numFmtId="167" xfId="0" applyBorder="1" applyFont="1" applyNumberFormat="1"/>
    <xf borderId="1" fillId="9" fontId="1" numFmtId="0" xfId="0" applyBorder="1" applyFont="1"/>
    <xf borderId="1" fillId="9" fontId="1" numFmtId="165" xfId="0" applyBorder="1" applyFont="1" applyNumberFormat="1"/>
    <xf borderId="1" fillId="2" fontId="1" numFmtId="11" xfId="0" applyAlignment="1" applyBorder="1" applyFont="1" applyNumberFormat="1">
      <alignment horizontal="center" readingOrder="0" vertical="bottom"/>
    </xf>
    <xf borderId="1" fillId="2" fontId="10" numFmtId="0" xfId="0" applyAlignment="1" applyBorder="1" applyFont="1">
      <alignment horizontal="center" vertical="bottom"/>
    </xf>
    <xf borderId="1" fillId="2" fontId="10" numFmtId="165" xfId="0" applyAlignment="1" applyBorder="1" applyFont="1" applyNumberFormat="1">
      <alignment horizontal="center" shrinkToFit="0" vertical="bottom" wrapText="1"/>
    </xf>
    <xf borderId="1" fillId="2" fontId="11" numFmtId="3" xfId="0" applyAlignment="1" applyBorder="1" applyFont="1" applyNumberFormat="1">
      <alignment horizontal="center" readingOrder="0" vertical="bottom"/>
    </xf>
    <xf borderId="1" fillId="2" fontId="11" numFmtId="4" xfId="0" applyAlignment="1" applyBorder="1" applyFont="1" applyNumberFormat="1">
      <alignment horizontal="center" vertical="bottom"/>
    </xf>
    <xf borderId="1" fillId="10" fontId="11" numFmtId="3" xfId="0" applyAlignment="1" applyBorder="1" applyFill="1" applyFont="1" applyNumberFormat="1">
      <alignment horizontal="center" readingOrder="0" vertical="bottom"/>
    </xf>
    <xf borderId="1" fillId="10" fontId="11" numFmtId="3" xfId="0" applyAlignment="1" applyBorder="1" applyFont="1" applyNumberFormat="1">
      <alignment horizontal="center" vertical="bottom"/>
    </xf>
    <xf borderId="1" fillId="10" fontId="10" numFmtId="165" xfId="0" applyAlignment="1" applyBorder="1" applyFont="1" applyNumberFormat="1">
      <alignment horizontal="center" shrinkToFit="0" vertical="bottom" wrapText="1"/>
    </xf>
    <xf borderId="1" fillId="0" fontId="1" numFmtId="0" xfId="0" applyAlignment="1" applyBorder="1" applyFont="1">
      <alignment horizontal="center" readingOrder="0" vertical="bottom"/>
    </xf>
    <xf borderId="1" fillId="6" fontId="12" numFmtId="0" xfId="0" applyAlignment="1" applyBorder="1" applyFont="1">
      <alignment horizontal="center" readingOrder="0" vertical="bottom"/>
    </xf>
    <xf borderId="1" fillId="6" fontId="13" numFmtId="165" xfId="0" applyAlignment="1" applyBorder="1" applyFont="1" applyNumberFormat="1">
      <alignment horizontal="center" shrinkToFit="0" vertical="bottom" wrapText="1"/>
    </xf>
    <xf borderId="1" fillId="6" fontId="13" numFmtId="3" xfId="0" applyAlignment="1" applyBorder="1" applyFont="1" applyNumberFormat="1">
      <alignment horizontal="center" shrinkToFit="0" vertical="bottom" wrapText="1"/>
    </xf>
    <xf borderId="1" fillId="6" fontId="13" numFmtId="165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readingOrder="0" vertical="bottom"/>
    </xf>
    <xf borderId="0" fillId="3" fontId="14" numFmtId="0" xfId="0" applyAlignment="1" applyFont="1">
      <alignment horizontal="center" shrinkToFit="0" wrapText="0"/>
    </xf>
    <xf borderId="0" fillId="0" fontId="1" numFmtId="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1" fillId="2" fontId="11" numFmtId="3" xfId="0" applyAlignment="1" applyBorder="1" applyFont="1" applyNumberFormat="1">
      <alignment horizontal="center" vertical="bottom"/>
    </xf>
    <xf borderId="1" fillId="2" fontId="10" numFmtId="165" xfId="0" applyAlignment="1" applyBorder="1" applyFont="1" applyNumberFormat="1">
      <alignment horizontal="center" vertical="bottom"/>
    </xf>
    <xf borderId="0" fillId="0" fontId="1" numFmtId="168" xfId="0" applyAlignment="1" applyFont="1" applyNumberFormat="1">
      <alignment readingOrder="0"/>
    </xf>
    <xf borderId="1" fillId="3" fontId="1" numFmtId="0" xfId="0" applyAlignment="1" applyBorder="1" applyFont="1">
      <alignment horizontal="center" readingOrder="0" vertical="bottom"/>
    </xf>
    <xf borderId="0" fillId="11" fontId="1" numFmtId="0" xfId="0" applyAlignment="1" applyFill="1" applyFont="1">
      <alignment horizontal="center" vertical="bottom"/>
    </xf>
    <xf borderId="1" fillId="3" fontId="1" numFmtId="165" xfId="0" applyAlignment="1" applyBorder="1" applyFont="1" applyNumberFormat="1">
      <alignment horizontal="center" readingOrder="0" vertical="bottom"/>
    </xf>
    <xf borderId="0" fillId="3" fontId="1" numFmtId="0" xfId="0" applyFont="1"/>
    <xf borderId="1" fillId="0" fontId="1" numFmtId="4" xfId="0" applyAlignment="1" applyBorder="1" applyFont="1" applyNumberFormat="1">
      <alignment horizontal="center"/>
    </xf>
    <xf borderId="1" fillId="11" fontId="1" numFmtId="0" xfId="0" applyAlignment="1" applyBorder="1" applyFont="1">
      <alignment horizontal="center" vertical="bottom"/>
    </xf>
    <xf borderId="1" fillId="3" fontId="1" numFmtId="165" xfId="0" applyAlignment="1" applyBorder="1" applyFont="1" applyNumberFormat="1">
      <alignment horizontal="center" readingOrder="0" vertical="bottom"/>
    </xf>
    <xf borderId="0" fillId="12" fontId="6" numFmtId="0" xfId="0" applyAlignment="1" applyFill="1" applyFont="1">
      <alignment horizontal="center" vertical="bottom"/>
    </xf>
    <xf borderId="1" fillId="12" fontId="15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1" fillId="0" fontId="1" numFmtId="169" xfId="0" applyAlignment="1" applyBorder="1" applyFont="1" applyNumberFormat="1">
      <alignment vertical="bottom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vertical="bottom"/>
    </xf>
    <xf borderId="1" fillId="11" fontId="1" numFmtId="0" xfId="0" applyAlignment="1" applyBorder="1" applyFont="1">
      <alignment horizontal="center" readingOrder="0" vertical="bottom"/>
    </xf>
    <xf borderId="1" fillId="10" fontId="6" numFmtId="0" xfId="0" applyAlignment="1" applyBorder="1" applyFont="1">
      <alignment horizontal="center" readingOrder="0" vertical="bottom"/>
    </xf>
    <xf borderId="1" fillId="10" fontId="6" numFmtId="0" xfId="0" applyAlignment="1" applyBorder="1" applyFont="1">
      <alignment horizontal="center" vertical="bottom"/>
    </xf>
    <xf borderId="1" fillId="10" fontId="6" numFmtId="169" xfId="0" applyAlignment="1" applyBorder="1" applyFont="1" applyNumberFormat="1">
      <alignment horizontal="center" readingOrder="0" vertical="bottom"/>
    </xf>
    <xf borderId="0" fillId="0" fontId="1" numFmtId="167" xfId="0" applyAlignment="1" applyFont="1" applyNumberFormat="1">
      <alignment readingOrder="0"/>
    </xf>
    <xf borderId="1" fillId="13" fontId="1" numFmtId="0" xfId="0" applyAlignment="1" applyBorder="1" applyFill="1" applyFont="1">
      <alignment horizontal="center" readingOrder="0" vertical="bottom"/>
    </xf>
    <xf borderId="1" fillId="2" fontId="1" numFmtId="165" xfId="0" applyAlignment="1" applyBorder="1" applyFont="1" applyNumberFormat="1">
      <alignment horizontal="center" readingOrder="0" vertical="bottom"/>
    </xf>
    <xf borderId="1" fillId="11" fontId="1" numFmtId="49" xfId="0" applyAlignment="1" applyBorder="1" applyFont="1" applyNumberFormat="1">
      <alignment horizontal="center" vertical="bottom"/>
    </xf>
    <xf borderId="1" fillId="11" fontId="1" numFmtId="165" xfId="0" applyAlignment="1" applyBorder="1" applyFont="1" applyNumberFormat="1">
      <alignment horizontal="center" vertical="bottom"/>
    </xf>
    <xf borderId="1" fillId="11" fontId="1" numFmtId="165" xfId="0" applyAlignment="1" applyBorder="1" applyFont="1" applyNumberFormat="1">
      <alignment horizontal="center" vertical="bottom"/>
    </xf>
    <xf borderId="1" fillId="0" fontId="1" numFmtId="0" xfId="0" applyBorder="1" applyFont="1"/>
    <xf borderId="1" fillId="12" fontId="6" numFmtId="49" xfId="0" applyAlignment="1" applyBorder="1" applyFont="1" applyNumberFormat="1">
      <alignment horizontal="center" readingOrder="0" vertical="bottom"/>
    </xf>
    <xf borderId="1" fillId="12" fontId="6" numFmtId="0" xfId="0" applyAlignment="1" applyBorder="1" applyFont="1">
      <alignment horizontal="center" readingOrder="0" vertical="bottom"/>
    </xf>
    <xf borderId="1" fillId="10" fontId="6" numFmtId="49" xfId="0" applyAlignment="1" applyBorder="1" applyFont="1" applyNumberFormat="1">
      <alignment horizontal="center" vertical="bottom"/>
    </xf>
    <xf borderId="1" fillId="10" fontId="6" numFmtId="165" xfId="0" applyAlignment="1" applyBorder="1" applyFont="1" applyNumberFormat="1">
      <alignment horizontal="center" vertical="bottom"/>
    </xf>
    <xf borderId="1" fillId="10" fontId="1" numFmtId="0" xfId="0" applyAlignment="1" applyBorder="1" applyFont="1">
      <alignment vertical="bottom"/>
    </xf>
    <xf borderId="1" fillId="10" fontId="1" numFmtId="165" xfId="0" applyAlignment="1" applyBorder="1" applyFont="1" applyNumberFormat="1">
      <alignment vertical="bottom"/>
    </xf>
    <xf borderId="1" fillId="10" fontId="6" numFmtId="169" xfId="0" applyAlignment="1" applyBorder="1" applyFont="1" applyNumberFormat="1">
      <alignment horizontal="center" vertical="bottom"/>
    </xf>
    <xf borderId="1" fillId="13" fontId="1" numFmtId="49" xfId="0" applyAlignment="1" applyBorder="1" applyFont="1" applyNumberFormat="1">
      <alignment horizontal="center" readingOrder="0" vertical="bottom"/>
    </xf>
    <xf borderId="1" fillId="10" fontId="1" numFmtId="165" xfId="0" applyAlignment="1" applyBorder="1" applyFont="1" applyNumberFormat="1">
      <alignment vertical="bottom"/>
    </xf>
    <xf borderId="0" fillId="2" fontId="1" numFmtId="0" xfId="0" applyAlignment="1" applyFont="1">
      <alignment horizontal="center" vertical="bottom"/>
    </xf>
    <xf borderId="1" fillId="11" fontId="16" numFmtId="0" xfId="0" applyAlignment="1" applyBorder="1" applyFont="1">
      <alignment horizontal="center" vertical="bottom"/>
    </xf>
    <xf borderId="1" fillId="11" fontId="1" numFmtId="0" xfId="0" applyAlignment="1" applyBorder="1" applyFont="1">
      <alignment horizontal="center" shrinkToFit="0" vertical="bottom" wrapText="0"/>
    </xf>
    <xf borderId="1" fillId="0" fontId="1" numFmtId="4" xfId="0" applyAlignment="1" applyBorder="1" applyFont="1" applyNumberFormat="1">
      <alignment vertical="bottom"/>
    </xf>
    <xf borderId="1" fillId="2" fontId="1" numFmtId="0" xfId="0" applyAlignment="1" applyBorder="1" applyFont="1">
      <alignment horizontal="center" vertical="bottom"/>
    </xf>
    <xf borderId="1" fillId="12" fontId="6" numFmtId="0" xfId="0" applyAlignment="1" applyBorder="1" applyFont="1">
      <alignment horizontal="center" vertical="bottom"/>
    </xf>
    <xf borderId="1" fillId="12" fontId="15" numFmtId="0" xfId="0" applyAlignment="1" applyBorder="1" applyFont="1">
      <alignment horizontal="center" readingOrder="0" shrinkToFit="0" vertical="bottom" wrapText="0"/>
    </xf>
    <xf borderId="1" fillId="13" fontId="1" numFmtId="0" xfId="0" applyAlignment="1" applyBorder="1" applyFont="1">
      <alignment horizontal="center" vertical="bottom"/>
    </xf>
    <xf borderId="1" fillId="10" fontId="6" numFmtId="165" xfId="0" applyAlignment="1" applyBorder="1" applyFont="1" applyNumberFormat="1">
      <alignment horizontal="center" vertical="bottom"/>
    </xf>
    <xf borderId="1" fillId="0" fontId="1" numFmtId="4" xfId="0" applyAlignment="1" applyBorder="1" applyFont="1" applyNumberFormat="1">
      <alignment horizontal="center" vertical="bottom"/>
    </xf>
    <xf borderId="1" fillId="10" fontId="6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vertical="bottom"/>
    </xf>
    <xf borderId="1" fillId="2" fontId="1" numFmtId="165" xfId="0" applyAlignment="1" applyBorder="1" applyFont="1" applyNumberFormat="1">
      <alignment vertical="bottom"/>
    </xf>
    <xf borderId="1" fillId="11" fontId="1" numFmtId="169" xfId="0" applyAlignment="1" applyBorder="1" applyFont="1" applyNumberFormat="1">
      <alignment horizontal="center" vertical="bottom"/>
    </xf>
    <xf borderId="1" fillId="14" fontId="6" numFmtId="0" xfId="0" applyAlignment="1" applyBorder="1" applyFill="1" applyFont="1">
      <alignment horizontal="center" vertical="bottom"/>
    </xf>
    <xf borderId="1" fillId="14" fontId="15" numFmtId="0" xfId="0" applyAlignment="1" applyBorder="1" applyFont="1">
      <alignment horizontal="center" readingOrder="0" vertical="bottom"/>
    </xf>
    <xf borderId="1" fillId="11" fontId="1" numFmtId="0" xfId="0" applyAlignment="1" applyBorder="1" applyFont="1">
      <alignment vertical="bottom"/>
    </xf>
    <xf borderId="1" fillId="11" fontId="1" numFmtId="165" xfId="0" applyAlignment="1" applyBorder="1" applyFont="1" applyNumberFormat="1">
      <alignment vertical="bottom"/>
    </xf>
    <xf borderId="1" fillId="11" fontId="1" numFmtId="169" xfId="0" applyAlignment="1" applyBorder="1" applyFont="1" applyNumberFormat="1">
      <alignment vertical="bottom"/>
    </xf>
    <xf borderId="1" fillId="15" fontId="1" numFmtId="0" xfId="0" applyAlignment="1" applyBorder="1" applyFill="1" applyFont="1">
      <alignment horizontal="center" vertical="bottom"/>
    </xf>
    <xf borderId="1" fillId="15" fontId="1" numFmtId="0" xfId="0" applyAlignment="1" applyBorder="1" applyFont="1">
      <alignment vertical="bottom"/>
    </xf>
    <xf borderId="1" fillId="3" fontId="16" numFmtId="0" xfId="0" applyAlignment="1" applyBorder="1" applyFont="1">
      <alignment horizontal="center" readingOrder="0" vertical="bottom"/>
    </xf>
    <xf borderId="1" fillId="14" fontId="6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readingOrder="0" vertical="bottom"/>
    </xf>
    <xf borderId="1" fillId="3" fontId="6" numFmtId="169" xfId="0" applyAlignment="1" applyBorder="1" applyFont="1" applyNumberFormat="1">
      <alignment horizontal="center" readingOrder="0" vertical="bottom"/>
    </xf>
    <xf borderId="1" fillId="3" fontId="1" numFmtId="0" xfId="0" applyAlignment="1" applyBorder="1" applyFont="1">
      <alignment readingOrder="0"/>
    </xf>
    <xf borderId="1" fillId="3" fontId="1" numFmtId="4" xfId="0" applyAlignment="1" applyBorder="1" applyFont="1" applyNumberFormat="1">
      <alignment horizontal="center"/>
    </xf>
    <xf borderId="1" fillId="3" fontId="1" numFmtId="165" xfId="0" applyAlignment="1" applyBorder="1" applyFont="1" applyNumberFormat="1">
      <alignment horizontal="center"/>
    </xf>
    <xf borderId="0" fillId="10" fontId="1" numFmtId="0" xfId="0" applyFont="1"/>
    <xf borderId="1" fillId="10" fontId="1" numFmtId="0" xfId="0" applyAlignment="1" applyBorder="1" applyFont="1">
      <alignment readingOrder="0"/>
    </xf>
    <xf borderId="1" fillId="10" fontId="1" numFmtId="4" xfId="0" applyAlignment="1" applyBorder="1" applyFont="1" applyNumberFormat="1">
      <alignment horizontal="center"/>
    </xf>
    <xf borderId="1" fillId="10" fontId="1" numFmtId="165" xfId="0" applyAlignment="1" applyBorder="1" applyFont="1" applyNumberFormat="1">
      <alignment horizontal="center"/>
    </xf>
    <xf borderId="1" fillId="15" fontId="1" numFmtId="0" xfId="0" applyAlignment="1" applyBorder="1" applyFont="1">
      <alignment horizontal="center" readingOrder="0" vertical="bottom"/>
    </xf>
    <xf borderId="0" fillId="11" fontId="16" numFmtId="0" xfId="0" applyAlignment="1" applyFont="1">
      <alignment horizontal="center" vertical="bottom"/>
    </xf>
    <xf borderId="1" fillId="16" fontId="1" numFmtId="0" xfId="0" applyAlignment="1" applyBorder="1" applyFill="1" applyFont="1">
      <alignment horizontal="center" readingOrder="0" vertical="bottom"/>
    </xf>
    <xf borderId="1" fillId="12" fontId="6" numFmtId="49" xfId="0" applyAlignment="1" applyBorder="1" applyFont="1" applyNumberFormat="1">
      <alignment horizontal="center" vertical="bottom"/>
    </xf>
    <xf borderId="0" fillId="10" fontId="6" numFmtId="0" xfId="0" applyAlignment="1" applyFont="1">
      <alignment horizontal="center" vertical="bottom"/>
    </xf>
    <xf borderId="0" fillId="0" fontId="1" numFmtId="170" xfId="0" applyAlignment="1" applyFont="1" applyNumberFormat="1">
      <alignment readingOrder="0"/>
    </xf>
    <xf borderId="1" fillId="10" fontId="1" numFmtId="0" xfId="0" applyAlignment="1" applyBorder="1" applyFont="1">
      <alignment horizontal="center" readingOrder="0" vertical="bottom"/>
    </xf>
    <xf borderId="1" fillId="10" fontId="1" numFmtId="165" xfId="0" applyAlignment="1" applyBorder="1" applyFont="1" applyNumberFormat="1">
      <alignment horizontal="center" readingOrder="0" vertical="bottom"/>
    </xf>
    <xf borderId="1" fillId="11" fontId="17" numFmtId="0" xfId="0" applyAlignment="1" applyBorder="1" applyFont="1">
      <alignment horizontal="center" vertical="bottom"/>
    </xf>
    <xf borderId="1" fillId="11" fontId="17" numFmtId="0" xfId="0" applyAlignment="1" applyBorder="1" applyFont="1">
      <alignment horizontal="center" vertical="top"/>
    </xf>
    <xf borderId="1" fillId="12" fontId="18" numFmtId="0" xfId="0" applyAlignment="1" applyBorder="1" applyFont="1">
      <alignment horizontal="center" readingOrder="0" shrinkToFit="0" vertical="bottom" wrapText="0"/>
    </xf>
    <xf borderId="1" fillId="16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1" fillId="11" fontId="1" numFmtId="165" xfId="0" applyAlignment="1" applyBorder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1" fillId="17" fontId="1" numFmtId="0" xfId="0" applyAlignment="1" applyBorder="1" applyFill="1" applyFont="1">
      <alignment horizontal="center" readingOrder="0" vertical="bottom"/>
    </xf>
    <xf borderId="1" fillId="18" fontId="1" numFmtId="0" xfId="0" applyAlignment="1" applyBorder="1" applyFill="1" applyFont="1">
      <alignment horizontal="center" readingOrder="0" vertical="bottom"/>
    </xf>
    <xf borderId="1" fillId="0" fontId="1" numFmtId="49" xfId="0" applyAlignment="1" applyBorder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15" fontId="1" numFmtId="49" xfId="0" applyAlignment="1" applyBorder="1" applyFont="1" applyNumberFormat="1">
      <alignment horizontal="center" vertical="bottom"/>
    </xf>
    <xf borderId="0" fillId="0" fontId="14" numFmtId="0" xfId="0" applyAlignment="1" applyFont="1">
      <alignment vertical="bottom"/>
    </xf>
    <xf borderId="1" fillId="15" fontId="1" numFmtId="49" xfId="0" applyAlignment="1" applyBorder="1" applyFont="1" applyNumberFormat="1">
      <alignment vertical="bottom"/>
    </xf>
    <xf borderId="1" fillId="11" fontId="16" numFmtId="0" xfId="0" applyAlignment="1" applyBorder="1" applyFont="1">
      <alignment horizontal="center" vertical="top"/>
    </xf>
    <xf borderId="1" fillId="3" fontId="1" numFmtId="0" xfId="0" applyBorder="1" applyFont="1"/>
    <xf borderId="1" fillId="19" fontId="16" numFmtId="0" xfId="0" applyAlignment="1" applyBorder="1" applyFill="1" applyFont="1">
      <alignment horizontal="center" readingOrder="0" vertical="bottom"/>
    </xf>
    <xf borderId="1" fillId="19" fontId="1" numFmtId="0" xfId="0" applyAlignment="1" applyBorder="1" applyFont="1">
      <alignment horizontal="center" readingOrder="0" vertical="bottom"/>
    </xf>
    <xf borderId="1" fillId="19" fontId="1" numFmtId="165" xfId="0" applyAlignment="1" applyBorder="1" applyFont="1" applyNumberFormat="1">
      <alignment horizontal="center" readingOrder="0" vertical="bottom"/>
    </xf>
    <xf borderId="1" fillId="19" fontId="1" numFmtId="169" xfId="0" applyAlignment="1" applyBorder="1" applyFont="1" applyNumberFormat="1">
      <alignment horizontal="center" readingOrder="0" vertical="bottom"/>
    </xf>
    <xf borderId="1" fillId="11" fontId="16" numFmtId="0" xfId="0" applyAlignment="1" applyBorder="1" applyFont="1">
      <alignment horizontal="center" readingOrder="0" vertical="bottom"/>
    </xf>
    <xf borderId="1" fillId="13" fontId="1" numFmtId="49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shrinkToFit="0" vertical="bottom" wrapText="1"/>
    </xf>
    <xf borderId="1" fillId="2" fontId="1" numFmtId="165" xfId="0" applyAlignment="1" applyBorder="1" applyFont="1" applyNumberFormat="1">
      <alignment vertical="bottom"/>
    </xf>
    <xf borderId="0" fillId="3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14" numFmtId="0" xfId="0" applyAlignment="1" applyFont="1">
      <alignment shrinkToFit="0" vertical="bottom" wrapText="1"/>
    </xf>
    <xf borderId="1" fillId="10" fontId="1" numFmtId="49" xfId="0" applyAlignment="1" applyBorder="1" applyFont="1" applyNumberFormat="1">
      <alignment vertical="bottom"/>
    </xf>
    <xf borderId="1" fillId="2" fontId="1" numFmtId="14" xfId="0" applyAlignment="1" applyBorder="1" applyFont="1" applyNumberFormat="1">
      <alignment horizontal="center" readingOrder="0" vertical="bottom"/>
    </xf>
    <xf borderId="1" fillId="2" fontId="1" numFmtId="165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shrinkToFit="0" vertical="bottom" wrapText="1"/>
    </xf>
    <xf borderId="0" fillId="0" fontId="1" numFmtId="170" xfId="0" applyAlignment="1" applyFont="1" applyNumberFormat="1">
      <alignment vertical="bottom"/>
    </xf>
    <xf borderId="1" fillId="15" fontId="1" numFmtId="170" xfId="0" applyAlignment="1" applyBorder="1" applyFont="1" applyNumberFormat="1">
      <alignment horizontal="center" vertical="bottom"/>
    </xf>
    <xf borderId="0" fillId="0" fontId="1" numFmtId="170" xfId="0" applyFont="1" applyNumberFormat="1"/>
    <xf borderId="0" fillId="3" fontId="1" numFmtId="170" xfId="0" applyFont="1" applyNumberFormat="1"/>
    <xf borderId="1" fillId="10" fontId="1" numFmtId="170" xfId="0" applyAlignment="1" applyBorder="1" applyFont="1" applyNumberFormat="1">
      <alignment horizontal="center" vertical="bottom"/>
    </xf>
    <xf borderId="0" fillId="12" fontId="6" numFmtId="0" xfId="0" applyAlignment="1" applyFont="1">
      <alignment horizontal="center" readingOrder="0" vertical="bottom"/>
    </xf>
    <xf borderId="1" fillId="12" fontId="15" numFmtId="0" xfId="0" applyAlignment="1" applyBorder="1" applyFont="1">
      <alignment horizontal="center" vertical="bottom"/>
    </xf>
    <xf borderId="1" fillId="20" fontId="1" numFmtId="0" xfId="0" applyAlignment="1" applyBorder="1" applyFill="1" applyFont="1">
      <alignment horizontal="center" readingOrder="0" vertical="bottom"/>
    </xf>
    <xf borderId="1" fillId="2" fontId="1" numFmtId="170" xfId="0" applyAlignment="1" applyBorder="1" applyFont="1" applyNumberFormat="1">
      <alignment horizontal="center" readingOrder="0" vertical="bottom"/>
    </xf>
    <xf borderId="4" fillId="11" fontId="1" numFmtId="0" xfId="0" applyAlignment="1" applyBorder="1" applyFont="1">
      <alignment horizontal="center" vertical="bottom"/>
    </xf>
    <xf borderId="4" fillId="11" fontId="1" numFmtId="165" xfId="0" applyAlignment="1" applyBorder="1" applyFont="1" applyNumberFormat="1">
      <alignment horizontal="center" vertical="bottom"/>
    </xf>
    <xf borderId="4" fillId="11" fontId="1" numFmtId="0" xfId="0" applyAlignment="1" applyBorder="1" applyFont="1">
      <alignment horizontal="center" readingOrder="0" vertical="bottom"/>
    </xf>
    <xf borderId="4" fillId="11" fontId="1" numFmtId="165" xfId="0" applyAlignment="1" applyBorder="1" applyFont="1" applyNumberFormat="1">
      <alignment horizontal="center" vertical="bottom"/>
    </xf>
    <xf borderId="11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" xfId="0" applyAlignment="1" applyBorder="1" applyFont="1" applyNumberFormat="1">
      <alignment vertical="bottom"/>
    </xf>
    <xf borderId="4" fillId="0" fontId="1" numFmtId="165" xfId="0" applyAlignment="1" applyBorder="1" applyFont="1" applyNumberFormat="1">
      <alignment vertical="bottom"/>
    </xf>
    <xf borderId="1" fillId="21" fontId="1" numFmtId="49" xfId="0" applyAlignment="1" applyBorder="1" applyFill="1" applyFont="1" applyNumberFormat="1">
      <alignment horizontal="center" vertical="bottom"/>
    </xf>
    <xf borderId="1" fillId="10" fontId="1" numFmtId="170" xfId="0" applyAlignment="1" applyBorder="1" applyFont="1" applyNumberFormat="1">
      <alignment vertical="bottom"/>
    </xf>
    <xf borderId="1" fillId="2" fontId="1" numFmtId="170" xfId="0" applyAlignment="1" applyBorder="1" applyFont="1" applyNumberFormat="1">
      <alignment vertical="bottom"/>
    </xf>
    <xf borderId="1" fillId="16" fontId="1" numFmtId="0" xfId="0" applyAlignment="1" applyBorder="1" applyFont="1">
      <alignment vertical="bottom"/>
    </xf>
    <xf borderId="1" fillId="14" fontId="15" numFmtId="0" xfId="0" applyAlignment="1" applyBorder="1" applyFont="1">
      <alignment horizontal="center" vertical="bottom"/>
    </xf>
    <xf borderId="1" fillId="18" fontId="1" numFmtId="0" xfId="0" applyAlignment="1" applyBorder="1" applyFont="1">
      <alignment horizontal="center" vertical="bottom"/>
    </xf>
    <xf borderId="0" fillId="10" fontId="1" numFmtId="170" xfId="0" applyAlignment="1" applyFont="1" applyNumberFormat="1">
      <alignment readingOrder="0"/>
    </xf>
    <xf borderId="0" fillId="10" fontId="1" numFmtId="0" xfId="0" applyAlignment="1" applyFont="1">
      <alignment readingOrder="0"/>
    </xf>
    <xf borderId="1" fillId="22" fontId="6" numFmtId="0" xfId="0" applyAlignment="1" applyBorder="1" applyFill="1" applyFont="1">
      <alignment horizontal="center" readingOrder="0" vertical="bottom"/>
    </xf>
    <xf borderId="1" fillId="22" fontId="6" numFmtId="0" xfId="0" applyAlignment="1" applyBorder="1" applyFont="1">
      <alignment horizontal="center" vertical="bottom"/>
    </xf>
    <xf borderId="1" fillId="22" fontId="6" numFmtId="169" xfId="0" applyAlignment="1" applyBorder="1" applyFont="1" applyNumberForma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1" fillId="23" fontId="1" numFmtId="49" xfId="0" applyAlignment="1" applyBorder="1" applyFill="1" applyFont="1" applyNumberFormat="1">
      <alignment horizontal="center" vertical="bottom"/>
    </xf>
    <xf borderId="1" fillId="12" fontId="15" numFmtId="0" xfId="0" applyAlignment="1" applyBorder="1" applyFont="1">
      <alignment horizontal="center" readingOrder="0" vertical="top"/>
    </xf>
    <xf borderId="1" fillId="2" fontId="6" numFmtId="0" xfId="0" applyAlignment="1" applyBorder="1" applyFont="1">
      <alignment horizontal="center" vertical="bottom"/>
    </xf>
    <xf borderId="1" fillId="2" fontId="6" numFmtId="169" xfId="0" applyAlignment="1" applyBorder="1" applyFont="1" applyNumberFormat="1">
      <alignment horizontal="center" readingOrder="0" vertical="bottom"/>
    </xf>
    <xf borderId="1" fillId="12" fontId="6" numFmtId="0" xfId="0" applyAlignment="1" applyBorder="1" applyFont="1">
      <alignment horizontal="center" readingOrder="0" shrinkToFit="0" vertical="bottom" wrapText="0"/>
    </xf>
    <xf borderId="1" fillId="17" fontId="1" numFmtId="0" xfId="0" applyAlignment="1" applyBorder="1" applyFont="1">
      <alignment horizontal="center" vertical="bottom"/>
    </xf>
    <xf borderId="1" fillId="24" fontId="6" numFmtId="0" xfId="0" applyAlignment="1" applyBorder="1" applyFill="1" applyFont="1">
      <alignment horizontal="center" readingOrder="0" vertical="bottom"/>
    </xf>
    <xf borderId="1" fillId="22" fontId="1" numFmtId="170" xfId="0" applyAlignment="1" applyBorder="1" applyFont="1" applyNumberFormat="1">
      <alignment horizontal="center" readingOrder="0" vertical="bottom"/>
    </xf>
    <xf borderId="1" fillId="22" fontId="1" numFmtId="0" xfId="0" applyAlignment="1" applyBorder="1" applyFont="1">
      <alignment horizontal="center" readingOrder="0" vertical="bottom"/>
    </xf>
    <xf borderId="1" fillId="22" fontId="1" numFmtId="165" xfId="0" applyAlignment="1" applyBorder="1" applyFont="1" applyNumberForma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6" numFmtId="0" xfId="0" applyAlignment="1" applyFont="1">
      <alignment horizontal="center" readingOrder="0" vertical="bottom"/>
    </xf>
    <xf borderId="0" fillId="3" fontId="1" numFmtId="165" xfId="0" applyAlignment="1" applyFont="1" applyNumberFormat="1">
      <alignment horizontal="center" readingOrder="0" vertical="bottom"/>
    </xf>
    <xf borderId="1" fillId="3" fontId="16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WzpY8UdA29lqdf4cQi3vWJ-O1xcehTUH07oTx03rlYw" TargetMode="External"/><Relationship Id="rId2" Type="http://schemas.openxmlformats.org/officeDocument/2006/relationships/hyperlink" Target="https://docs.google.com/spreadsheets/d/1j7EhuAHppyCyviBwaMP-uBFg0djgFGHq2C590E8xsf0" TargetMode="External"/><Relationship Id="rId3" Type="http://schemas.openxmlformats.org/officeDocument/2006/relationships/hyperlink" Target="https://docs.google.com/spreadsheets/d/1XOFwOIfuFBK-yjvS-JGkyDYo0LDizKunUi-otDTQdrI" TargetMode="External"/><Relationship Id="rId4" Type="http://schemas.openxmlformats.org/officeDocument/2006/relationships/hyperlink" Target="https://docs.google.com/spreadsheets/d/1qKfW-Ns4YPAF5RjLePDSbEWMdHNF4XKCh5d7H6MoRAI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M4wqJfxlLHrv31jHCdPAZ18XJKr_Ct0bTNMJJBlTDw4/edit?usp=sharing" TargetMode="External"/><Relationship Id="rId84" Type="http://schemas.openxmlformats.org/officeDocument/2006/relationships/hyperlink" Target="https://docs.google.com/spreadsheets/d/1l8sEIm9mOyZ839PULEaGRa9GgvlQ_JAETbh75GEeozg/edit?usp=sharing" TargetMode="External"/><Relationship Id="rId83" Type="http://schemas.openxmlformats.org/officeDocument/2006/relationships/hyperlink" Target="https://docs.google.com/spreadsheets/d/1xW-q8rGGLNwy2XGNXhAerqonIh7t5AwD1pzZqh121xs/edit?usp=sharing" TargetMode="External"/><Relationship Id="rId42" Type="http://schemas.openxmlformats.org/officeDocument/2006/relationships/hyperlink" Target="https://docs.google.com/spreadsheets/d/17DmOS3rC2l63gdTi9jUJSc_TK8zprN4-vyYxNUHFS1s/edit?usp=sharing" TargetMode="External"/><Relationship Id="rId41" Type="http://schemas.openxmlformats.org/officeDocument/2006/relationships/hyperlink" Target="https://docs.google.com/spreadsheets/d/1RzhUXOVl3A874_uRA9VQemaQa6patZvzwU2_aHw9u6Q/edit?usp=sharing" TargetMode="External"/><Relationship Id="rId85" Type="http://schemas.openxmlformats.org/officeDocument/2006/relationships/drawing" Target="../drawings/drawing2.xml"/><Relationship Id="rId44" Type="http://schemas.openxmlformats.org/officeDocument/2006/relationships/hyperlink" Target="https://docs.google.com/spreadsheets/d/16p-EZhOHtm0RF_or_RM1h9S_CA27TjPtOiWHnDuAIJk/edit?usp=sharing" TargetMode="External"/><Relationship Id="rId43" Type="http://schemas.openxmlformats.org/officeDocument/2006/relationships/hyperlink" Target="https://docs.google.com/spreadsheets/d/1xaQfig_r-14125Yb6-w9o9Bv62iblelN1CvMQKnxrKg/edit?usp=sharing" TargetMode="External"/><Relationship Id="rId46" Type="http://schemas.openxmlformats.org/officeDocument/2006/relationships/hyperlink" Target="https://docs.google.com/spreadsheets/d/1AD573Ts-NFxn9nUvllGujYsYvwUV9ME_IYQL-8oF4NU/edit?usp=sharing" TargetMode="External"/><Relationship Id="rId45" Type="http://schemas.openxmlformats.org/officeDocument/2006/relationships/hyperlink" Target="https://docs.google.com/spreadsheets/d/1qLLwk2Pjjyi3q3rY4PKVVzkAvrWdYfGwCntU6Z68MJo/edit?usp=sharing" TargetMode="External"/><Relationship Id="rId80" Type="http://schemas.openxmlformats.org/officeDocument/2006/relationships/hyperlink" Target="https://docs.google.com/spreadsheets/d/1mAyxZ7qX9OB7Ny4UcQuUq7jifVlzDMbzT3d6_TSXPNA/edit?usp=sharing" TargetMode="External"/><Relationship Id="rId82" Type="http://schemas.openxmlformats.org/officeDocument/2006/relationships/hyperlink" Target="https://docs.google.com/spreadsheets/d/1s39M_gsefx4YxRt7ltyV2pqzDaKcICsZ8cjOo5Xr7CQ/edit?usp=sharing" TargetMode="External"/><Relationship Id="rId81" Type="http://schemas.openxmlformats.org/officeDocument/2006/relationships/hyperlink" Target="https://docs.google.com/spreadsheets/d/1IqfiDZP1LyyaQBYoQ66L-3nqCVcvWfS8rGrAZa2B0oE/edit?usp=sharing" TargetMode="External"/><Relationship Id="rId1" Type="http://schemas.openxmlformats.org/officeDocument/2006/relationships/hyperlink" Target="https://docs.google.com/spreadsheets/d/1dpKMnQSwIyqeumLMdEUcciZIX_T6V--C_WFErCgL9Es/edit?usp=sharing" TargetMode="External"/><Relationship Id="rId2" Type="http://schemas.openxmlformats.org/officeDocument/2006/relationships/hyperlink" Target="https://docs.google.com/spreadsheets/d/14-j4ZslTZV2G6EgIDk3lcUSAiIpGDXc0h8kMwiKjRUw/edit?usp=sharing" TargetMode="External"/><Relationship Id="rId3" Type="http://schemas.openxmlformats.org/officeDocument/2006/relationships/hyperlink" Target="https://docs.google.com/spreadsheets/d/1Pvsk3PDSwn2NjMr9gbeuLsoZqrKCvOBLnDoQnAzXGgk/edit" TargetMode="External"/><Relationship Id="rId4" Type="http://schemas.openxmlformats.org/officeDocument/2006/relationships/hyperlink" Target="https://docs.google.com/spreadsheets/d/1uGg86HiZI6iFX5jjxhw1bxcq8XZyPmGGLkOY0sVHxnc/edit?usp=sharing" TargetMode="External"/><Relationship Id="rId9" Type="http://schemas.openxmlformats.org/officeDocument/2006/relationships/hyperlink" Target="https://docs.google.com/spreadsheets/d/1xhq5ZKbNXtax5gtODNh4Pg6yH1hib1wNrp44LgpmIm0/edit?usp=sharing" TargetMode="External"/><Relationship Id="rId48" Type="http://schemas.openxmlformats.org/officeDocument/2006/relationships/hyperlink" Target="https://docs.google.com/spreadsheets/d/1ReTK-bCNZviDbHCrAZarIllpYO_QMmo23hp8dhxeyLY/edit?usp=sharing" TargetMode="External"/><Relationship Id="rId47" Type="http://schemas.openxmlformats.org/officeDocument/2006/relationships/hyperlink" Target="https://docs.google.com/spreadsheets/d/1RClZ6RZUytCz7iG8NXC-xGvyBRiXrSO7APTlNSJqD9w/edit?usp=sharing" TargetMode="External"/><Relationship Id="rId49" Type="http://schemas.openxmlformats.org/officeDocument/2006/relationships/hyperlink" Target="https://docs.google.com/spreadsheets/d/15aI6arJBx_z9N_3r4X-n2l4sOF8DnS-OwKBPPNeyNLA/edit?usp=sharing" TargetMode="External"/><Relationship Id="rId5" Type="http://schemas.openxmlformats.org/officeDocument/2006/relationships/hyperlink" Target="https://docs.google.com/spreadsheets/d/1X1ChUE9_fseWvnwJew3ZUhph4G6en_YnXztsPTyJR2E/edit?usp=sharing" TargetMode="External"/><Relationship Id="rId6" Type="http://schemas.openxmlformats.org/officeDocument/2006/relationships/hyperlink" Target="https://docs.google.com/spreadsheets/d/18_93huP48tschLiSaeshNH02EQDTGrf8hoW0ZfgBCqA/edit?usp=sharing" TargetMode="External"/><Relationship Id="rId7" Type="http://schemas.openxmlformats.org/officeDocument/2006/relationships/hyperlink" Target="https://docs.google.com/spreadsheets/d/1EfDntbd5xhxtLu5WLqBV3Az5ZYqWBOxRfwJsx3gfn3k/edit?usp=sharing" TargetMode="External"/><Relationship Id="rId8" Type="http://schemas.openxmlformats.org/officeDocument/2006/relationships/hyperlink" Target="https://docs.google.com/spreadsheets/d/1Zv2MMpy2apO4pvOeUT4nZX7JyonqmPbeG1o1oB9JhuQ/edit?usp=sharing" TargetMode="External"/><Relationship Id="rId73" Type="http://schemas.openxmlformats.org/officeDocument/2006/relationships/hyperlink" Target="https://docs.google.com/spreadsheets/d/1dfFDhhsjOpQTvlKCgb2P3y1qvkLrvOQ2QPPSiQZklbw/edit?usp=sharing" TargetMode="External"/><Relationship Id="rId72" Type="http://schemas.openxmlformats.org/officeDocument/2006/relationships/hyperlink" Target="https://docs.google.com/spreadsheets/d/1sbLzTemB4mhQqznlAsvVU2JruDQYVovE-6OtntU9fSQ/edit?usp=sharing" TargetMode="External"/><Relationship Id="rId31" Type="http://schemas.openxmlformats.org/officeDocument/2006/relationships/hyperlink" Target="https://docs.google.com/spreadsheets/d/1im3fmAnrAtZvIkSnJn6eEKc54iVq1Tq_XoUapw1U578/edit?usp=sharing" TargetMode="External"/><Relationship Id="rId75" Type="http://schemas.openxmlformats.org/officeDocument/2006/relationships/hyperlink" Target="https://docs.google.com/spreadsheets/d/1DNfIhs87jGqgqRZREEqSVT2Hy5_0FK_HlxleiWky3WU/edit?usp=sharing" TargetMode="External"/><Relationship Id="rId30" Type="http://schemas.openxmlformats.org/officeDocument/2006/relationships/hyperlink" Target="https://docs.google.com/spreadsheets/d/1kW9tweHuAXoRxVg7OktBNKvhvgoJ8dNNh-NGR7rXI10/edit?usp=sharing" TargetMode="External"/><Relationship Id="rId74" Type="http://schemas.openxmlformats.org/officeDocument/2006/relationships/hyperlink" Target="https://docs.google.com/spreadsheets/d/17t7_i8V7IETKvOMqq_7H4OWiGNApAkGYvxGXxo4boGc/edit?usp=sharing" TargetMode="External"/><Relationship Id="rId33" Type="http://schemas.openxmlformats.org/officeDocument/2006/relationships/hyperlink" Target="https://docs.google.com/spreadsheets/d/1PqI3GsctdYEz93fij-GXIbCcRAN-FhKQESVNvkQk9kA/edit?usp=sharing" TargetMode="External"/><Relationship Id="rId77" Type="http://schemas.openxmlformats.org/officeDocument/2006/relationships/hyperlink" Target="https://docs.google.com/spreadsheets/d/11WBaEow48q066QYi-hMqdmCSZXZP2lA54RTZQJMv6sk/edit?usp=sharing" TargetMode="External"/><Relationship Id="rId32" Type="http://schemas.openxmlformats.org/officeDocument/2006/relationships/hyperlink" Target="https://docs.google.com/spreadsheets/d/1mifpnQZ8dHv0RH6hvdd8tl83QKFnUYLC5H9741mtpuQ/edit?usp=sharing" TargetMode="External"/><Relationship Id="rId76" Type="http://schemas.openxmlformats.org/officeDocument/2006/relationships/hyperlink" Target="https://docs.google.com/spreadsheets/d/1mLDeA15aeHsM0phVgOVPcr_kfiPvo44eaIe8FNnIkGQ/edit?usp=sharing" TargetMode="External"/><Relationship Id="rId35" Type="http://schemas.openxmlformats.org/officeDocument/2006/relationships/hyperlink" Target="https://docs.google.com/spreadsheets/d/1L8Va0_ue9ePiBadociDTI853gzuKjS1T7aiJ14wKe_w/edit?usp=sharing" TargetMode="External"/><Relationship Id="rId79" Type="http://schemas.openxmlformats.org/officeDocument/2006/relationships/hyperlink" Target="https://docs.google.com/spreadsheets/d/1McCbgrYqzfLoNCbya-aRcnanH-O4RbCY3F8lQlxhhK4/edit?usp=sharing" TargetMode="External"/><Relationship Id="rId34" Type="http://schemas.openxmlformats.org/officeDocument/2006/relationships/hyperlink" Target="https://docs.google.com/spreadsheets/d/1UxhTHpMEQ7bIbBd5dFeEv9NRRFnLSN0Ima5ibv0RtMY/edit?usp=sharing" TargetMode="External"/><Relationship Id="rId78" Type="http://schemas.openxmlformats.org/officeDocument/2006/relationships/hyperlink" Target="https://docs.google.com/spreadsheets/d/1CL58-9FYMemWYjFxfKiWXtJXjsHccqbHVGNzOrBj21k/edit?usp=sharing" TargetMode="External"/><Relationship Id="rId71" Type="http://schemas.openxmlformats.org/officeDocument/2006/relationships/hyperlink" Target="https://docs.google.com/spreadsheets/d/1KAtmJubJyS1QTRriee96if42T9rAl4HeyZN7FBCw1f8/edit?usp=sharing" TargetMode="External"/><Relationship Id="rId70" Type="http://schemas.openxmlformats.org/officeDocument/2006/relationships/hyperlink" Target="https://docs.google.com/spreadsheets/d/1gg5Plou2neD7OgYvy6EJS6crEggQUAv0H_BIr9rp5uk/edit?usp=sharing" TargetMode="External"/><Relationship Id="rId37" Type="http://schemas.openxmlformats.org/officeDocument/2006/relationships/hyperlink" Target="https://docs.google.com/spreadsheets/d/1ctCeB9FQtkxsiZ5ysmGpJmrlfmZQA1j2M6J33bGtRZ4/edit?usp=sharing" TargetMode="External"/><Relationship Id="rId36" Type="http://schemas.openxmlformats.org/officeDocument/2006/relationships/hyperlink" Target="https://docs.google.com/spreadsheets/d/1h-nN3TWnl-RjeesBAN2B1Z69o41b7a8u2UYrg3XLDyg/edit?usp=sharing" TargetMode="External"/><Relationship Id="rId39" Type="http://schemas.openxmlformats.org/officeDocument/2006/relationships/hyperlink" Target="https://docs.google.com/spreadsheets/d/1iOeKNWrF18EOMnwaV3cgg3DYzr_m8uFc5_86D4XAQJo/edit?usp=sharing" TargetMode="External"/><Relationship Id="rId38" Type="http://schemas.openxmlformats.org/officeDocument/2006/relationships/hyperlink" Target="https://docs.google.com/spreadsheets/d/1dVuVzd_kW06zwZ4yFIdE9uOg55l6lMSLYSHB46jgJVE/edit?usp=sharing" TargetMode="External"/><Relationship Id="rId62" Type="http://schemas.openxmlformats.org/officeDocument/2006/relationships/hyperlink" Target="https://docs.google.com/spreadsheets/d/1mH2ZNv4NiPd-a0TofKj73vZHyArw-SC_etZyKFYwWCg/edit?usp=sharing" TargetMode="External"/><Relationship Id="rId61" Type="http://schemas.openxmlformats.org/officeDocument/2006/relationships/hyperlink" Target="https://docs.google.com/spreadsheets/d/1L6j5FTYR7TtquC8frJ2zN7MySsuSSGfN_cZEW9cQ0ms/edit?usp=sharing" TargetMode="External"/><Relationship Id="rId20" Type="http://schemas.openxmlformats.org/officeDocument/2006/relationships/hyperlink" Target="https://docs.google.com/spreadsheets/d/19dx-mqPu7bA3qcoLpbHtGt0je31Bwn6Kl4lk_YsNZTE/edit?usp=sharing" TargetMode="External"/><Relationship Id="rId64" Type="http://schemas.openxmlformats.org/officeDocument/2006/relationships/hyperlink" Target="https://docs.google.com/spreadsheets/d/18UVqJ6dvhKB73BOl5jqzN4iYAuSH9ncrm88gYahSErU/edit?usp=sharing" TargetMode="External"/><Relationship Id="rId63" Type="http://schemas.openxmlformats.org/officeDocument/2006/relationships/hyperlink" Target="https://docs.google.com/spreadsheets/d/1UOL7ZOEEILGVZHp26SNmS_Rf4yyFka69x28INupx_i8/edit?usp=sharing" TargetMode="External"/><Relationship Id="rId22" Type="http://schemas.openxmlformats.org/officeDocument/2006/relationships/hyperlink" Target="https://docs.google.com/spreadsheets/d/1WIKyInGa9adHwazqJrnLdJPufqg8OP3V1uHfM-xGoX8/edit?usp=sharing" TargetMode="External"/><Relationship Id="rId66" Type="http://schemas.openxmlformats.org/officeDocument/2006/relationships/hyperlink" Target="https://docs.google.com/spreadsheets/d/1fyzxIpP7UIjR0-1QFqqUVnKnt8eachwYNfCY-Y3GMM4/edit?usp=sharing" TargetMode="External"/><Relationship Id="rId21" Type="http://schemas.openxmlformats.org/officeDocument/2006/relationships/hyperlink" Target="https://docs.google.com/spreadsheets/d/1BvDUO0J8iYX1bcddCL1Z9XoD3FnisjA1mX55qwm3Q-w/edit?usp=sharing" TargetMode="External"/><Relationship Id="rId65" Type="http://schemas.openxmlformats.org/officeDocument/2006/relationships/hyperlink" Target="https://docs.google.com/spreadsheets/d/1Y6IDQbt4zDZFxRu7tzg9oHZwCI1Vl_yfptUKlt9m1w8/edit?usp=sharing" TargetMode="External"/><Relationship Id="rId24" Type="http://schemas.openxmlformats.org/officeDocument/2006/relationships/hyperlink" Target="https://docs.google.com/spreadsheets/d/1SrxTK5LjByzIE-HHbJxo7kwFReUyTOGetLU2WszYDhM/edit?usp=sharing" TargetMode="External"/><Relationship Id="rId68" Type="http://schemas.openxmlformats.org/officeDocument/2006/relationships/hyperlink" Target="https://docs.google.com/spreadsheets/d/1xIFtDueisqoRy88aqDdN1WAWH6Gb_mGzw_RURJ4IOX8/edit?usp=sharing" TargetMode="External"/><Relationship Id="rId23" Type="http://schemas.openxmlformats.org/officeDocument/2006/relationships/hyperlink" Target="https://docs.google.com/spreadsheets/d/18CW2MtbrhsDCoN321GfG2jWgqWp04dkMw-vSy-L0tuY/edit?usp=sharing" TargetMode="External"/><Relationship Id="rId67" Type="http://schemas.openxmlformats.org/officeDocument/2006/relationships/hyperlink" Target="https://docs.google.com/spreadsheets/d/1vn8sarGOUqppNreIOmxqqbDNiDFcunXiviYBdJxndfQ/edit?usp=sharing" TargetMode="External"/><Relationship Id="rId60" Type="http://schemas.openxmlformats.org/officeDocument/2006/relationships/hyperlink" Target="https://docs.google.com/spreadsheets/d/1Ugdwr92miNDFew0xKos_QKdnb8glTzcqejlScok-Nro/edit?usp=sharing" TargetMode="External"/><Relationship Id="rId26" Type="http://schemas.openxmlformats.org/officeDocument/2006/relationships/hyperlink" Target="https://docs.google.com/spreadsheets/d/1ArLth0gN9jWG8yu1b_Gabm7Lto0GmQ72hKx6eCTeItE/edit?usp=sharing" TargetMode="External"/><Relationship Id="rId25" Type="http://schemas.openxmlformats.org/officeDocument/2006/relationships/hyperlink" Target="https://docs.google.com/spreadsheets/d/1k2LYrnH4z4J6hdU2ExPJw2o_JtMthdtdowTotW5vYIw/edit?usp=sharing" TargetMode="External"/><Relationship Id="rId69" Type="http://schemas.openxmlformats.org/officeDocument/2006/relationships/hyperlink" Target="https://docs.google.com/spreadsheets/d/13CtuHOoJr-4-MivP3tziWT2MGl_bFrEeHrcZzORwf5U/edit?usp=sharing" TargetMode="External"/><Relationship Id="rId28" Type="http://schemas.openxmlformats.org/officeDocument/2006/relationships/hyperlink" Target="https://docs.google.com/spreadsheets/d/1V2midyQsChuNi2xgNCxdofGHHur2DftJhu-aXgELTXY/edit?usp=sharing" TargetMode="External"/><Relationship Id="rId27" Type="http://schemas.openxmlformats.org/officeDocument/2006/relationships/hyperlink" Target="https://docs.google.com/spreadsheets/d/15uIZusZLVqwYKDbws-3EnMYqbf0JGKPwZDQ8Dln1KXk/edit?usp=sharing" TargetMode="External"/><Relationship Id="rId29" Type="http://schemas.openxmlformats.org/officeDocument/2006/relationships/hyperlink" Target="https://docs.google.com/spreadsheets/d/1AI5ov_UGiZ7ip-kbxPiH1Wl3oB7tEI34aWEZN_pnzvE/edit?usp=sharing" TargetMode="External"/><Relationship Id="rId51" Type="http://schemas.openxmlformats.org/officeDocument/2006/relationships/hyperlink" Target="https://docs.google.com/spreadsheets/d/1IRyHvIwk0qu2Zw8IDsP9QecYhlLxWBG0QAQG2CsDLVo/edit?usp=sharing" TargetMode="External"/><Relationship Id="rId50" Type="http://schemas.openxmlformats.org/officeDocument/2006/relationships/hyperlink" Target="https://docs.google.com/spreadsheets/d/1DXeME4q8gqhdzmupaoLtRE4NM2U1w6xqqV6BSNQwGwk/edit?usp=sharing" TargetMode="External"/><Relationship Id="rId53" Type="http://schemas.openxmlformats.org/officeDocument/2006/relationships/hyperlink" Target="https://docs.google.com/spreadsheets/d/1tMKTAGeb845muIvyBF4b4xKBGzr5_W53obMMFubcGNg/edit?usp=sharing" TargetMode="External"/><Relationship Id="rId52" Type="http://schemas.openxmlformats.org/officeDocument/2006/relationships/hyperlink" Target="https://docs.google.com/spreadsheets/d/1mST-x5vbngnYevjTf3oI-CCWxqaxZg2dV2rdMD7YJtI/edit?usp=sharing" TargetMode="External"/><Relationship Id="rId11" Type="http://schemas.openxmlformats.org/officeDocument/2006/relationships/hyperlink" Target="https://docs.google.com/spreadsheets/d/1vAjzCKVD71U3gk4ns5WCBTigXE6lHnrQYgW-s9OnwYE/edit?usp=sharing" TargetMode="External"/><Relationship Id="rId55" Type="http://schemas.openxmlformats.org/officeDocument/2006/relationships/hyperlink" Target="https://docs.google.com/spreadsheets/d/1bu-_6PL-bcZXyHT8CKl-YzenHncNXWKREpySvyLFLKY/edit?usp=sharing" TargetMode="External"/><Relationship Id="rId10" Type="http://schemas.openxmlformats.org/officeDocument/2006/relationships/hyperlink" Target="https://docs.google.com/spreadsheets/d/1hTlD5aZHe0Q08aOQhU7S4CanS8aJ34Rt2igksi5wpKI/edit?usp=sharing" TargetMode="External"/><Relationship Id="rId54" Type="http://schemas.openxmlformats.org/officeDocument/2006/relationships/hyperlink" Target="https://docs.google.com/spreadsheets/d/1mXWsl3P4mPzIwhckzeaRXvKljZWO1UbONA0JMWTy_no/edit?usp=sharing" TargetMode="External"/><Relationship Id="rId13" Type="http://schemas.openxmlformats.org/officeDocument/2006/relationships/hyperlink" Target="https://docs.google.com/spreadsheets/d/1_L7f67C6DxC0vwQetwNjzLb-X026X7aatgxjMP-5CSc/edit?usp=sharing" TargetMode="External"/><Relationship Id="rId57" Type="http://schemas.openxmlformats.org/officeDocument/2006/relationships/hyperlink" Target="https://docs.google.com/spreadsheets/d/1H4zvCnE1zZRZCah8ARuueCX19n0o4qifNROOOmORCi4/edit?usp=sharing" TargetMode="External"/><Relationship Id="rId12" Type="http://schemas.openxmlformats.org/officeDocument/2006/relationships/hyperlink" Target="https://docs.google.com/spreadsheets/d/1AiZYHxMVFLDNpmyK5HOrxc7jIaq6sWuCYD8CHYUyqM0/edit?usp=sharing" TargetMode="External"/><Relationship Id="rId56" Type="http://schemas.openxmlformats.org/officeDocument/2006/relationships/hyperlink" Target="https://docs.google.com/spreadsheets/d/1BPaflpCOkVcS1KhZP8NVKXSPktWDgk9ipZUowYn2uFE/edit?usp=sharing" TargetMode="External"/><Relationship Id="rId15" Type="http://schemas.openxmlformats.org/officeDocument/2006/relationships/hyperlink" Target="https://docs.google.com/spreadsheets/d/1mgAIBRoNf5xF3WaGCWOb8YlJesww8M5KquuWE4-xJJY/edit?usp=sharing" TargetMode="External"/><Relationship Id="rId59" Type="http://schemas.openxmlformats.org/officeDocument/2006/relationships/hyperlink" Target="https://docs.google.com/spreadsheets/d/1Xc_9zrEWdV-n1lQZjoaKxPpZLFGgpU946UA0WtOIsb4/edit?usp=sharing" TargetMode="External"/><Relationship Id="rId14" Type="http://schemas.openxmlformats.org/officeDocument/2006/relationships/hyperlink" Target="https://docs.google.com/spreadsheets/d/1HGMre3F0moZxm85QUFeEYB46a-xgrPH1NnHDwi0Kh6g/edit?usp=sharing" TargetMode="External"/><Relationship Id="rId58" Type="http://schemas.openxmlformats.org/officeDocument/2006/relationships/hyperlink" Target="https://docs.google.com/spreadsheets/d/1FkGJgQKKiUtssQIAEADzyRqLXncSY9mINvXkesMyg-w/edit?usp=sharing" TargetMode="External"/><Relationship Id="rId17" Type="http://schemas.openxmlformats.org/officeDocument/2006/relationships/hyperlink" Target="https://docs.google.com/spreadsheets/d/13XeF1Hcxy4YPx-4qwmXGCILDYmJYq0Tbv6vKB9EmuqU/edit?usp=sharing" TargetMode="External"/><Relationship Id="rId16" Type="http://schemas.openxmlformats.org/officeDocument/2006/relationships/hyperlink" Target="https://docs.google.com/spreadsheets/d/100M6UeXiyjNKWbvfk5fKYrtE9_5gvbkOr5J4JOBFHbA/edit?usp=sharing" TargetMode="External"/><Relationship Id="rId19" Type="http://schemas.openxmlformats.org/officeDocument/2006/relationships/hyperlink" Target="https://docs.google.com/spreadsheets/d/1kSgmKMvamEcHMFQ83dcJarKLmUw4MAS3tL5P69EECOs/edit?usp=sharing" TargetMode="External"/><Relationship Id="rId18" Type="http://schemas.openxmlformats.org/officeDocument/2006/relationships/hyperlink" Target="https://docs.google.com/spreadsheets/d/1LttnVNEiY_gdMeyoNQp9CAl-gOQnX_r5EwRfMdG9TEc/edit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14"/>
    <col customWidth="1" min="4" max="4" width="32.71"/>
    <col customWidth="1" min="8" max="8" width="20.71"/>
  </cols>
  <sheetData>
    <row r="1">
      <c r="A1" s="3"/>
      <c r="B1" s="4"/>
      <c r="C1" s="3"/>
      <c r="D1" s="3"/>
      <c r="E1" s="3"/>
      <c r="F1" s="5">
        <f t="shared" ref="F1:H1" si="1">SUM(F3:F1001)</f>
        <v>513275.7285</v>
      </c>
      <c r="G1" s="5">
        <f t="shared" si="1"/>
        <v>700951.3</v>
      </c>
      <c r="H1" s="6">
        <f t="shared" si="1"/>
        <v>0</v>
      </c>
      <c r="I1" s="7">
        <f>H1-G1</f>
        <v>-700951.3</v>
      </c>
    </row>
    <row r="2">
      <c r="A2" s="8" t="s">
        <v>8</v>
      </c>
      <c r="B2" s="9" t="s">
        <v>9</v>
      </c>
      <c r="C2" s="8" t="s">
        <v>10</v>
      </c>
      <c r="D2" s="8" t="s">
        <v>11</v>
      </c>
      <c r="E2" s="8" t="s">
        <v>12</v>
      </c>
      <c r="F2" s="5" t="s">
        <v>13</v>
      </c>
      <c r="G2" s="5" t="s">
        <v>14</v>
      </c>
      <c r="H2" s="6" t="s">
        <v>15</v>
      </c>
      <c r="I2" s="10" t="s">
        <v>16</v>
      </c>
    </row>
    <row r="3">
      <c r="A3" s="11" t="str">
        <f>IFERROR(__xludf.DUMMYFUNCTION("QUERY(IMPORTRANGE(""1qs7tTuvclV_XBEXfYgOCbLE3UDhrA7yew67DuNtUGEk"",""MASTER MANIFEST!A2:I""),""Select Col1, Col2, Col3, Col4, Col5, Col6, Col7, Col8 where Col1 Contains 'Working' Order by Col3"")"),"Working")</f>
        <v>Working</v>
      </c>
      <c r="B3" s="12">
        <f>IFERROR(__xludf.DUMMYFUNCTION("""COMPUTED_VALUE"""),44550.0)</f>
        <v>44550</v>
      </c>
      <c r="C3" s="11"/>
      <c r="D3" s="11" t="str">
        <f>IFERROR(__xludf.DUMMYFUNCTION("""COMPUTED_VALUE"""),"RLX Store LLC")</f>
        <v>RLX Store LLC</v>
      </c>
      <c r="E3" s="13">
        <f>IFERROR(__xludf.DUMMYFUNCTION("""COMPUTED_VALUE"""),0.0)</f>
        <v>0</v>
      </c>
      <c r="F3" s="13">
        <f>IFERROR(__xludf.DUMMYFUNCTION("""COMPUTED_VALUE"""),20000.0)</f>
        <v>20000</v>
      </c>
      <c r="G3" s="13">
        <f>IFERROR(__xludf.DUMMYFUNCTION("""COMPUTED_VALUE"""),20000.0)</f>
        <v>20000</v>
      </c>
      <c r="H3" s="14" t="str">
        <f>IFERROR(__xludf.DUMMYFUNCTION("""COMPUTED_VALUE"""),"https://docs.google.com/spreadsheets/d/1dpKMnQSwIyqeumLMdEUcciZIX_T6V--C_WFErCgL9Es/edit?usp=sharing")</f>
        <v>https://docs.google.com/spreadsheets/d/1dpKMnQSwIyqeumLMdEUcciZIX_T6V--C_WFErCgL9Es/edit?usp=sharing</v>
      </c>
      <c r="I3" s="11"/>
    </row>
    <row r="4">
      <c r="A4" s="11" t="str">
        <f>IFERROR(__xludf.DUMMYFUNCTION("""COMPUTED_VALUE"""),"Working")</f>
        <v>Working</v>
      </c>
      <c r="B4" s="12">
        <f>IFERROR(__xludf.DUMMYFUNCTION("""COMPUTED_VALUE"""),44559.0)</f>
        <v>44559</v>
      </c>
      <c r="C4" s="11"/>
      <c r="D4" s="11" t="str">
        <f>IFERROR(__xludf.DUMMYFUNCTION("""COMPUTED_VALUE"""),"Magnitudo LLC")</f>
        <v>Magnitudo LLC</v>
      </c>
      <c r="E4" s="13">
        <f>IFERROR(__xludf.DUMMYFUNCTION("""COMPUTED_VALUE"""),0.0)</f>
        <v>0</v>
      </c>
      <c r="F4" s="13">
        <f>IFERROR(__xludf.DUMMYFUNCTION("""COMPUTED_VALUE"""),3000.0)</f>
        <v>3000</v>
      </c>
      <c r="G4" s="13">
        <f>IFERROR(__xludf.DUMMYFUNCTION("""COMPUTED_VALUE"""),3000.0)</f>
        <v>3000</v>
      </c>
      <c r="H4" s="14" t="str">
        <f>IFERROR(__xludf.DUMMYFUNCTION("""COMPUTED_VALUE"""),"https://docs.google.com/spreadsheets/d/14-j4ZslTZV2G6EgIDk3lcUSAiIpGDXc0h8kMwiKjRUw/edit?usp=sharing")</f>
        <v>https://docs.google.com/spreadsheets/d/14-j4ZslTZV2G6EgIDk3lcUSAiIpGDXc0h8kMwiKjRUw/edit?usp=sharing</v>
      </c>
      <c r="I4" s="11"/>
    </row>
    <row r="5">
      <c r="A5" s="11" t="str">
        <f>IFERROR(__xludf.DUMMYFUNCTION("""COMPUTED_VALUE"""),"Working")</f>
        <v>Working</v>
      </c>
      <c r="B5" s="12">
        <f>IFERROR(__xludf.DUMMYFUNCTION("""COMPUTED_VALUE"""),44505.0)</f>
        <v>44505</v>
      </c>
      <c r="C5" s="11" t="str">
        <f>IFERROR(__xludf.DUMMYFUNCTION("""COMPUTED_VALUE"""),"Abu Sufian")</f>
        <v>Abu Sufian</v>
      </c>
      <c r="D5" s="11" t="str">
        <f>IFERROR(__xludf.DUMMYFUNCTION("""COMPUTED_VALUE"""),"Jahaan World (SFBA)")</f>
        <v>Jahaan World (SFBA)</v>
      </c>
      <c r="E5" s="13">
        <f>IFERROR(__xludf.DUMMYFUNCTION("""COMPUTED_VALUE"""),3391.84)</f>
        <v>3391.84</v>
      </c>
      <c r="F5" s="13">
        <f>IFERROR(__xludf.DUMMYFUNCTION("""COMPUTED_VALUE"""),2152.04)</f>
        <v>2152.04</v>
      </c>
      <c r="G5" s="13">
        <f>IFERROR(__xludf.DUMMYFUNCTION("""COMPUTED_VALUE"""),3000.0)</f>
        <v>3000</v>
      </c>
      <c r="H5" s="14" t="str">
        <f>IFERROR(__xludf.DUMMYFUNCTION("""COMPUTED_VALUE"""),"https://docs.google.com/spreadsheets/d/1Pvsk3PDSwn2NjMr9gbeuLsoZqrKCvOBLnDoQnAzXGgk/edit#gid=0")</f>
        <v>https://docs.google.com/spreadsheets/d/1Pvsk3PDSwn2NjMr9gbeuLsoZqrKCvOBLnDoQnAzXGgk/edit#gid=0</v>
      </c>
      <c r="I5" s="11"/>
    </row>
    <row r="6">
      <c r="A6" s="11" t="str">
        <f>IFERROR(__xludf.DUMMYFUNCTION("""COMPUTED_VALUE"""),"Working")</f>
        <v>Working</v>
      </c>
      <c r="B6" s="12">
        <f>IFERROR(__xludf.DUMMYFUNCTION("""COMPUTED_VALUE"""),44537.0)</f>
        <v>44537</v>
      </c>
      <c r="C6" s="11" t="str">
        <f>IFERROR(__xludf.DUMMYFUNCTION("""COMPUTED_VALUE"""),"Abu Sufian")</f>
        <v>Abu Sufian</v>
      </c>
      <c r="D6" s="11" t="str">
        <f>IFERROR(__xludf.DUMMYFUNCTION("""COMPUTED_VALUE"""),"Jahaan World (SFBA)")</f>
        <v>Jahaan World (SFBA)</v>
      </c>
      <c r="E6" s="13">
        <f>IFERROR(__xludf.DUMMYFUNCTION("""COMPUTED_VALUE"""),0.0)</f>
        <v>0</v>
      </c>
      <c r="F6" s="13">
        <f>IFERROR(__xludf.DUMMYFUNCTION("""COMPUTED_VALUE"""),1000.0)</f>
        <v>1000</v>
      </c>
      <c r="G6" s="13">
        <f>IFERROR(__xludf.DUMMYFUNCTION("""COMPUTED_VALUE"""),1000.0)</f>
        <v>1000</v>
      </c>
      <c r="H6" s="14" t="str">
        <f>IFERROR(__xludf.DUMMYFUNCTION("""COMPUTED_VALUE"""),"https://docs.google.com/spreadsheets/d/1uGg86HiZI6iFX5jjxhw1bxcq8XZyPmGGLkOY0sVHxnc/edit?usp=sharing")</f>
        <v>https://docs.google.com/spreadsheets/d/1uGg86HiZI6iFX5jjxhw1bxcq8XZyPmGGLkOY0sVHxnc/edit?usp=sharing</v>
      </c>
      <c r="I6" s="11"/>
    </row>
    <row r="7">
      <c r="A7" s="11" t="str">
        <f>IFERROR(__xludf.DUMMYFUNCTION("""COMPUTED_VALUE"""),"Working")</f>
        <v>Working</v>
      </c>
      <c r="B7" s="12">
        <f>IFERROR(__xludf.DUMMYFUNCTION("""COMPUTED_VALUE"""),44540.0)</f>
        <v>44540</v>
      </c>
      <c r="C7" s="11" t="str">
        <f>IFERROR(__xludf.DUMMYFUNCTION("""COMPUTED_VALUE"""),"Ana Alfero")</f>
        <v>Ana Alfero</v>
      </c>
      <c r="D7" s="11" t="str">
        <f>IFERROR(__xludf.DUMMYFUNCTION("""COMPUTED_VALUE"""),"LoCale Pacific Stays (SFBA)")</f>
        <v>LoCale Pacific Stays (SFBA)</v>
      </c>
      <c r="E7" s="13">
        <f>IFERROR(__xludf.DUMMYFUNCTION("""COMPUTED_VALUE"""),1446.9)</f>
        <v>1446.9</v>
      </c>
      <c r="F7" s="13">
        <f>IFERROR(__xludf.DUMMYFUNCTION("""COMPUTED_VALUE"""),1991.5454545454545)</f>
        <v>1991.545455</v>
      </c>
      <c r="G7" s="13">
        <f>IFERROR(__xludf.DUMMYFUNCTION("""COMPUTED_VALUE"""),2430.0)</f>
        <v>2430</v>
      </c>
      <c r="H7" s="14" t="str">
        <f>IFERROR(__xludf.DUMMYFUNCTION("""COMPUTED_VALUE"""),"https://docs.google.com/spreadsheets/d/1X1ChUE9_fseWvnwJew3ZUhph4G6en_YnXztsPTyJR2E/edit?usp=sharing")</f>
        <v>https://docs.google.com/spreadsheets/d/1X1ChUE9_fseWvnwJew3ZUhph4G6en_YnXztsPTyJR2E/edit?usp=sharing</v>
      </c>
      <c r="I7" s="11"/>
    </row>
    <row r="8">
      <c r="A8" s="11" t="str">
        <f>IFERROR(__xludf.DUMMYFUNCTION("""COMPUTED_VALUE"""),"Working")</f>
        <v>Working</v>
      </c>
      <c r="B8" s="12">
        <f>IFERROR(__xludf.DUMMYFUNCTION("""COMPUTED_VALUE"""),44482.0)</f>
        <v>44482</v>
      </c>
      <c r="C8" s="11" t="str">
        <f>IFERROR(__xludf.DUMMYFUNCTION("""COMPUTED_VALUE"""),"Andrew Both")</f>
        <v>Andrew Both</v>
      </c>
      <c r="D8" s="11" t="str">
        <f>IFERROR(__xludf.DUMMYFUNCTION("""COMPUTED_VALUE"""),"Andrew Novelties LLC (SFBA)")</f>
        <v>Andrew Novelties LLC (SFBA)</v>
      </c>
      <c r="E8" s="13">
        <f>IFERROR(__xludf.DUMMYFUNCTION("""COMPUTED_VALUE"""),714.0)</f>
        <v>714</v>
      </c>
      <c r="F8" s="13">
        <f>IFERROR(__xludf.DUMMYFUNCTION("""COMPUTED_VALUE"""),1021.5)</f>
        <v>1021.5</v>
      </c>
      <c r="G8" s="13">
        <f>IFERROR(__xludf.DUMMYFUNCTION("""COMPUTED_VALUE"""),1200.0)</f>
        <v>1200</v>
      </c>
      <c r="H8" s="14" t="str">
        <f>IFERROR(__xludf.DUMMYFUNCTION("""COMPUTED_VALUE"""),"https://docs.google.com/spreadsheets/d/18_93huP48tschLiSaeshNH02EQDTGrf8hoW0ZfgBCqA/edit?usp=sharing")</f>
        <v>https://docs.google.com/spreadsheets/d/18_93huP48tschLiSaeshNH02EQDTGrf8hoW0ZfgBCqA/edit?usp=sharing</v>
      </c>
      <c r="I8" s="11"/>
    </row>
    <row r="9">
      <c r="A9" s="11" t="str">
        <f>IFERROR(__xludf.DUMMYFUNCTION("""COMPUTED_VALUE"""),"Working")</f>
        <v>Working</v>
      </c>
      <c r="B9" s="12">
        <f>IFERROR(__xludf.DUMMYFUNCTION("""COMPUTED_VALUE"""),44519.0)</f>
        <v>44519</v>
      </c>
      <c r="C9" s="11" t="str">
        <f>IFERROR(__xludf.DUMMYFUNCTION("""COMPUTED_VALUE"""),"Andrew Both")</f>
        <v>Andrew Both</v>
      </c>
      <c r="D9" s="11" t="str">
        <f>IFERROR(__xludf.DUMMYFUNCTION("""COMPUTED_VALUE"""),"Andrew Novelties LLC (SFBA)")</f>
        <v>Andrew Novelties LLC (SFBA)</v>
      </c>
      <c r="E9" s="13">
        <f>IFERROR(__xludf.DUMMYFUNCTION("""COMPUTED_VALUE"""),0.0)</f>
        <v>0</v>
      </c>
      <c r="F9" s="13">
        <f>IFERROR(__xludf.DUMMYFUNCTION("""COMPUTED_VALUE"""),1400.0)</f>
        <v>1400</v>
      </c>
      <c r="G9" s="13">
        <f>IFERROR(__xludf.DUMMYFUNCTION("""COMPUTED_VALUE"""),1400.0)</f>
        <v>1400</v>
      </c>
      <c r="H9" s="14" t="str">
        <f>IFERROR(__xludf.DUMMYFUNCTION("""COMPUTED_VALUE"""),"https://docs.google.com/spreadsheets/d/1EfDntbd5xhxtLu5WLqBV3Az5ZYqWBOxRfwJsx3gfn3k/edit?usp=sharing")</f>
        <v>https://docs.google.com/spreadsheets/d/1EfDntbd5xhxtLu5WLqBV3Az5ZYqWBOxRfwJsx3gfn3k/edit?usp=sharing</v>
      </c>
      <c r="I9" s="11"/>
    </row>
    <row r="10">
      <c r="A10" s="11" t="str">
        <f>IFERROR(__xludf.DUMMYFUNCTION("""COMPUTED_VALUE"""),"Working")</f>
        <v>Working</v>
      </c>
      <c r="B10" s="12">
        <f>IFERROR(__xludf.DUMMYFUNCTION("""COMPUTED_VALUE"""),44550.0)</f>
        <v>44550</v>
      </c>
      <c r="C10" s="11" t="str">
        <f>IFERROR(__xludf.DUMMYFUNCTION("""COMPUTED_VALUE"""),"Andrew Both")</f>
        <v>Andrew Both</v>
      </c>
      <c r="D10" s="11" t="str">
        <f>IFERROR(__xludf.DUMMYFUNCTION("""COMPUTED_VALUE"""),"Andrew Novelties LLC (SFBA)")</f>
        <v>Andrew Novelties LLC (SFBA)</v>
      </c>
      <c r="E10" s="13">
        <f>IFERROR(__xludf.DUMMYFUNCTION("""COMPUTED_VALUE"""),0.0)</f>
        <v>0</v>
      </c>
      <c r="F10" s="13">
        <f>IFERROR(__xludf.DUMMYFUNCTION("""COMPUTED_VALUE"""),1350.0)</f>
        <v>1350</v>
      </c>
      <c r="G10" s="13">
        <f>IFERROR(__xludf.DUMMYFUNCTION("""COMPUTED_VALUE"""),1350.0)</f>
        <v>1350</v>
      </c>
      <c r="H10" s="14" t="str">
        <f>IFERROR(__xludf.DUMMYFUNCTION("""COMPUTED_VALUE"""),"https://docs.google.com/spreadsheets/d/1Zv2MMpy2apO4pvOeUT4nZX7JyonqmPbeG1o1oB9JhuQ/edit?usp=sharing")</f>
        <v>https://docs.google.com/spreadsheets/d/1Zv2MMpy2apO4pvOeUT4nZX7JyonqmPbeG1o1oB9JhuQ/edit?usp=sharing</v>
      </c>
      <c r="I10" s="11"/>
    </row>
    <row r="11">
      <c r="A11" s="11" t="str">
        <f>IFERROR(__xludf.DUMMYFUNCTION("""COMPUTED_VALUE"""),"Working")</f>
        <v>Working</v>
      </c>
      <c r="B11" s="12">
        <f>IFERROR(__xludf.DUMMYFUNCTION("""COMPUTED_VALUE"""),44539.0)</f>
        <v>44539</v>
      </c>
      <c r="C11" s="11" t="str">
        <f>IFERROR(__xludf.DUMMYFUNCTION("""COMPUTED_VALUE"""),"Andy Woolfoot")</f>
        <v>Andy Woolfoot</v>
      </c>
      <c r="D11" s="11" t="str">
        <f>IFERROR(__xludf.DUMMYFUNCTION("""COMPUTED_VALUE"""),"Bibby Essentials (Elite)")</f>
        <v>Bibby Essentials (Elite)</v>
      </c>
      <c r="E11" s="13">
        <f>IFERROR(__xludf.DUMMYFUNCTION("""COMPUTED_VALUE"""),0.0)</f>
        <v>0</v>
      </c>
      <c r="F11" s="13">
        <f>IFERROR(__xludf.DUMMYFUNCTION("""COMPUTED_VALUE"""),10000.0)</f>
        <v>10000</v>
      </c>
      <c r="G11" s="13">
        <f>IFERROR(__xludf.DUMMYFUNCTION("""COMPUTED_VALUE"""),10000.0)</f>
        <v>10000</v>
      </c>
      <c r="H11" s="14" t="str">
        <f>IFERROR(__xludf.DUMMYFUNCTION("""COMPUTED_VALUE"""),"https://docs.google.com/spreadsheets/d/1xhq5ZKbNXtax5gtODNh4Pg6yH1hib1wNrp44LgpmIm0/edit?usp=sharing")</f>
        <v>https://docs.google.com/spreadsheets/d/1xhq5ZKbNXtax5gtODNh4Pg6yH1hib1wNrp44LgpmIm0/edit?usp=sharing</v>
      </c>
      <c r="I11" s="11"/>
    </row>
    <row r="12">
      <c r="A12" s="11" t="str">
        <f>IFERROR(__xludf.DUMMYFUNCTION("""COMPUTED_VALUE"""),"Working")</f>
        <v>Working</v>
      </c>
      <c r="B12" s="12">
        <f>IFERROR(__xludf.DUMMYFUNCTION("""COMPUTED_VALUE"""),44545.0)</f>
        <v>44545</v>
      </c>
      <c r="C12" s="11" t="str">
        <f>IFERROR(__xludf.DUMMYFUNCTION("""COMPUTED_VALUE"""),"Baris Kent Morgan")</f>
        <v>Baris Kent Morgan</v>
      </c>
      <c r="D12" s="11" t="str">
        <f>IFERROR(__xludf.DUMMYFUNCTION("""COMPUTED_VALUE"""),"Summer World LLC (Elite)")</f>
        <v>Summer World LLC (Elite)</v>
      </c>
      <c r="E12" s="13">
        <f>IFERROR(__xludf.DUMMYFUNCTION("""COMPUTED_VALUE"""),0.0)</f>
        <v>0</v>
      </c>
      <c r="F12" s="13">
        <f>IFERROR(__xludf.DUMMYFUNCTION("""COMPUTED_VALUE"""),20000.0)</f>
        <v>20000</v>
      </c>
      <c r="G12" s="13">
        <f>IFERROR(__xludf.DUMMYFUNCTION("""COMPUTED_VALUE"""),20000.0)</f>
        <v>20000</v>
      </c>
      <c r="H12" s="14" t="str">
        <f>IFERROR(__xludf.DUMMYFUNCTION("""COMPUTED_VALUE"""),"https://docs.google.com/spreadsheets/d/1hTlD5aZHe0Q08aOQhU7S4CanS8aJ34Rt2igksi5wpKI/edit?usp=sharing")</f>
        <v>https://docs.google.com/spreadsheets/d/1hTlD5aZHe0Q08aOQhU7S4CanS8aJ34Rt2igksi5wpKI/edit?usp=sharing</v>
      </c>
      <c r="I12" s="11"/>
    </row>
    <row r="13">
      <c r="A13" s="11" t="str">
        <f>IFERROR(__xludf.DUMMYFUNCTION("""COMPUTED_VALUE"""),"Working")</f>
        <v>Working</v>
      </c>
      <c r="B13" s="12">
        <f>IFERROR(__xludf.DUMMYFUNCTION("""COMPUTED_VALUE"""),44491.0)</f>
        <v>44491</v>
      </c>
      <c r="C13" s="11" t="str">
        <f>IFERROR(__xludf.DUMMYFUNCTION("""COMPUTED_VALUE"""),"Baruch Stern")</f>
        <v>Baruch Stern</v>
      </c>
      <c r="D13" s="11" t="str">
        <f>IFERROR(__xludf.DUMMYFUNCTION("""COMPUTED_VALUE"""),"EDA Supply (SFBA)")</f>
        <v>EDA Supply (SFBA)</v>
      </c>
      <c r="E13" s="13">
        <f>IFERROR(__xludf.DUMMYFUNCTION("""COMPUTED_VALUE"""),24837.500000000007)</f>
        <v>24837.5</v>
      </c>
      <c r="F13" s="13">
        <f>IFERROR(__xludf.DUMMYFUNCTION("""COMPUTED_VALUE"""),22990.625)</f>
        <v>22990.625</v>
      </c>
      <c r="G13" s="13">
        <f>IFERROR(__xludf.DUMMYFUNCTION("""COMPUTED_VALUE"""),29200.0)</f>
        <v>29200</v>
      </c>
      <c r="H13" s="14" t="str">
        <f>IFERROR(__xludf.DUMMYFUNCTION("""COMPUTED_VALUE"""),"https://docs.google.com/spreadsheets/d/1vAjzCKVD71U3gk4ns5WCBTigXE6lHnrQYgW-s9OnwYE/edit?usp=sharing")</f>
        <v>https://docs.google.com/spreadsheets/d/1vAjzCKVD71U3gk4ns5WCBTigXE6lHnrQYgW-s9OnwYE/edit?usp=sharing</v>
      </c>
      <c r="I13" s="11"/>
    </row>
    <row r="14">
      <c r="A14" s="11" t="str">
        <f>IFERROR(__xludf.DUMMYFUNCTION("""COMPUTED_VALUE"""),"Working")</f>
        <v>Working</v>
      </c>
      <c r="B14" s="12">
        <f>IFERROR(__xludf.DUMMYFUNCTION("""COMPUTED_VALUE"""),44510.0)</f>
        <v>44510</v>
      </c>
      <c r="C14" s="11" t="str">
        <f>IFERROR(__xludf.DUMMYFUNCTION("""COMPUTED_VALUE"""),"Brandon Harris")</f>
        <v>Brandon Harris</v>
      </c>
      <c r="D14" s="11" t="str">
        <f>IFERROR(__xludf.DUMMYFUNCTION("""COMPUTED_VALUE"""),"Collective Styles (SFBA)")</f>
        <v>Collective Styles (SFBA)</v>
      </c>
      <c r="E14" s="13">
        <f>IFERROR(__xludf.DUMMYFUNCTION("""COMPUTED_VALUE"""),9181.769999999997)</f>
        <v>9181.77</v>
      </c>
      <c r="F14" s="13">
        <f>IFERROR(__xludf.DUMMYFUNCTION("""COMPUTED_VALUE"""),7574.368106060607)</f>
        <v>7574.368106</v>
      </c>
      <c r="G14" s="13">
        <f>IFERROR(__xludf.DUMMYFUNCTION("""COMPUTED_VALUE"""),10000.0)</f>
        <v>10000</v>
      </c>
      <c r="H14" s="14" t="str">
        <f>IFERROR(__xludf.DUMMYFUNCTION("""COMPUTED_VALUE"""),"https://docs.google.com/spreadsheets/d/1AiZYHxMVFLDNpmyK5HOrxc7jIaq6sWuCYD8CHYUyqM0/edit?usp=sharing")</f>
        <v>https://docs.google.com/spreadsheets/d/1AiZYHxMVFLDNpmyK5HOrxc7jIaq6sWuCYD8CHYUyqM0/edit?usp=sharing</v>
      </c>
      <c r="I14" s="11"/>
    </row>
    <row r="15">
      <c r="A15" s="11" t="str">
        <f>IFERROR(__xludf.DUMMYFUNCTION("""COMPUTED_VALUE"""),"Working")</f>
        <v>Working</v>
      </c>
      <c r="B15" s="12">
        <f>IFERROR(__xludf.DUMMYFUNCTION("""COMPUTED_VALUE"""),44531.0)</f>
        <v>44531</v>
      </c>
      <c r="C15" s="11" t="str">
        <f>IFERROR(__xludf.DUMMYFUNCTION("""COMPUTED_VALUE"""),"Brian Brewster")</f>
        <v>Brian Brewster</v>
      </c>
      <c r="D15" s="11" t="str">
        <f>IFERROR(__xludf.DUMMYFUNCTION("""COMPUTED_VALUE"""),"BGB Corp (SE)")</f>
        <v>BGB Corp (SE)</v>
      </c>
      <c r="E15" s="13">
        <f>IFERROR(__xludf.DUMMYFUNCTION("""COMPUTED_VALUE"""),0.0)</f>
        <v>0</v>
      </c>
      <c r="F15" s="13">
        <f>IFERROR(__xludf.DUMMYFUNCTION("""COMPUTED_VALUE"""),350.0)</f>
        <v>350</v>
      </c>
      <c r="G15" s="13">
        <f>IFERROR(__xludf.DUMMYFUNCTION("""COMPUTED_VALUE"""),350.0)</f>
        <v>350</v>
      </c>
      <c r="H15" s="14" t="str">
        <f>IFERROR(__xludf.DUMMYFUNCTION("""COMPUTED_VALUE"""),"https://docs.google.com/spreadsheets/d/1_L7f67C6DxC0vwQetwNjzLb-X026X7aatgxjMP-5CSc/edit?usp=sharing")</f>
        <v>https://docs.google.com/spreadsheets/d/1_L7f67C6DxC0vwQetwNjzLb-X026X7aatgxjMP-5CSc/edit?usp=sharing</v>
      </c>
      <c r="I15" s="11"/>
    </row>
    <row r="16">
      <c r="A16" s="11" t="str">
        <f>IFERROR(__xludf.DUMMYFUNCTION("""COMPUTED_VALUE"""),"Working")</f>
        <v>Working</v>
      </c>
      <c r="B16" s="12">
        <f>IFERROR(__xludf.DUMMYFUNCTION("""COMPUTED_VALUE"""),44551.0)</f>
        <v>44551</v>
      </c>
      <c r="C16" s="11" t="str">
        <f>IFERROR(__xludf.DUMMYFUNCTION("""COMPUTED_VALUE"""),"Brian Brewster")</f>
        <v>Brian Brewster</v>
      </c>
      <c r="D16" s="11" t="str">
        <f>IFERROR(__xludf.DUMMYFUNCTION("""COMPUTED_VALUE"""),"BGB Corp (SE)")</f>
        <v>BGB Corp (SE)</v>
      </c>
      <c r="E16" s="13">
        <f>IFERROR(__xludf.DUMMYFUNCTION("""COMPUTED_VALUE"""),0.0)</f>
        <v>0</v>
      </c>
      <c r="F16" s="13">
        <f>IFERROR(__xludf.DUMMYFUNCTION("""COMPUTED_VALUE"""),650.0)</f>
        <v>650</v>
      </c>
      <c r="G16" s="13">
        <f>IFERROR(__xludf.DUMMYFUNCTION("""COMPUTED_VALUE"""),650.0)</f>
        <v>650</v>
      </c>
      <c r="H16" s="14" t="str">
        <f>IFERROR(__xludf.DUMMYFUNCTION("""COMPUTED_VALUE"""),"https://docs.google.com/spreadsheets/d/1HGMre3F0moZxm85QUFeEYB46a-xgrPH1NnHDwi0Kh6g/edit?usp=sharing")</f>
        <v>https://docs.google.com/spreadsheets/d/1HGMre3F0moZxm85QUFeEYB46a-xgrPH1NnHDwi0Kh6g/edit?usp=sharing</v>
      </c>
      <c r="I16" s="11"/>
    </row>
    <row r="17">
      <c r="A17" s="11" t="str">
        <f>IFERROR(__xludf.DUMMYFUNCTION("""COMPUTED_VALUE"""),"Working")</f>
        <v>Working</v>
      </c>
      <c r="B17" s="12">
        <f>IFERROR(__xludf.DUMMYFUNCTION("""COMPUTED_VALUE"""),44510.0)</f>
        <v>44510</v>
      </c>
      <c r="C17" s="11" t="str">
        <f>IFERROR(__xludf.DUMMYFUNCTION("""COMPUTED_VALUE"""),"Carolina Ojeda")</f>
        <v>Carolina Ojeda</v>
      </c>
      <c r="D17" s="11" t="str">
        <f>IFERROR(__xludf.DUMMYFUNCTION("""COMPUTED_VALUE"""),"II Rombo (SFBA)")</f>
        <v>II Rombo (SFBA)</v>
      </c>
      <c r="E17" s="13">
        <f>IFERROR(__xludf.DUMMYFUNCTION("""COMPUTED_VALUE"""),0.0)</f>
        <v>0</v>
      </c>
      <c r="F17" s="13">
        <f>IFERROR(__xludf.DUMMYFUNCTION("""COMPUTED_VALUE"""),10000.0)</f>
        <v>10000</v>
      </c>
      <c r="G17" s="13">
        <f>IFERROR(__xludf.DUMMYFUNCTION("""COMPUTED_VALUE"""),10000.0)</f>
        <v>10000</v>
      </c>
      <c r="H17" s="14" t="str">
        <f>IFERROR(__xludf.DUMMYFUNCTION("""COMPUTED_VALUE"""),"https://docs.google.com/spreadsheets/d/1mgAIBRoNf5xF3WaGCWOb8YlJesww8M5KquuWE4-xJJY/edit?usp=sharing")</f>
        <v>https://docs.google.com/spreadsheets/d/1mgAIBRoNf5xF3WaGCWOb8YlJesww8M5KquuWE4-xJJY/edit?usp=sharing</v>
      </c>
      <c r="I17" s="11"/>
    </row>
    <row r="18">
      <c r="A18" s="11" t="str">
        <f>IFERROR(__xludf.DUMMYFUNCTION("""COMPUTED_VALUE"""),"Working")</f>
        <v>Working</v>
      </c>
      <c r="B18" s="12">
        <f>IFERROR(__xludf.DUMMYFUNCTION("""COMPUTED_VALUE"""),44538.0)</f>
        <v>44538</v>
      </c>
      <c r="C18" s="11" t="str">
        <f>IFERROR(__xludf.DUMMYFUNCTION("""COMPUTED_VALUE"""),"Chris Russo")</f>
        <v>Chris Russo</v>
      </c>
      <c r="D18" s="11" t="str">
        <f>IFERROR(__xludf.DUMMYFUNCTION("""COMPUTED_VALUE"""),"Blisssss (SFBA)")</f>
        <v>Blisssss (SFBA)</v>
      </c>
      <c r="E18" s="13">
        <f>IFERROR(__xludf.DUMMYFUNCTION("""COMPUTED_VALUE"""),0.0)</f>
        <v>0</v>
      </c>
      <c r="F18" s="13">
        <f>IFERROR(__xludf.DUMMYFUNCTION("""COMPUTED_VALUE"""),2000.0)</f>
        <v>2000</v>
      </c>
      <c r="G18" s="13">
        <f>IFERROR(__xludf.DUMMYFUNCTION("""COMPUTED_VALUE"""),2000.0)</f>
        <v>2000</v>
      </c>
      <c r="H18" s="14" t="str">
        <f>IFERROR(__xludf.DUMMYFUNCTION("""COMPUTED_VALUE"""),"https://docs.google.com/spreadsheets/d/100M6UeXiyjNKWbvfk5fKYrtE9_5gvbkOr5J4JOBFHbA/edit?usp=sharing")</f>
        <v>https://docs.google.com/spreadsheets/d/100M6UeXiyjNKWbvfk5fKYrtE9_5gvbkOr5J4JOBFHbA/edit?usp=sharing</v>
      </c>
      <c r="I18" s="11"/>
    </row>
    <row r="19">
      <c r="A19" s="11" t="str">
        <f>IFERROR(__xludf.DUMMYFUNCTION("""COMPUTED_VALUE"""),"Working")</f>
        <v>Working</v>
      </c>
      <c r="B19" s="12">
        <f>IFERROR(__xludf.DUMMYFUNCTION("""COMPUTED_VALUE"""),44509.0)</f>
        <v>44509</v>
      </c>
      <c r="C19" s="11" t="str">
        <f>IFERROR(__xludf.DUMMYFUNCTION("""COMPUTED_VALUE"""),"D'Anna Berger")</f>
        <v>D'Anna Berger</v>
      </c>
      <c r="D19" s="11" t="str">
        <f>IFERROR(__xludf.DUMMYFUNCTION("""COMPUTED_VALUE"""),"JDB Investments LLC (Elite)")</f>
        <v>JDB Investments LLC (Elite)</v>
      </c>
      <c r="E19" s="13">
        <f>IFERROR(__xludf.DUMMYFUNCTION("""COMPUTED_VALUE"""),23946.520000000015)</f>
        <v>23946.52</v>
      </c>
      <c r="F19" s="13">
        <f>IFERROR(__xludf.DUMMYFUNCTION("""COMPUTED_VALUE"""),11013.369999999995)</f>
        <v>11013.37</v>
      </c>
      <c r="G19" s="13">
        <f>IFERROR(__xludf.DUMMYFUNCTION("""COMPUTED_VALUE"""),17000.0)</f>
        <v>17000</v>
      </c>
      <c r="H19" s="14" t="str">
        <f>IFERROR(__xludf.DUMMYFUNCTION("""COMPUTED_VALUE"""),"https://docs.google.com/spreadsheets/d/13XeF1Hcxy4YPx-4qwmXGCILDYmJYq0Tbv6vKB9EmuqU/edit?usp=sharing")</f>
        <v>https://docs.google.com/spreadsheets/d/13XeF1Hcxy4YPx-4qwmXGCILDYmJYq0Tbv6vKB9EmuqU/edit?usp=sharing</v>
      </c>
      <c r="I19" s="11"/>
    </row>
    <row r="20">
      <c r="A20" s="11" t="str">
        <f>IFERROR(__xludf.DUMMYFUNCTION("""COMPUTED_VALUE"""),"Working")</f>
        <v>Working</v>
      </c>
      <c r="B20" s="12">
        <f>IFERROR(__xludf.DUMMYFUNCTION("""COMPUTED_VALUE"""),44529.0)</f>
        <v>44529</v>
      </c>
      <c r="C20" s="11" t="str">
        <f>IFERROR(__xludf.DUMMYFUNCTION("""COMPUTED_VALUE"""),"D'Anna Berger")</f>
        <v>D'Anna Berger</v>
      </c>
      <c r="D20" s="11" t="str">
        <f>IFERROR(__xludf.DUMMYFUNCTION("""COMPUTED_VALUE"""),"JDB Investments LLC (Elite)")</f>
        <v>JDB Investments LLC (Elite)</v>
      </c>
      <c r="E20" s="13">
        <f>IFERROR(__xludf.DUMMYFUNCTION("""COMPUTED_VALUE"""),0.0)</f>
        <v>0</v>
      </c>
      <c r="F20" s="13">
        <f>IFERROR(__xludf.DUMMYFUNCTION("""COMPUTED_VALUE"""),10000.0)</f>
        <v>10000</v>
      </c>
      <c r="G20" s="13">
        <f>IFERROR(__xludf.DUMMYFUNCTION("""COMPUTED_VALUE"""),10000.0)</f>
        <v>10000</v>
      </c>
      <c r="H20" s="14" t="str">
        <f>IFERROR(__xludf.DUMMYFUNCTION("""COMPUTED_VALUE"""),"https://docs.google.com/spreadsheets/d/1LttnVNEiY_gdMeyoNQp9CAl-gOQnX_r5EwRfMdG9TEc/edit?usp=sharing")</f>
        <v>https://docs.google.com/spreadsheets/d/1LttnVNEiY_gdMeyoNQp9CAl-gOQnX_r5EwRfMdG9TEc/edit?usp=sharing</v>
      </c>
      <c r="I20" s="11"/>
    </row>
    <row r="21">
      <c r="A21" s="11" t="str">
        <f>IFERROR(__xludf.DUMMYFUNCTION("""COMPUTED_VALUE"""),"Working")</f>
        <v>Working</v>
      </c>
      <c r="B21" s="12">
        <f>IFERROR(__xludf.DUMMYFUNCTION("""COMPUTED_VALUE"""),44498.0)</f>
        <v>44498</v>
      </c>
      <c r="C21" s="11" t="str">
        <f>IFERROR(__xludf.DUMMYFUNCTION("""COMPUTED_VALUE"""),"Daniel Walker")</f>
        <v>Daniel Walker</v>
      </c>
      <c r="D21" s="11" t="str">
        <f>IFERROR(__xludf.DUMMYFUNCTION("""COMPUTED_VALUE"""),"FGW Commerce (SFBA)")</f>
        <v>FGW Commerce (SFBA)</v>
      </c>
      <c r="E21" s="13">
        <f>IFERROR(__xludf.DUMMYFUNCTION("""COMPUTED_VALUE"""),17809.569999999996)</f>
        <v>17809.57</v>
      </c>
      <c r="F21" s="13">
        <f>IFERROR(__xludf.DUMMYFUNCTION("""COMPUTED_VALUE"""),15485.11128787879)</f>
        <v>15485.11129</v>
      </c>
      <c r="G21" s="13">
        <f>IFERROR(__xludf.DUMMYFUNCTION("""COMPUTED_VALUE"""),20000.0)</f>
        <v>20000</v>
      </c>
      <c r="H21" s="14" t="str">
        <f>IFERROR(__xludf.DUMMYFUNCTION("""COMPUTED_VALUE"""),"https://docs.google.com/spreadsheets/d/1kSgmKMvamEcHMFQ83dcJarKLmUw4MAS3tL5P69EECOs/edit?usp=sharing")</f>
        <v>https://docs.google.com/spreadsheets/d/1kSgmKMvamEcHMFQ83dcJarKLmUw4MAS3tL5P69EECOs/edit?usp=sharing</v>
      </c>
      <c r="I21" s="11"/>
    </row>
    <row r="22">
      <c r="A22" s="11" t="str">
        <f>IFERROR(__xludf.DUMMYFUNCTION("""COMPUTED_VALUE"""),"Working")</f>
        <v>Working</v>
      </c>
      <c r="B22" s="12">
        <f>IFERROR(__xludf.DUMMYFUNCTION("""COMPUTED_VALUE"""),44475.0)</f>
        <v>44475</v>
      </c>
      <c r="C22" s="11" t="str">
        <f>IFERROR(__xludf.DUMMYFUNCTION("""COMPUTED_VALUE"""),"David Franks")</f>
        <v>David Franks</v>
      </c>
      <c r="D22" s="11" t="str">
        <f>IFERROR(__xludf.DUMMYFUNCTION("""COMPUTED_VALUE"""),"DCFEBooks")</f>
        <v>DCFEBooks</v>
      </c>
      <c r="E22" s="13">
        <f>IFERROR(__xludf.DUMMYFUNCTION("""COMPUTED_VALUE"""),37518.21000000002)</f>
        <v>37518.21</v>
      </c>
      <c r="F22" s="13">
        <f>IFERROR(__xludf.DUMMYFUNCTION("""COMPUTED_VALUE"""),235.39340909090424)</f>
        <v>235.3934091</v>
      </c>
      <c r="G22" s="13">
        <f>IFERROR(__xludf.DUMMYFUNCTION("""COMPUTED_VALUE"""),10000.0)</f>
        <v>10000</v>
      </c>
      <c r="H22" s="14" t="str">
        <f>IFERROR(__xludf.DUMMYFUNCTION("""COMPUTED_VALUE"""),"https://docs.google.com/spreadsheets/d/19dx-mqPu7bA3qcoLpbHtGt0je31Bwn6Kl4lk_YsNZTE/edit?usp=sharing")</f>
        <v>https://docs.google.com/spreadsheets/d/19dx-mqPu7bA3qcoLpbHtGt0je31Bwn6Kl4lk_YsNZTE/edit?usp=sharing</v>
      </c>
      <c r="I22" s="11"/>
    </row>
    <row r="23">
      <c r="A23" s="11" t="str">
        <f>IFERROR(__xludf.DUMMYFUNCTION("""COMPUTED_VALUE"""),"Working")</f>
        <v>Working</v>
      </c>
      <c r="B23" s="12">
        <f>IFERROR(__xludf.DUMMYFUNCTION("""COMPUTED_VALUE"""),44544.0)</f>
        <v>44544</v>
      </c>
      <c r="C23" s="11" t="str">
        <f>IFERROR(__xludf.DUMMYFUNCTION("""COMPUTED_VALUE"""),"David Franks")</f>
        <v>David Franks</v>
      </c>
      <c r="D23" s="11" t="str">
        <f>IFERROR(__xludf.DUMMYFUNCTION("""COMPUTED_VALUE"""),"DCFE INC (SFBA)")</f>
        <v>DCFE INC (SFBA)</v>
      </c>
      <c r="E23" s="13">
        <f>IFERROR(__xludf.DUMMYFUNCTION("""COMPUTED_VALUE"""),0.0)</f>
        <v>0</v>
      </c>
      <c r="F23" s="13">
        <f>IFERROR(__xludf.DUMMYFUNCTION("""COMPUTED_VALUE"""),3000.0)</f>
        <v>3000</v>
      </c>
      <c r="G23" s="13">
        <f>IFERROR(__xludf.DUMMYFUNCTION("""COMPUTED_VALUE"""),3000.0)</f>
        <v>3000</v>
      </c>
      <c r="H23" s="14" t="str">
        <f>IFERROR(__xludf.DUMMYFUNCTION("""COMPUTED_VALUE"""),"https://docs.google.com/spreadsheets/d/1BvDUO0J8iYX1bcddCL1Z9XoD3FnisjA1mX55qwm3Q-w/edit?usp=sharing")</f>
        <v>https://docs.google.com/spreadsheets/d/1BvDUO0J8iYX1bcddCL1Z9XoD3FnisjA1mX55qwm3Q-w/edit?usp=sharing</v>
      </c>
      <c r="I23" s="11"/>
    </row>
    <row r="24">
      <c r="A24" s="11" t="str">
        <f>IFERROR(__xludf.DUMMYFUNCTION("""COMPUTED_VALUE"""),"Working")</f>
        <v>Working</v>
      </c>
      <c r="B24" s="12">
        <f>IFERROR(__xludf.DUMMYFUNCTION("""COMPUTED_VALUE"""),44494.0)</f>
        <v>44494</v>
      </c>
      <c r="C24" s="11" t="str">
        <f>IFERROR(__xludf.DUMMYFUNCTION("""COMPUTED_VALUE"""),"Dimitri Handal")</f>
        <v>Dimitri Handal</v>
      </c>
      <c r="D24" s="11" t="str">
        <f>IFERROR(__xludf.DUMMYFUNCTION("""COMPUTED_VALUE"""),"Sportaro  / Dasca")</f>
        <v>Sportaro  / Dasca</v>
      </c>
      <c r="E24" s="13">
        <f>IFERROR(__xludf.DUMMYFUNCTION("""COMPUTED_VALUE"""),38788.14000000001)</f>
        <v>38788.14</v>
      </c>
      <c r="F24" s="13">
        <f>IFERROR(__xludf.DUMMYFUNCTION("""COMPUTED_VALUE"""),10302.964999999998)</f>
        <v>10302.965</v>
      </c>
      <c r="G24" s="13">
        <f>IFERROR(__xludf.DUMMYFUNCTION("""COMPUTED_VALUE"""),20000.0)</f>
        <v>20000</v>
      </c>
      <c r="H24" s="14" t="str">
        <f>IFERROR(__xludf.DUMMYFUNCTION("""COMPUTED_VALUE"""),"https://docs.google.com/spreadsheets/d/1WIKyInGa9adHwazqJrnLdJPufqg8OP3V1uHfM-xGoX8/edit?usp=sharing")</f>
        <v>https://docs.google.com/spreadsheets/d/1WIKyInGa9adHwazqJrnLdJPufqg8OP3V1uHfM-xGoX8/edit?usp=sharing</v>
      </c>
      <c r="I24" s="11"/>
    </row>
    <row r="25">
      <c r="A25" s="11" t="str">
        <f>IFERROR(__xludf.DUMMYFUNCTION("""COMPUTED_VALUE"""),"Working")</f>
        <v>Working</v>
      </c>
      <c r="B25" s="12">
        <f>IFERROR(__xludf.DUMMYFUNCTION("""COMPUTED_VALUE"""),44520.0)</f>
        <v>44520</v>
      </c>
      <c r="C25" s="11" t="str">
        <f>IFERROR(__xludf.DUMMYFUNCTION("""COMPUTED_VALUE"""),"Dimitri Handal")</f>
        <v>Dimitri Handal</v>
      </c>
      <c r="D25" s="11" t="str">
        <f>IFERROR(__xludf.DUMMYFUNCTION("""COMPUTED_VALUE"""),"Sportaro  / Dasca")</f>
        <v>Sportaro  / Dasca</v>
      </c>
      <c r="E25" s="13">
        <f>IFERROR(__xludf.DUMMYFUNCTION("""COMPUTED_VALUE"""),0.0)</f>
        <v>0</v>
      </c>
      <c r="F25" s="13">
        <f>IFERROR(__xludf.DUMMYFUNCTION("""COMPUTED_VALUE"""),20000.0)</f>
        <v>20000</v>
      </c>
      <c r="G25" s="13">
        <f>IFERROR(__xludf.DUMMYFUNCTION("""COMPUTED_VALUE"""),20000.0)</f>
        <v>20000</v>
      </c>
      <c r="H25" s="14" t="str">
        <f>IFERROR(__xludf.DUMMYFUNCTION("""COMPUTED_VALUE"""),"https://docs.google.com/spreadsheets/d/18CW2MtbrhsDCoN321GfG2jWgqWp04dkMw-vSy-L0tuY/edit?usp=sharing")</f>
        <v>https://docs.google.com/spreadsheets/d/18CW2MtbrhsDCoN321GfG2jWgqWp04dkMw-vSy-L0tuY/edit?usp=sharing</v>
      </c>
      <c r="I25" s="11"/>
    </row>
    <row r="26">
      <c r="A26" s="11" t="str">
        <f>IFERROR(__xludf.DUMMYFUNCTION("""COMPUTED_VALUE"""),"Working")</f>
        <v>Working</v>
      </c>
      <c r="B26" s="12">
        <f>IFERROR(__xludf.DUMMYFUNCTION("""COMPUTED_VALUE"""),44485.0)</f>
        <v>44485</v>
      </c>
      <c r="C26" s="11" t="str">
        <f>IFERROR(__xludf.DUMMYFUNCTION("""COMPUTED_VALUE"""),"Evan Tyrell")</f>
        <v>Evan Tyrell</v>
      </c>
      <c r="D26" s="11" t="str">
        <f>IFERROR(__xludf.DUMMYFUNCTION("""COMPUTED_VALUE"""),"HappyBuys101 (SE)")</f>
        <v>HappyBuys101 (SE)</v>
      </c>
      <c r="E26" s="13">
        <f>IFERROR(__xludf.DUMMYFUNCTION("""COMPUTED_VALUE"""),13073.449999999999)</f>
        <v>13073.45</v>
      </c>
      <c r="F26" s="13">
        <f>IFERROR(__xludf.DUMMYFUNCTION("""COMPUTED_VALUE"""),505.42537878788016)</f>
        <v>505.4253788</v>
      </c>
      <c r="G26" s="13">
        <f>IFERROR(__xludf.DUMMYFUNCTION("""COMPUTED_VALUE"""),3900.0)</f>
        <v>3900</v>
      </c>
      <c r="H26" s="14" t="str">
        <f>IFERROR(__xludf.DUMMYFUNCTION("""COMPUTED_VALUE"""),"https://docs.google.com/spreadsheets/d/1SrxTK5LjByzIE-HHbJxo7kwFReUyTOGetLU2WszYDhM/edit?usp=sharing")</f>
        <v>https://docs.google.com/spreadsheets/d/1SrxTK5LjByzIE-HHbJxo7kwFReUyTOGetLU2WszYDhM/edit?usp=sharing</v>
      </c>
      <c r="I26" s="11"/>
    </row>
    <row r="27">
      <c r="A27" s="11" t="str">
        <f>IFERROR(__xludf.DUMMYFUNCTION("""COMPUTED_VALUE"""),"Working")</f>
        <v>Working</v>
      </c>
      <c r="B27" s="12">
        <f>IFERROR(__xludf.DUMMYFUNCTION("""COMPUTED_VALUE"""),44502.0)</f>
        <v>44502</v>
      </c>
      <c r="C27" s="11" t="str">
        <f>IFERROR(__xludf.DUMMYFUNCTION("""COMPUTED_VALUE"""),"Evan Tyrell")</f>
        <v>Evan Tyrell</v>
      </c>
      <c r="D27" s="11" t="str">
        <f>IFERROR(__xludf.DUMMYFUNCTION("""COMPUTED_VALUE"""),"HappyBuys101 (SE)")</f>
        <v>HappyBuys101 (SE)</v>
      </c>
      <c r="E27" s="13">
        <f>IFERROR(__xludf.DUMMYFUNCTION("""COMPUTED_VALUE"""),0.0)</f>
        <v>0</v>
      </c>
      <c r="F27" s="13">
        <f>IFERROR(__xludf.DUMMYFUNCTION("""COMPUTED_VALUE"""),2900.0)</f>
        <v>2900</v>
      </c>
      <c r="G27" s="13">
        <f>IFERROR(__xludf.DUMMYFUNCTION("""COMPUTED_VALUE"""),2900.0)</f>
        <v>2900</v>
      </c>
      <c r="H27" s="14" t="str">
        <f>IFERROR(__xludf.DUMMYFUNCTION("""COMPUTED_VALUE"""),"https://docs.google.com/spreadsheets/d/1k2LYrnH4z4J6hdU2ExPJw2o_JtMthdtdowTotW5vYIw/edit?usp=sharing")</f>
        <v>https://docs.google.com/spreadsheets/d/1k2LYrnH4z4J6hdU2ExPJw2o_JtMthdtdowTotW5vYIw/edit?usp=sharing</v>
      </c>
      <c r="I27" s="11"/>
    </row>
    <row r="28">
      <c r="A28" s="11" t="str">
        <f>IFERROR(__xludf.DUMMYFUNCTION("""COMPUTED_VALUE"""),"Working")</f>
        <v>Working</v>
      </c>
      <c r="B28" s="12">
        <f>IFERROR(__xludf.DUMMYFUNCTION("""COMPUTED_VALUE"""),44522.0)</f>
        <v>44522</v>
      </c>
      <c r="C28" s="11" t="str">
        <f>IFERROR(__xludf.DUMMYFUNCTION("""COMPUTED_VALUE"""),"Evan Tyrell")</f>
        <v>Evan Tyrell</v>
      </c>
      <c r="D28" s="11" t="str">
        <f>IFERROR(__xludf.DUMMYFUNCTION("""COMPUTED_VALUE"""),"HappyBuys101 (SE)")</f>
        <v>HappyBuys101 (SE)</v>
      </c>
      <c r="E28" s="13">
        <f>IFERROR(__xludf.DUMMYFUNCTION("""COMPUTED_VALUE"""),0.0)</f>
        <v>0</v>
      </c>
      <c r="F28" s="13">
        <f>IFERROR(__xludf.DUMMYFUNCTION("""COMPUTED_VALUE"""),2900.0)</f>
        <v>2900</v>
      </c>
      <c r="G28" s="13">
        <f>IFERROR(__xludf.DUMMYFUNCTION("""COMPUTED_VALUE"""),2900.0)</f>
        <v>2900</v>
      </c>
      <c r="H28" s="14" t="str">
        <f>IFERROR(__xludf.DUMMYFUNCTION("""COMPUTED_VALUE"""),"https://docs.google.com/spreadsheets/d/1ArLth0gN9jWG8yu1b_Gabm7Lto0GmQ72hKx6eCTeItE/edit?usp=sharing")</f>
        <v>https://docs.google.com/spreadsheets/d/1ArLth0gN9jWG8yu1b_Gabm7Lto0GmQ72hKx6eCTeItE/edit?usp=sharing</v>
      </c>
      <c r="I28" s="11"/>
    </row>
    <row r="29">
      <c r="A29" s="11" t="str">
        <f>IFERROR(__xludf.DUMMYFUNCTION("""COMPUTED_VALUE"""),"Working")</f>
        <v>Working</v>
      </c>
      <c r="B29" s="12">
        <f>IFERROR(__xludf.DUMMYFUNCTION("""COMPUTED_VALUE"""),44559.0)</f>
        <v>44559</v>
      </c>
      <c r="C29" s="11" t="str">
        <f>IFERROR(__xludf.DUMMYFUNCTION("""COMPUTED_VALUE"""),"Greg Champagne")</f>
        <v>Greg Champagne</v>
      </c>
      <c r="D29" s="11" t="str">
        <f>IFERROR(__xludf.DUMMYFUNCTION("""COMPUTED_VALUE"""),"Champagne0711 (SE)")</f>
        <v>Champagne0711 (SE)</v>
      </c>
      <c r="E29" s="13">
        <f>IFERROR(__xludf.DUMMYFUNCTION("""COMPUTED_VALUE"""),0.0)</f>
        <v>0</v>
      </c>
      <c r="F29" s="13">
        <f>IFERROR(__xludf.DUMMYFUNCTION("""COMPUTED_VALUE"""),2000.0)</f>
        <v>2000</v>
      </c>
      <c r="G29" s="13">
        <f>IFERROR(__xludf.DUMMYFUNCTION("""COMPUTED_VALUE"""),2000.0)</f>
        <v>2000</v>
      </c>
      <c r="H29" s="14" t="str">
        <f>IFERROR(__xludf.DUMMYFUNCTION("""COMPUTED_VALUE"""),"https://docs.google.com/spreadsheets/d/15uIZusZLVqwYKDbws-3EnMYqbf0JGKPwZDQ8Dln1KXk/edit?usp=sharing")</f>
        <v>https://docs.google.com/spreadsheets/d/15uIZusZLVqwYKDbws-3EnMYqbf0JGKPwZDQ8Dln1KXk/edit?usp=sharing</v>
      </c>
      <c r="I29" s="11"/>
    </row>
    <row r="30">
      <c r="A30" s="11" t="str">
        <f>IFERROR(__xludf.DUMMYFUNCTION("""COMPUTED_VALUE"""),"Working")</f>
        <v>Working</v>
      </c>
      <c r="B30" s="12">
        <f>IFERROR(__xludf.DUMMYFUNCTION("""COMPUTED_VALUE"""),44505.0)</f>
        <v>44505</v>
      </c>
      <c r="C30" s="11" t="str">
        <f>IFERROR(__xludf.DUMMYFUNCTION("""COMPUTED_VALUE"""),"Gustavo Orcajo")</f>
        <v>Gustavo Orcajo</v>
      </c>
      <c r="D30" s="11" t="str">
        <f>IFERROR(__xludf.DUMMYFUNCTION("""COMPUTED_VALUE"""),"Leading Edge Goods (SFBA)")</f>
        <v>Leading Edge Goods (SFBA)</v>
      </c>
      <c r="E30" s="13">
        <f>IFERROR(__xludf.DUMMYFUNCTION("""COMPUTED_VALUE"""),2192.42)</f>
        <v>2192.42</v>
      </c>
      <c r="F30" s="13">
        <f>IFERROR(__xludf.DUMMYFUNCTION("""COMPUTED_VALUE"""),4446.1146969696965)</f>
        <v>4446.114697</v>
      </c>
      <c r="G30" s="13">
        <f>IFERROR(__xludf.DUMMYFUNCTION("""COMPUTED_VALUE"""),5000.0)</f>
        <v>5000</v>
      </c>
      <c r="H30" s="14" t="str">
        <f>IFERROR(__xludf.DUMMYFUNCTION("""COMPUTED_VALUE"""),"https://docs.google.com/spreadsheets/d/1V2midyQsChuNi2xgNCxdofGHHur2DftJhu-aXgELTXY/edit?usp=sharing")</f>
        <v>https://docs.google.com/spreadsheets/d/1V2midyQsChuNi2xgNCxdofGHHur2DftJhu-aXgELTXY/edit?usp=sharing</v>
      </c>
      <c r="I30" s="11"/>
    </row>
    <row r="31">
      <c r="A31" s="11" t="str">
        <f>IFERROR(__xludf.DUMMYFUNCTION("""COMPUTED_VALUE"""),"Working")</f>
        <v>Working</v>
      </c>
      <c r="B31" s="12">
        <f>IFERROR(__xludf.DUMMYFUNCTION("""COMPUTED_VALUE"""),44487.0)</f>
        <v>44487</v>
      </c>
      <c r="C31" s="11" t="str">
        <f>IFERROR(__xludf.DUMMYFUNCTION("""COMPUTED_VALUE"""),"Hai Mai")</f>
        <v>Hai Mai</v>
      </c>
      <c r="D31" s="11" t="str">
        <f>IFERROR(__xludf.DUMMYFUNCTION("""COMPUTED_VALUE"""),"Mai Place (SFBA)")</f>
        <v>Mai Place (SFBA)</v>
      </c>
      <c r="E31" s="13">
        <f>IFERROR(__xludf.DUMMYFUNCTION("""COMPUTED_VALUE"""),16604.64)</f>
        <v>16604.64</v>
      </c>
      <c r="F31" s="13">
        <f>IFERROR(__xludf.DUMMYFUNCTION("""COMPUTED_VALUE"""),703.8400000000001)</f>
        <v>703.84</v>
      </c>
      <c r="G31" s="13">
        <f>IFERROR(__xludf.DUMMYFUNCTION("""COMPUTED_VALUE"""),4855.0)</f>
        <v>4855</v>
      </c>
      <c r="H31" s="14" t="str">
        <f>IFERROR(__xludf.DUMMYFUNCTION("""COMPUTED_VALUE"""),"https://docs.google.com/spreadsheets/d/1AI5ov_UGiZ7ip-kbxPiH1Wl3oB7tEI34aWEZN_pnzvE/edit?usp=sharing")</f>
        <v>https://docs.google.com/spreadsheets/d/1AI5ov_UGiZ7ip-kbxPiH1Wl3oB7tEI34aWEZN_pnzvE/edit?usp=sharing</v>
      </c>
      <c r="I31" s="11"/>
    </row>
    <row r="32">
      <c r="A32" s="11" t="str">
        <f>IFERROR(__xludf.DUMMYFUNCTION("""COMPUTED_VALUE"""),"Working")</f>
        <v>Working</v>
      </c>
      <c r="B32" s="12">
        <f>IFERROR(__xludf.DUMMYFUNCTION("""COMPUTED_VALUE"""),44550.0)</f>
        <v>44550</v>
      </c>
      <c r="C32" s="11" t="str">
        <f>IFERROR(__xludf.DUMMYFUNCTION("""COMPUTED_VALUE"""),"Hanishkumar Patel")</f>
        <v>Hanishkumar Patel</v>
      </c>
      <c r="D32" s="11" t="str">
        <f>IFERROR(__xludf.DUMMYFUNCTION("""COMPUTED_VALUE"""),"VHP Ecom (SFBA)")</f>
        <v>VHP Ecom (SFBA)</v>
      </c>
      <c r="E32" s="13">
        <f>IFERROR(__xludf.DUMMYFUNCTION("""COMPUTED_VALUE"""),0.0)</f>
        <v>0</v>
      </c>
      <c r="F32" s="13">
        <f>IFERROR(__xludf.DUMMYFUNCTION("""COMPUTED_VALUE"""),10000.0)</f>
        <v>10000</v>
      </c>
      <c r="G32" s="13">
        <f>IFERROR(__xludf.DUMMYFUNCTION("""COMPUTED_VALUE"""),10000.0)</f>
        <v>10000</v>
      </c>
      <c r="H32" s="14" t="str">
        <f>IFERROR(__xludf.DUMMYFUNCTION("""COMPUTED_VALUE"""),"https://docs.google.com/spreadsheets/d/1kW9tweHuAXoRxVg7OktBNKvhvgoJ8dNNh-NGR7rXI10/edit?usp=sharing")</f>
        <v>https://docs.google.com/spreadsheets/d/1kW9tweHuAXoRxVg7OktBNKvhvgoJ8dNNh-NGR7rXI10/edit?usp=sharing</v>
      </c>
      <c r="I32" s="11"/>
    </row>
    <row r="33">
      <c r="A33" s="11" t="str">
        <f>IFERROR(__xludf.DUMMYFUNCTION("""COMPUTED_VALUE"""),"Working")</f>
        <v>Working</v>
      </c>
      <c r="B33" s="12">
        <f>IFERROR(__xludf.DUMMYFUNCTION("""COMPUTED_VALUE"""),44559.0)</f>
        <v>44559</v>
      </c>
      <c r="C33" s="11" t="str">
        <f>IFERROR(__xludf.DUMMYFUNCTION("""COMPUTED_VALUE"""),"Imad")</f>
        <v>Imad</v>
      </c>
      <c r="D33" s="11" t="str">
        <f>IFERROR(__xludf.DUMMYFUNCTION("""COMPUTED_VALUE"""),"Shop'Drop (SFBA)")</f>
        <v>Shop'Drop (SFBA)</v>
      </c>
      <c r="E33" s="13">
        <f>IFERROR(__xludf.DUMMYFUNCTION("""COMPUTED_VALUE"""),11883.569999999996)</f>
        <v>11883.57</v>
      </c>
      <c r="F33" s="13">
        <f>IFERROR(__xludf.DUMMYFUNCTION("""COMPUTED_VALUE"""),17029.107500000002)</f>
        <v>17029.1075</v>
      </c>
      <c r="G33" s="13">
        <f>IFERROR(__xludf.DUMMYFUNCTION("""COMPUTED_VALUE"""),20000.0)</f>
        <v>20000</v>
      </c>
      <c r="H33" s="14" t="str">
        <f>IFERROR(__xludf.DUMMYFUNCTION("""COMPUTED_VALUE"""),"https://docs.google.com/spreadsheets/d/1im3fmAnrAtZvIkSnJn6eEKc54iVq1Tq_XoUapw1U578/edit?usp=sharing")</f>
        <v>https://docs.google.com/spreadsheets/d/1im3fmAnrAtZvIkSnJn6eEKc54iVq1Tq_XoUapw1U578/edit?usp=sharing</v>
      </c>
      <c r="I33" s="11"/>
    </row>
    <row r="34">
      <c r="A34" s="11" t="str">
        <f>IFERROR(__xludf.DUMMYFUNCTION("""COMPUTED_VALUE"""),"Working")</f>
        <v>Working</v>
      </c>
      <c r="B34" s="12">
        <f>IFERROR(__xludf.DUMMYFUNCTION("""COMPUTED_VALUE"""),44529.0)</f>
        <v>44529</v>
      </c>
      <c r="C34" s="11" t="str">
        <f>IFERROR(__xludf.DUMMYFUNCTION("""COMPUTED_VALUE"""),"Israel Cuevas")</f>
        <v>Israel Cuevas</v>
      </c>
      <c r="D34" s="11" t="str">
        <f>IFERROR(__xludf.DUMMYFUNCTION("""COMPUTED_VALUE"""),"Goods N Abox (Elite)")</f>
        <v>Goods N Abox (Elite)</v>
      </c>
      <c r="E34" s="13">
        <f>IFERROR(__xludf.DUMMYFUNCTION("""COMPUTED_VALUE"""),0.0)</f>
        <v>0</v>
      </c>
      <c r="F34" s="13">
        <f>IFERROR(__xludf.DUMMYFUNCTION("""COMPUTED_VALUE"""),19420.0)</f>
        <v>19420</v>
      </c>
      <c r="G34" s="13">
        <f>IFERROR(__xludf.DUMMYFUNCTION("""COMPUTED_VALUE"""),19420.0)</f>
        <v>19420</v>
      </c>
      <c r="H34" s="14" t="str">
        <f>IFERROR(__xludf.DUMMYFUNCTION("""COMPUTED_VALUE"""),"https://docs.google.com/spreadsheets/d/1mifpnQZ8dHv0RH6hvdd8tl83QKFnUYLC5H9741mtpuQ/edit?usp=sharing")</f>
        <v>https://docs.google.com/spreadsheets/d/1mifpnQZ8dHv0RH6hvdd8tl83QKFnUYLC5H9741mtpuQ/edit?usp=sharing</v>
      </c>
      <c r="I34" s="11"/>
    </row>
    <row r="35">
      <c r="A35" s="11" t="str">
        <f>IFERROR(__xludf.DUMMYFUNCTION("""COMPUTED_VALUE"""),"Working")</f>
        <v>Working</v>
      </c>
      <c r="B35" s="12">
        <f>IFERROR(__xludf.DUMMYFUNCTION("""COMPUTED_VALUE"""),44522.0)</f>
        <v>44522</v>
      </c>
      <c r="C35" s="11" t="str">
        <f>IFERROR(__xludf.DUMMYFUNCTION("""COMPUTED_VALUE"""),"Jaaziel Sotolongo ")</f>
        <v>Jaaziel Sotolongo </v>
      </c>
      <c r="D35" s="11" t="str">
        <f>IFERROR(__xludf.DUMMYFUNCTION("""COMPUTED_VALUE"""),"KCYLLC (SFBA)")</f>
        <v>KCYLLC (SFBA)</v>
      </c>
      <c r="E35" s="13">
        <f>IFERROR(__xludf.DUMMYFUNCTION("""COMPUTED_VALUE"""),529.0)</f>
        <v>529</v>
      </c>
      <c r="F35" s="13">
        <f>IFERROR(__xludf.DUMMYFUNCTION("""COMPUTED_VALUE"""),6639.69696969697)</f>
        <v>6639.69697</v>
      </c>
      <c r="G35" s="13">
        <f>IFERROR(__xludf.DUMMYFUNCTION("""COMPUTED_VALUE"""),6800.0)</f>
        <v>6800</v>
      </c>
      <c r="H35" s="14" t="str">
        <f>IFERROR(__xludf.DUMMYFUNCTION("""COMPUTED_VALUE"""),"https://docs.google.com/spreadsheets/d/1PqI3GsctdYEz93fij-GXIbCcRAN-FhKQESVNvkQk9kA/edit?usp=sharing")</f>
        <v>https://docs.google.com/spreadsheets/d/1PqI3GsctdYEz93fij-GXIbCcRAN-FhKQESVNvkQk9kA/edit?usp=sharing</v>
      </c>
      <c r="I35" s="11"/>
    </row>
    <row r="36">
      <c r="A36" s="11" t="str">
        <f>IFERROR(__xludf.DUMMYFUNCTION("""COMPUTED_VALUE"""),"Working")</f>
        <v>Working</v>
      </c>
      <c r="B36" s="12">
        <f>IFERROR(__xludf.DUMMYFUNCTION("""COMPUTED_VALUE"""),44494.0)</f>
        <v>44494</v>
      </c>
      <c r="C36" s="11" t="str">
        <f>IFERROR(__xludf.DUMMYFUNCTION("""COMPUTED_VALUE"""),"Jake Morrow")</f>
        <v>Jake Morrow</v>
      </c>
      <c r="D36" s="11" t="str">
        <f>IFERROR(__xludf.DUMMYFUNCTION("""COMPUTED_VALUE"""),"Deals Now! (Elite)")</f>
        <v>Deals Now! (Elite)</v>
      </c>
      <c r="E36" s="13">
        <f>IFERROR(__xludf.DUMMYFUNCTION("""COMPUTED_VALUE"""),2850.87)</f>
        <v>2850.87</v>
      </c>
      <c r="F36" s="13">
        <f>IFERROR(__xludf.DUMMYFUNCTION("""COMPUTED_VALUE"""),24136.1)</f>
        <v>24136.1</v>
      </c>
      <c r="G36" s="13">
        <f>IFERROR(__xludf.DUMMYFUNCTION("""COMPUTED_VALUE"""),25000.0)</f>
        <v>25000</v>
      </c>
      <c r="H36" s="14" t="str">
        <f>IFERROR(__xludf.DUMMYFUNCTION("""COMPUTED_VALUE"""),"https://docs.google.com/spreadsheets/d/1UxhTHpMEQ7bIbBd5dFeEv9NRRFnLSN0Ima5ibv0RtMY/edit?usp=sharing")</f>
        <v>https://docs.google.com/spreadsheets/d/1UxhTHpMEQ7bIbBd5dFeEv9NRRFnLSN0Ima5ibv0RtMY/edit?usp=sharing</v>
      </c>
      <c r="I36" s="11"/>
    </row>
    <row r="37">
      <c r="A37" s="11" t="str">
        <f>IFERROR(__xludf.DUMMYFUNCTION("""COMPUTED_VALUE"""),"Working")</f>
        <v>Working</v>
      </c>
      <c r="B37" s="12">
        <f>IFERROR(__xludf.DUMMYFUNCTION("""COMPUTED_VALUE"""),44523.0)</f>
        <v>44523</v>
      </c>
      <c r="C37" s="11" t="str">
        <f>IFERROR(__xludf.DUMMYFUNCTION("""COMPUTED_VALUE"""),"Jake Morrow ")</f>
        <v>Jake Morrow </v>
      </c>
      <c r="D37" s="11" t="str">
        <f>IFERROR(__xludf.DUMMYFUNCTION("""COMPUTED_VALUE"""),"Deals Now! (Elite)")</f>
        <v>Deals Now! (Elite)</v>
      </c>
      <c r="E37" s="13">
        <f>IFERROR(__xludf.DUMMYFUNCTION("""COMPUTED_VALUE"""),23201.080000000005)</f>
        <v>23201.08</v>
      </c>
      <c r="F37" s="13">
        <f>IFERROR(__xludf.DUMMYFUNCTION("""COMPUTED_VALUE"""),2532.7299999999987)</f>
        <v>2532.73</v>
      </c>
      <c r="G37" s="13">
        <f>IFERROR(__xludf.DUMMYFUNCTION("""COMPUTED_VALUE"""),8333.0)</f>
        <v>8333</v>
      </c>
      <c r="H37" s="14" t="str">
        <f>IFERROR(__xludf.DUMMYFUNCTION("""COMPUTED_VALUE"""),"https://docs.google.com/spreadsheets/d/1L8Va0_ue9ePiBadociDTI853gzuKjS1T7aiJ14wKe_w/edit?usp=sharing")</f>
        <v>https://docs.google.com/spreadsheets/d/1L8Va0_ue9ePiBadociDTI853gzuKjS1T7aiJ14wKe_w/edit?usp=sharing</v>
      </c>
      <c r="I37" s="11"/>
    </row>
    <row r="38">
      <c r="A38" s="11" t="str">
        <f>IFERROR(__xludf.DUMMYFUNCTION("""COMPUTED_VALUE"""),"Working")</f>
        <v>Working</v>
      </c>
      <c r="B38" s="12">
        <f>IFERROR(__xludf.DUMMYFUNCTION("""COMPUTED_VALUE"""),44519.0)</f>
        <v>44519</v>
      </c>
      <c r="C38" s="11" t="str">
        <f>IFERROR(__xludf.DUMMYFUNCTION("""COMPUTED_VALUE"""),"Janice Valencia")</f>
        <v>Janice Valencia</v>
      </c>
      <c r="D38" s="11" t="str">
        <f>IFERROR(__xludf.DUMMYFUNCTION("""COMPUTED_VALUE"""),"Family Ecommere LLC (Elite)")</f>
        <v>Family Ecommere LLC (Elite)</v>
      </c>
      <c r="E38" s="13">
        <f>IFERROR(__xludf.DUMMYFUNCTION("""COMPUTED_VALUE"""),33130.74000000001)</f>
        <v>33130.74</v>
      </c>
      <c r="F38" s="13">
        <f>IFERROR(__xludf.DUMMYFUNCTION("""COMPUTED_VALUE"""),16221.786590909094)</f>
        <v>16221.78659</v>
      </c>
      <c r="G38" s="13">
        <f>IFERROR(__xludf.DUMMYFUNCTION("""COMPUTED_VALUE"""),25000.0)</f>
        <v>25000</v>
      </c>
      <c r="H38" s="14" t="str">
        <f>IFERROR(__xludf.DUMMYFUNCTION("""COMPUTED_VALUE"""),"https://docs.google.com/spreadsheets/d/1h-nN3TWnl-RjeesBAN2B1Z69o41b7a8u2UYrg3XLDyg/edit?usp=sharing")</f>
        <v>https://docs.google.com/spreadsheets/d/1h-nN3TWnl-RjeesBAN2B1Z69o41b7a8u2UYrg3XLDyg/edit?usp=sharing</v>
      </c>
      <c r="I38" s="11"/>
    </row>
    <row r="39">
      <c r="A39" s="11" t="str">
        <f>IFERROR(__xludf.DUMMYFUNCTION("""COMPUTED_VALUE"""),"Working")</f>
        <v>Working</v>
      </c>
      <c r="B39" s="12">
        <f>IFERROR(__xludf.DUMMYFUNCTION("""COMPUTED_VALUE"""),44529.0)</f>
        <v>44529</v>
      </c>
      <c r="C39" s="11" t="str">
        <f>IFERROR(__xludf.DUMMYFUNCTION("""COMPUTED_VALUE"""),"Jerry Newsome")</f>
        <v>Jerry Newsome</v>
      </c>
      <c r="D39" s="11" t="str">
        <f>IFERROR(__xludf.DUMMYFUNCTION("""COMPUTED_VALUE"""),"JBO LLC (SE)")</f>
        <v>JBO LLC (SE)</v>
      </c>
      <c r="E39" s="13">
        <f>IFERROR(__xludf.DUMMYFUNCTION("""COMPUTED_VALUE"""),3811.46)</f>
        <v>3811.46</v>
      </c>
      <c r="F39" s="13">
        <f>IFERROR(__xludf.DUMMYFUNCTION("""COMPUTED_VALUE"""),3656.2545454545457)</f>
        <v>3656.254545</v>
      </c>
      <c r="G39" s="13">
        <f>IFERROR(__xludf.DUMMYFUNCTION("""COMPUTED_VALUE"""),4850.0)</f>
        <v>4850</v>
      </c>
      <c r="H39" s="14" t="str">
        <f>IFERROR(__xludf.DUMMYFUNCTION("""COMPUTED_VALUE"""),"https://docs.google.com/spreadsheets/d/1ctCeB9FQtkxsiZ5ysmGpJmrlfmZQA1j2M6J33bGtRZ4/edit?usp=sharing")</f>
        <v>https://docs.google.com/spreadsheets/d/1ctCeB9FQtkxsiZ5ysmGpJmrlfmZQA1j2M6J33bGtRZ4/edit?usp=sharing</v>
      </c>
      <c r="I39" s="11"/>
    </row>
    <row r="40">
      <c r="A40" s="11" t="str">
        <f>IFERROR(__xludf.DUMMYFUNCTION("""COMPUTED_VALUE"""),"Working")</f>
        <v>Working</v>
      </c>
      <c r="B40" s="12">
        <f>IFERROR(__xludf.DUMMYFUNCTION("""COMPUTED_VALUE"""),44502.0)</f>
        <v>44502</v>
      </c>
      <c r="C40" s="11" t="str">
        <f>IFERROR(__xludf.DUMMYFUNCTION("""COMPUTED_VALUE"""),"Johny Omega")</f>
        <v>Johny Omega</v>
      </c>
      <c r="D40" s="11" t="str">
        <f>IFERROR(__xludf.DUMMYFUNCTION("""COMPUTED_VALUE"""),"Vision Alchemy (SFBA)")</f>
        <v>Vision Alchemy (SFBA)</v>
      </c>
      <c r="E40" s="13">
        <f>IFERROR(__xludf.DUMMYFUNCTION("""COMPUTED_VALUE"""),1754.38)</f>
        <v>1754.38</v>
      </c>
      <c r="F40" s="13">
        <f>IFERROR(__xludf.DUMMYFUNCTION("""COMPUTED_VALUE"""),2468.3696969696966)</f>
        <v>2468.369697</v>
      </c>
      <c r="G40" s="13">
        <f>IFERROR(__xludf.DUMMYFUNCTION("""COMPUTED_VALUE"""),3000.0)</f>
        <v>3000</v>
      </c>
      <c r="H40" s="14" t="str">
        <f>IFERROR(__xludf.DUMMYFUNCTION("""COMPUTED_VALUE"""),"https://docs.google.com/spreadsheets/d/1dVuVzd_kW06zwZ4yFIdE9uOg55l6lMSLYSHB46jgJVE/edit?usp=sharing")</f>
        <v>https://docs.google.com/spreadsheets/d/1dVuVzd_kW06zwZ4yFIdE9uOg55l6lMSLYSHB46jgJVE/edit?usp=sharing</v>
      </c>
      <c r="I40" s="11"/>
    </row>
    <row r="41">
      <c r="A41" s="11" t="str">
        <f>IFERROR(__xludf.DUMMYFUNCTION("""COMPUTED_VALUE"""),"Working")</f>
        <v>Working</v>
      </c>
      <c r="B41" s="12">
        <f>IFERROR(__xludf.DUMMYFUNCTION("""COMPUTED_VALUE"""),44543.0)</f>
        <v>44543</v>
      </c>
      <c r="C41" s="11" t="str">
        <f>IFERROR(__xludf.DUMMYFUNCTION("""COMPUTED_VALUE"""),"Jonathan Amalfitano")</f>
        <v>Jonathan Amalfitano</v>
      </c>
      <c r="D41" s="11" t="str">
        <f>IFERROR(__xludf.DUMMYFUNCTION("""COMPUTED_VALUE"""),"Southpaw Advantage LLC (SFBA)")</f>
        <v>Southpaw Advantage LLC (SFBA)</v>
      </c>
      <c r="E41" s="13">
        <f>IFERROR(__xludf.DUMMYFUNCTION("""COMPUTED_VALUE"""),0.0)</f>
        <v>0</v>
      </c>
      <c r="F41" s="13">
        <f>IFERROR(__xludf.DUMMYFUNCTION("""COMPUTED_VALUE"""),10000.0)</f>
        <v>10000</v>
      </c>
      <c r="G41" s="13">
        <f>IFERROR(__xludf.DUMMYFUNCTION("""COMPUTED_VALUE"""),10000.0)</f>
        <v>10000</v>
      </c>
      <c r="H41" s="14" t="str">
        <f>IFERROR(__xludf.DUMMYFUNCTION("""COMPUTED_VALUE"""),"https://docs.google.com/spreadsheets/d/1iOeKNWrF18EOMnwaV3cgg3DYzr_m8uFc5_86D4XAQJo/edit?usp=sharing")</f>
        <v>https://docs.google.com/spreadsheets/d/1iOeKNWrF18EOMnwaV3cgg3DYzr_m8uFc5_86D4XAQJo/edit?usp=sharing</v>
      </c>
      <c r="I41" s="11"/>
    </row>
    <row r="42">
      <c r="A42" s="11" t="str">
        <f>IFERROR(__xludf.DUMMYFUNCTION("""COMPUTED_VALUE"""),"Working")</f>
        <v>Working</v>
      </c>
      <c r="B42" s="12">
        <f>IFERROR(__xludf.DUMMYFUNCTION("""COMPUTED_VALUE"""),44547.0)</f>
        <v>44547</v>
      </c>
      <c r="C42" s="11" t="str">
        <f>IFERROR(__xludf.DUMMYFUNCTION("""COMPUTED_VALUE"""),"Jose Alvarez")</f>
        <v>Jose Alvarez</v>
      </c>
      <c r="D42" s="11" t="str">
        <f>IFERROR(__xludf.DUMMYFUNCTION("""COMPUTED_VALUE"""),"SmarterBuyers (SE)")</f>
        <v>SmarterBuyers (SE)</v>
      </c>
      <c r="E42" s="13">
        <f>IFERROR(__xludf.DUMMYFUNCTION("""COMPUTED_VALUE"""),0.0)</f>
        <v>0</v>
      </c>
      <c r="F42" s="13">
        <f>IFERROR(__xludf.DUMMYFUNCTION("""COMPUTED_VALUE"""),1950.0)</f>
        <v>1950</v>
      </c>
      <c r="G42" s="13">
        <f>IFERROR(__xludf.DUMMYFUNCTION("""COMPUTED_VALUE"""),1950.0)</f>
        <v>1950</v>
      </c>
      <c r="H42" s="14" t="str">
        <f>IFERROR(__xludf.DUMMYFUNCTION("""COMPUTED_VALUE"""),"https://docs.google.com/spreadsheets/d/1M4wqJfxlLHrv31jHCdPAZ18XJKr_Ct0bTNMJJBlTDw4/edit?usp=sharing")</f>
        <v>https://docs.google.com/spreadsheets/d/1M4wqJfxlLHrv31jHCdPAZ18XJKr_Ct0bTNMJJBlTDw4/edit?usp=sharing</v>
      </c>
      <c r="I42" s="11"/>
    </row>
    <row r="43">
      <c r="A43" s="11" t="str">
        <f>IFERROR(__xludf.DUMMYFUNCTION("""COMPUTED_VALUE"""),"Working")</f>
        <v>Working</v>
      </c>
      <c r="B43" s="12">
        <f>IFERROR(__xludf.DUMMYFUNCTION("""COMPUTED_VALUE"""),44533.0)</f>
        <v>44533</v>
      </c>
      <c r="C43" s="11" t="str">
        <f>IFERROR(__xludf.DUMMYFUNCTION("""COMPUTED_VALUE"""),"Jose Callado")</f>
        <v>Jose Callado</v>
      </c>
      <c r="D43" s="11" t="str">
        <f>IFERROR(__xludf.DUMMYFUNCTION("""COMPUTED_VALUE"""),"Quicktraks (SFBA)")</f>
        <v>Quicktraks (SFBA)</v>
      </c>
      <c r="E43" s="13">
        <f>IFERROR(__xludf.DUMMYFUNCTION("""COMPUTED_VALUE"""),0.0)</f>
        <v>0</v>
      </c>
      <c r="F43" s="13">
        <f>IFERROR(__xludf.DUMMYFUNCTION("""COMPUTED_VALUE"""),25000.0)</f>
        <v>25000</v>
      </c>
      <c r="G43" s="13">
        <f>IFERROR(__xludf.DUMMYFUNCTION("""COMPUTED_VALUE"""),25000.0)</f>
        <v>25000</v>
      </c>
      <c r="H43" s="14" t="str">
        <f>IFERROR(__xludf.DUMMYFUNCTION("""COMPUTED_VALUE"""),"https://docs.google.com/spreadsheets/d/1RzhUXOVl3A874_uRA9VQemaQa6patZvzwU2_aHw9u6Q/edit?usp=sharing")</f>
        <v>https://docs.google.com/spreadsheets/d/1RzhUXOVl3A874_uRA9VQemaQa6patZvzwU2_aHw9u6Q/edit?usp=sharing</v>
      </c>
      <c r="I43" s="11"/>
    </row>
    <row r="44">
      <c r="A44" s="11" t="str">
        <f>IFERROR(__xludf.DUMMYFUNCTION("""COMPUTED_VALUE"""),"Working")</f>
        <v>Working</v>
      </c>
      <c r="B44" s="12">
        <f>IFERROR(__xludf.DUMMYFUNCTION("""COMPUTED_VALUE"""),44510.0)</f>
        <v>44510</v>
      </c>
      <c r="C44" s="11" t="str">
        <f>IFERROR(__xludf.DUMMYFUNCTION("""COMPUTED_VALUE"""),"Kara Cooper")</f>
        <v>Kara Cooper</v>
      </c>
      <c r="D44" s="11" t="str">
        <f>IFERROR(__xludf.DUMMYFUNCTION("""COMPUTED_VALUE"""),"Karuka (SE)")</f>
        <v>Karuka (SE)</v>
      </c>
      <c r="E44" s="13">
        <f>IFERROR(__xludf.DUMMYFUNCTION("""COMPUTED_VALUE"""),2862.4700000000003)</f>
        <v>2862.47</v>
      </c>
      <c r="F44" s="13">
        <f>IFERROR(__xludf.DUMMYFUNCTION("""COMPUTED_VALUE"""),1532.5848484848484)</f>
        <v>1532.584848</v>
      </c>
      <c r="G44" s="13">
        <f>IFERROR(__xludf.DUMMYFUNCTION("""COMPUTED_VALUE"""),2400.0)</f>
        <v>2400</v>
      </c>
      <c r="H44" s="14" t="str">
        <f>IFERROR(__xludf.DUMMYFUNCTION("""COMPUTED_VALUE"""),"https://docs.google.com/spreadsheets/d/17DmOS3rC2l63gdTi9jUJSc_TK8zprN4-vyYxNUHFS1s/edit?usp=sharing")</f>
        <v>https://docs.google.com/spreadsheets/d/17DmOS3rC2l63gdTi9jUJSc_TK8zprN4-vyYxNUHFS1s/edit?usp=sharing</v>
      </c>
      <c r="I44" s="11"/>
    </row>
    <row r="45">
      <c r="A45" s="11" t="str">
        <f>IFERROR(__xludf.DUMMYFUNCTION("""COMPUTED_VALUE"""),"Working")</f>
        <v>Working</v>
      </c>
      <c r="B45" s="12">
        <f>IFERROR(__xludf.DUMMYFUNCTION("""COMPUTED_VALUE"""),44550.0)</f>
        <v>44550</v>
      </c>
      <c r="C45" s="11" t="str">
        <f>IFERROR(__xludf.DUMMYFUNCTION("""COMPUTED_VALUE"""),"Kara Cooper")</f>
        <v>Kara Cooper</v>
      </c>
      <c r="D45" s="11" t="str">
        <f>IFERROR(__xludf.DUMMYFUNCTION("""COMPUTED_VALUE"""),"Karuka (SE)")</f>
        <v>Karuka (SE)</v>
      </c>
      <c r="E45" s="13">
        <f>IFERROR(__xludf.DUMMYFUNCTION("""COMPUTED_VALUE"""),0.0)</f>
        <v>0</v>
      </c>
      <c r="F45" s="13">
        <f>IFERROR(__xludf.DUMMYFUNCTION("""COMPUTED_VALUE"""),2500.0)</f>
        <v>2500</v>
      </c>
      <c r="G45" s="13">
        <f>IFERROR(__xludf.DUMMYFUNCTION("""COMPUTED_VALUE"""),2500.0)</f>
        <v>2500</v>
      </c>
      <c r="H45" s="14" t="str">
        <f>IFERROR(__xludf.DUMMYFUNCTION("""COMPUTED_VALUE"""),"https://docs.google.com/spreadsheets/d/1xaQfig_r-14125Yb6-w9o9Bv62iblelN1CvMQKnxrKg/edit?usp=sharing")</f>
        <v>https://docs.google.com/spreadsheets/d/1xaQfig_r-14125Yb6-w9o9Bv62iblelN1CvMQKnxrKg/edit?usp=sharing</v>
      </c>
      <c r="I45" s="11"/>
    </row>
    <row r="46">
      <c r="A46" s="11" t="str">
        <f>IFERROR(__xludf.DUMMYFUNCTION("""COMPUTED_VALUE"""),"Working")</f>
        <v>Working</v>
      </c>
      <c r="B46" s="12">
        <f>IFERROR(__xludf.DUMMYFUNCTION("""COMPUTED_VALUE"""),44501.0)</f>
        <v>44501</v>
      </c>
      <c r="C46" s="11" t="str">
        <f>IFERROR(__xludf.DUMMYFUNCTION("""COMPUTED_VALUE"""),"Kim Pham")</f>
        <v>Kim Pham</v>
      </c>
      <c r="D46" s="11" t="str">
        <f>IFERROR(__xludf.DUMMYFUNCTION("""COMPUTED_VALUE"""),"Pham Ecom Corporation (SFBA)")</f>
        <v>Pham Ecom Corporation (SFBA)</v>
      </c>
      <c r="E46" s="13">
        <f>IFERROR(__xludf.DUMMYFUNCTION("""COMPUTED_VALUE"""),9838.940000000002)</f>
        <v>9838.94</v>
      </c>
      <c r="F46" s="13">
        <f>IFERROR(__xludf.DUMMYFUNCTION("""COMPUTED_VALUE"""),189.1513636363611)</f>
        <v>189.1513636</v>
      </c>
      <c r="G46" s="13">
        <f>IFERROR(__xludf.DUMMYFUNCTION("""COMPUTED_VALUE"""),3000.0)</f>
        <v>3000</v>
      </c>
      <c r="H46" s="14" t="str">
        <f>IFERROR(__xludf.DUMMYFUNCTION("""COMPUTED_VALUE"""),"https://docs.google.com/spreadsheets/d/16p-EZhOHtm0RF_or_RM1h9S_CA27TjPtOiWHnDuAIJk/edit?usp=sharing")</f>
        <v>https://docs.google.com/spreadsheets/d/16p-EZhOHtm0RF_or_RM1h9S_CA27TjPtOiWHnDuAIJk/edit?usp=sharing</v>
      </c>
      <c r="I46" s="11"/>
    </row>
    <row r="47">
      <c r="A47" s="11" t="str">
        <f>IFERROR(__xludf.DUMMYFUNCTION("""COMPUTED_VALUE"""),"Working")</f>
        <v>Working</v>
      </c>
      <c r="B47" s="12">
        <f>IFERROR(__xludf.DUMMYFUNCTION("""COMPUTED_VALUE"""),44530.0)</f>
        <v>44530</v>
      </c>
      <c r="C47" s="11" t="str">
        <f>IFERROR(__xludf.DUMMYFUNCTION("""COMPUTED_VALUE"""),"Kim Pham")</f>
        <v>Kim Pham</v>
      </c>
      <c r="D47" s="11" t="str">
        <f>IFERROR(__xludf.DUMMYFUNCTION("""COMPUTED_VALUE"""),"Pham Ecom Corp (SFBA)")</f>
        <v>Pham Ecom Corp (SFBA)</v>
      </c>
      <c r="E47" s="13">
        <f>IFERROR(__xludf.DUMMYFUNCTION("""COMPUTED_VALUE"""),1343.7)</f>
        <v>1343.7</v>
      </c>
      <c r="F47" s="13">
        <f>IFERROR(__xludf.DUMMYFUNCTION("""COMPUTED_VALUE"""),2592.818181818182)</f>
        <v>2592.818182</v>
      </c>
      <c r="G47" s="13">
        <f>IFERROR(__xludf.DUMMYFUNCTION("""COMPUTED_VALUE"""),3000.0)</f>
        <v>3000</v>
      </c>
      <c r="H47" s="14" t="str">
        <f>IFERROR(__xludf.DUMMYFUNCTION("""COMPUTED_VALUE"""),"https://docs.google.com/spreadsheets/d/1qLLwk2Pjjyi3q3rY4PKVVzkAvrWdYfGwCntU6Z68MJo/edit?usp=sharing")</f>
        <v>https://docs.google.com/spreadsheets/d/1qLLwk2Pjjyi3q3rY4PKVVzkAvrWdYfGwCntU6Z68MJo/edit?usp=sharing</v>
      </c>
      <c r="I47" s="11"/>
    </row>
    <row r="48">
      <c r="A48" s="11" t="str">
        <f>IFERROR(__xludf.DUMMYFUNCTION("""COMPUTED_VALUE"""),"Working")</f>
        <v>Working</v>
      </c>
      <c r="B48" s="12">
        <f>IFERROR(__xludf.DUMMYFUNCTION("""COMPUTED_VALUE"""),44498.0)</f>
        <v>44498</v>
      </c>
      <c r="C48" s="11" t="str">
        <f>IFERROR(__xludf.DUMMYFUNCTION("""COMPUTED_VALUE"""),"Latif McDonald")</f>
        <v>Latif McDonald</v>
      </c>
      <c r="D48" s="11" t="str">
        <f>IFERROR(__xludf.DUMMYFUNCTION("""COMPUTED_VALUE"""),"Now LLC (SFBA)")</f>
        <v>Now LLC (SFBA)</v>
      </c>
      <c r="E48" s="13">
        <f>IFERROR(__xludf.DUMMYFUNCTION("""COMPUTED_VALUE"""),11039.279999999997)</f>
        <v>11039.28</v>
      </c>
      <c r="F48" s="13">
        <f>IFERROR(__xludf.DUMMYFUNCTION("""COMPUTED_VALUE"""),120.91537878787994)</f>
        <v>120.9153788</v>
      </c>
      <c r="G48" s="13">
        <f>IFERROR(__xludf.DUMMYFUNCTION("""COMPUTED_VALUE"""),3000.0)</f>
        <v>3000</v>
      </c>
      <c r="H48" s="14" t="str">
        <f>IFERROR(__xludf.DUMMYFUNCTION("""COMPUTED_VALUE"""),"https://docs.google.com/spreadsheets/d/1AD573Ts-NFxn9nUvllGujYsYvwUV9ME_IYQL-8oF4NU/edit?usp=sharing")</f>
        <v>https://docs.google.com/spreadsheets/d/1AD573Ts-NFxn9nUvllGujYsYvwUV9ME_IYQL-8oF4NU/edit?usp=sharing</v>
      </c>
      <c r="I48" s="11"/>
    </row>
    <row r="49">
      <c r="A49" s="11" t="str">
        <f>IFERROR(__xludf.DUMMYFUNCTION("""COMPUTED_VALUE"""),"Working")</f>
        <v>Working</v>
      </c>
      <c r="B49" s="12">
        <f>IFERROR(__xludf.DUMMYFUNCTION("""COMPUTED_VALUE"""),44546.0)</f>
        <v>44546</v>
      </c>
      <c r="C49" s="11" t="str">
        <f>IFERROR(__xludf.DUMMYFUNCTION("""COMPUTED_VALUE"""),"Lebona Hailu")</f>
        <v>Lebona Hailu</v>
      </c>
      <c r="D49" s="11" t="str">
        <f>IFERROR(__xludf.DUMMYFUNCTION("""COMPUTED_VALUE"""),"Merkato Goods LLC (Elite)")</f>
        <v>Merkato Goods LLC (Elite)</v>
      </c>
      <c r="E49" s="13">
        <f>IFERROR(__xludf.DUMMYFUNCTION("""COMPUTED_VALUE"""),0.0)</f>
        <v>0</v>
      </c>
      <c r="F49" s="13">
        <f>IFERROR(__xludf.DUMMYFUNCTION("""COMPUTED_VALUE"""),8000.0)</f>
        <v>8000</v>
      </c>
      <c r="G49" s="13">
        <f>IFERROR(__xludf.DUMMYFUNCTION("""COMPUTED_VALUE"""),8000.0)</f>
        <v>8000</v>
      </c>
      <c r="H49" s="14" t="str">
        <f>IFERROR(__xludf.DUMMYFUNCTION("""COMPUTED_VALUE"""),"https://docs.google.com/spreadsheets/d/1RClZ6RZUytCz7iG8NXC-xGvyBRiXrSO7APTlNSJqD9w/edit?usp=sharing")</f>
        <v>https://docs.google.com/spreadsheets/d/1RClZ6RZUytCz7iG8NXC-xGvyBRiXrSO7APTlNSJqD9w/edit?usp=sharing</v>
      </c>
      <c r="I49" s="11"/>
    </row>
    <row r="50">
      <c r="A50" s="11" t="str">
        <f>IFERROR(__xludf.DUMMYFUNCTION("""COMPUTED_VALUE"""),"Working")</f>
        <v>Working</v>
      </c>
      <c r="B50" s="12">
        <f>IFERROR(__xludf.DUMMYFUNCTION("""COMPUTED_VALUE"""),44490.0)</f>
        <v>44490</v>
      </c>
      <c r="C50" s="11" t="str">
        <f>IFERROR(__xludf.DUMMYFUNCTION("""COMPUTED_VALUE"""),"Lowell Aquino")</f>
        <v>Lowell Aquino</v>
      </c>
      <c r="D50" s="11" t="str">
        <f>IFERROR(__xludf.DUMMYFUNCTION("""COMPUTED_VALUE"""),"Princessa Trading (SFBA)")</f>
        <v>Princessa Trading (SFBA)</v>
      </c>
      <c r="E50" s="13">
        <f>IFERROR(__xludf.DUMMYFUNCTION("""COMPUTED_VALUE"""),25252.39)</f>
        <v>25252.39</v>
      </c>
      <c r="F50" s="13">
        <f>IFERROR(__xludf.DUMMYFUNCTION("""COMPUTED_VALUE"""),3176.56537878788)</f>
        <v>3176.565379</v>
      </c>
      <c r="G50" s="13">
        <f>IFERROR(__xludf.DUMMYFUNCTION("""COMPUTED_VALUE"""),10000.0)</f>
        <v>10000</v>
      </c>
      <c r="H50" s="14" t="str">
        <f>IFERROR(__xludf.DUMMYFUNCTION("""COMPUTED_VALUE"""),"https://docs.google.com/spreadsheets/d/1ReTK-bCNZviDbHCrAZarIllpYO_QMmo23hp8dhxeyLY/edit?usp=sharing")</f>
        <v>https://docs.google.com/spreadsheets/d/1ReTK-bCNZviDbHCrAZarIllpYO_QMmo23hp8dhxeyLY/edit?usp=sharing</v>
      </c>
      <c r="I50" s="11"/>
    </row>
    <row r="51">
      <c r="A51" s="11" t="str">
        <f>IFERROR(__xludf.DUMMYFUNCTION("""COMPUTED_VALUE"""),"Working")</f>
        <v>Working</v>
      </c>
      <c r="B51" s="12">
        <f>IFERROR(__xludf.DUMMYFUNCTION("""COMPUTED_VALUE"""),44485.0)</f>
        <v>44485</v>
      </c>
      <c r="C51" s="11" t="str">
        <f>IFERROR(__xludf.DUMMYFUNCTION("""COMPUTED_VALUE"""),"Luis &amp; Erika")</f>
        <v>Luis &amp; Erika</v>
      </c>
      <c r="D51" s="11" t="str">
        <f>IFERROR(__xludf.DUMMYFUNCTION("""COMPUTED_VALUE"""),"LE's E-Commerce LLC (SFBA)")</f>
        <v>LE's E-Commerce LLC (SFBA)</v>
      </c>
      <c r="E51" s="13">
        <f>IFERROR(__xludf.DUMMYFUNCTION("""COMPUTED_VALUE"""),13870.08)</f>
        <v>13870.08</v>
      </c>
      <c r="F51" s="13">
        <f>IFERROR(__xludf.DUMMYFUNCTION("""COMPUTED_VALUE"""),1486.2651515151515)</f>
        <v>1486.265152</v>
      </c>
      <c r="G51" s="13">
        <f>IFERROR(__xludf.DUMMYFUNCTION("""COMPUTED_VALUE"""),5000.0)</f>
        <v>5000</v>
      </c>
      <c r="H51" s="14" t="str">
        <f>IFERROR(__xludf.DUMMYFUNCTION("""COMPUTED_VALUE"""),"https://docs.google.com/spreadsheets/d/15aI6arJBx_z9N_3r4X-n2l4sOF8DnS-OwKBPPNeyNLA/edit?usp=sharing")</f>
        <v>https://docs.google.com/spreadsheets/d/15aI6arJBx_z9N_3r4X-n2l4sOF8DnS-OwKBPPNeyNLA/edit?usp=sharing</v>
      </c>
      <c r="I51" s="11"/>
    </row>
    <row r="52">
      <c r="A52" s="11" t="str">
        <f>IFERROR(__xludf.DUMMYFUNCTION("""COMPUTED_VALUE"""),"Working")</f>
        <v>Working</v>
      </c>
      <c r="B52" s="12">
        <f>IFERROR(__xludf.DUMMYFUNCTION("""COMPUTED_VALUE"""),44466.0)</f>
        <v>44466</v>
      </c>
      <c r="C52" s="11" t="str">
        <f>IFERROR(__xludf.DUMMYFUNCTION("""COMPUTED_VALUE"""),"Marcus Apodaca")</f>
        <v>Marcus Apodaca</v>
      </c>
      <c r="D52" s="11" t="str">
        <f>IFERROR(__xludf.DUMMYFUNCTION("""COMPUTED_VALUE"""),"MediaNow23 (SFBA)")</f>
        <v>MediaNow23 (SFBA)</v>
      </c>
      <c r="E52" s="13">
        <f>IFERROR(__xludf.DUMMYFUNCTION("""COMPUTED_VALUE"""),90012.42000000001)</f>
        <v>90012.42</v>
      </c>
      <c r="F52" s="13">
        <f>IFERROR(__xludf.DUMMYFUNCTION("""COMPUTED_VALUE"""),793.4771212121377)</f>
        <v>793.4771212</v>
      </c>
      <c r="G52" s="13">
        <f>IFERROR(__xludf.DUMMYFUNCTION("""COMPUTED_VALUE"""),25000.0)</f>
        <v>25000</v>
      </c>
      <c r="H52" s="14" t="str">
        <f>IFERROR(__xludf.DUMMYFUNCTION("""COMPUTED_VALUE"""),"https://docs.google.com/spreadsheets/d/1DXeME4q8gqhdzmupaoLtRE4NM2U1w6xqqV6BSNQwGwk/edit?usp=sharing")</f>
        <v>https://docs.google.com/spreadsheets/d/1DXeME4q8gqhdzmupaoLtRE4NM2U1w6xqqV6BSNQwGwk/edit?usp=sharing</v>
      </c>
      <c r="I52" s="11"/>
    </row>
    <row r="53">
      <c r="A53" s="11" t="str">
        <f>IFERROR(__xludf.DUMMYFUNCTION("""COMPUTED_VALUE"""),"Working")</f>
        <v>Working</v>
      </c>
      <c r="B53" s="12">
        <f>IFERROR(__xludf.DUMMYFUNCTION("""COMPUTED_VALUE"""),44470.0)</f>
        <v>44470</v>
      </c>
      <c r="C53" s="11" t="str">
        <f>IFERROR(__xludf.DUMMYFUNCTION("""COMPUTED_VALUE"""),"Maria Foley")</f>
        <v>Maria Foley</v>
      </c>
      <c r="D53" s="11" t="str">
        <f>IFERROR(__xludf.DUMMYFUNCTION("""COMPUTED_VALUE"""),"MJMF Marketplace Inc (SFBA)")</f>
        <v>MJMF Marketplace Inc (SFBA)</v>
      </c>
      <c r="E53" s="13">
        <f>IFERROR(__xludf.DUMMYFUNCTION("""COMPUTED_VALUE"""),46388.390000000014)</f>
        <v>46388.39</v>
      </c>
      <c r="F53" s="13">
        <f>IFERROR(__xludf.DUMMYFUNCTION("""COMPUTED_VALUE"""),3682.4608333333235)</f>
        <v>3682.460833</v>
      </c>
      <c r="G53" s="13">
        <f>IFERROR(__xludf.DUMMYFUNCTION("""COMPUTED_VALUE"""),15500.0)</f>
        <v>15500</v>
      </c>
      <c r="H53" s="14" t="str">
        <f>IFERROR(__xludf.DUMMYFUNCTION("""COMPUTED_VALUE"""),"https://docs.google.com/spreadsheets/d/1IRyHvIwk0qu2Zw8IDsP9QecYhlLxWBG0QAQG2CsDLVo/edit?usp=sharing")</f>
        <v>https://docs.google.com/spreadsheets/d/1IRyHvIwk0qu2Zw8IDsP9QecYhlLxWBG0QAQG2CsDLVo/edit?usp=sharing</v>
      </c>
      <c r="I53" s="11"/>
    </row>
    <row r="54">
      <c r="A54" s="11" t="str">
        <f>IFERROR(__xludf.DUMMYFUNCTION("""COMPUTED_VALUE"""),"Working")</f>
        <v>Working</v>
      </c>
      <c r="B54" s="12">
        <f>IFERROR(__xludf.DUMMYFUNCTION("""COMPUTED_VALUE"""),44501.0)</f>
        <v>44501</v>
      </c>
      <c r="C54" s="11" t="str">
        <f>IFERROR(__xludf.DUMMYFUNCTION("""COMPUTED_VALUE"""),"Marlon Byers")</f>
        <v>Marlon Byers</v>
      </c>
      <c r="D54" s="11" t="str">
        <f>IFERROR(__xludf.DUMMYFUNCTION("""COMPUTED_VALUE"""),"Superior Connection (SE)")</f>
        <v>Superior Connection (SE)</v>
      </c>
      <c r="E54" s="13">
        <f>IFERROR(__xludf.DUMMYFUNCTION("""COMPUTED_VALUE"""),15170.05)</f>
        <v>15170.05</v>
      </c>
      <c r="F54" s="13">
        <f>IFERROR(__xludf.DUMMYFUNCTION("""COMPUTED_VALUE"""),1021.085000000001)</f>
        <v>1021.085</v>
      </c>
      <c r="G54" s="13">
        <f>IFERROR(__xludf.DUMMYFUNCTION("""COMPUTED_VALUE"""),5000.0)</f>
        <v>5000</v>
      </c>
      <c r="H54" s="14" t="str">
        <f>IFERROR(__xludf.DUMMYFUNCTION("""COMPUTED_VALUE"""),"https://docs.google.com/spreadsheets/d/1mST-x5vbngnYevjTf3oI-CCWxqaxZg2dV2rdMD7YJtI/edit?usp=sharing")</f>
        <v>https://docs.google.com/spreadsheets/d/1mST-x5vbngnYevjTf3oI-CCWxqaxZg2dV2rdMD7YJtI/edit?usp=sharing</v>
      </c>
      <c r="I54" s="11"/>
    </row>
    <row r="55">
      <c r="A55" s="11" t="str">
        <f>IFERROR(__xludf.DUMMYFUNCTION("""COMPUTED_VALUE"""),"Working")</f>
        <v>Working</v>
      </c>
      <c r="B55" s="12">
        <f>IFERROR(__xludf.DUMMYFUNCTION("""COMPUTED_VALUE"""),44531.0)</f>
        <v>44531</v>
      </c>
      <c r="C55" s="11" t="str">
        <f>IFERROR(__xludf.DUMMYFUNCTION("""COMPUTED_VALUE"""),"Marlon Byers")</f>
        <v>Marlon Byers</v>
      </c>
      <c r="D55" s="11" t="str">
        <f>IFERROR(__xludf.DUMMYFUNCTION("""COMPUTED_VALUE"""),"Superior Connection (SE)")</f>
        <v>Superior Connection (SE)</v>
      </c>
      <c r="E55" s="13">
        <f>IFERROR(__xludf.DUMMYFUNCTION("""COMPUTED_VALUE"""),0.0)</f>
        <v>0</v>
      </c>
      <c r="F55" s="13">
        <f>IFERROR(__xludf.DUMMYFUNCTION("""COMPUTED_VALUE"""),5000.0)</f>
        <v>5000</v>
      </c>
      <c r="G55" s="13">
        <f>IFERROR(__xludf.DUMMYFUNCTION("""COMPUTED_VALUE"""),5000.0)</f>
        <v>5000</v>
      </c>
      <c r="H55" s="14" t="str">
        <f>IFERROR(__xludf.DUMMYFUNCTION("""COMPUTED_VALUE"""),"https://docs.google.com/spreadsheets/d/1tMKTAGeb845muIvyBF4b4xKBGzr5_W53obMMFubcGNg/edit?usp=sharing")</f>
        <v>https://docs.google.com/spreadsheets/d/1tMKTAGeb845muIvyBF4b4xKBGzr5_W53obMMFubcGNg/edit?usp=sharing</v>
      </c>
      <c r="I55" s="11"/>
    </row>
    <row r="56">
      <c r="A56" s="11" t="str">
        <f>IFERROR(__xludf.DUMMYFUNCTION("""COMPUTED_VALUE"""),"Working")</f>
        <v>Working</v>
      </c>
      <c r="B56" s="12">
        <f>IFERROR(__xludf.DUMMYFUNCTION("""COMPUTED_VALUE"""),44510.0)</f>
        <v>44510</v>
      </c>
      <c r="C56" s="11" t="str">
        <f>IFERROR(__xludf.DUMMYFUNCTION("""COMPUTED_VALUE"""),"Martin")</f>
        <v>Martin</v>
      </c>
      <c r="D56" s="11" t="str">
        <f>IFERROR(__xludf.DUMMYFUNCTION("""COMPUTED_VALUE"""),"Chmn 25 (SFBA)")</f>
        <v>Chmn 25 (SFBA)</v>
      </c>
      <c r="E56" s="13">
        <f>IFERROR(__xludf.DUMMYFUNCTION("""COMPUTED_VALUE"""),15062.609999999999)</f>
        <v>15062.61</v>
      </c>
      <c r="F56" s="13">
        <f>IFERROR(__xludf.DUMMYFUNCTION("""COMPUTED_VALUE"""),1123.9308333333333)</f>
        <v>1123.930833</v>
      </c>
      <c r="G56" s="13">
        <f>IFERROR(__xludf.DUMMYFUNCTION("""COMPUTED_VALUE"""),5000.0)</f>
        <v>5000</v>
      </c>
      <c r="H56" s="14" t="str">
        <f>IFERROR(__xludf.DUMMYFUNCTION("""COMPUTED_VALUE"""),"https://docs.google.com/spreadsheets/d/1mXWsl3P4mPzIwhckzeaRXvKljZWO1UbONA0JMWTy_no/edit?usp=sharing")</f>
        <v>https://docs.google.com/spreadsheets/d/1mXWsl3P4mPzIwhckzeaRXvKljZWO1UbONA0JMWTy_no/edit?usp=sharing</v>
      </c>
      <c r="I56" s="11"/>
    </row>
    <row r="57">
      <c r="A57" s="11" t="str">
        <f>IFERROR(__xludf.DUMMYFUNCTION("""COMPUTED_VALUE"""),"Working")</f>
        <v>Working</v>
      </c>
      <c r="B57" s="12">
        <f>IFERROR(__xludf.DUMMYFUNCTION("""COMPUTED_VALUE"""),44530.0)</f>
        <v>44530</v>
      </c>
      <c r="C57" s="11" t="str">
        <f>IFERROR(__xludf.DUMMYFUNCTION("""COMPUTED_VALUE"""),"Marvine Panning")</f>
        <v>Marvine Panning</v>
      </c>
      <c r="D57" s="11" t="str">
        <f>IFERROR(__xludf.DUMMYFUNCTION("""COMPUTED_VALUE"""),"DMV Boutique (SFBA)")</f>
        <v>DMV Boutique (SFBA)</v>
      </c>
      <c r="E57" s="13">
        <f>IFERROR(__xludf.DUMMYFUNCTION("""COMPUTED_VALUE"""),0.0)</f>
        <v>0</v>
      </c>
      <c r="F57" s="13">
        <f>IFERROR(__xludf.DUMMYFUNCTION("""COMPUTED_VALUE"""),5000.0)</f>
        <v>5000</v>
      </c>
      <c r="G57" s="13">
        <f>IFERROR(__xludf.DUMMYFUNCTION("""COMPUTED_VALUE"""),5000.0)</f>
        <v>5000</v>
      </c>
      <c r="H57" s="14" t="str">
        <f>IFERROR(__xludf.DUMMYFUNCTION("""COMPUTED_VALUE"""),"https://docs.google.com/spreadsheets/d/1bu-_6PL-bcZXyHT8CKl-YzenHncNXWKREpySvyLFLKY/edit?usp=sharing")</f>
        <v>https://docs.google.com/spreadsheets/d/1bu-_6PL-bcZXyHT8CKl-YzenHncNXWKREpySvyLFLKY/edit?usp=sharing</v>
      </c>
      <c r="I57" s="11"/>
    </row>
    <row r="58">
      <c r="A58" s="11" t="str">
        <f>IFERROR(__xludf.DUMMYFUNCTION("""COMPUTED_VALUE"""),"Working")</f>
        <v>Working</v>
      </c>
      <c r="B58" s="12">
        <f>IFERROR(__xludf.DUMMYFUNCTION("""COMPUTED_VALUE"""),44485.0)</f>
        <v>44485</v>
      </c>
      <c r="C58" s="11" t="str">
        <f>IFERROR(__xludf.DUMMYFUNCTION("""COMPUTED_VALUE"""),"Mykel Ruptash")</f>
        <v>Mykel Ruptash</v>
      </c>
      <c r="D58" s="11" t="str">
        <f>IFERROR(__xludf.DUMMYFUNCTION("""COMPUTED_VALUE"""),"Blue Essence (SE)")</f>
        <v>Blue Essence (SE)</v>
      </c>
      <c r="E58" s="13">
        <f>IFERROR(__xludf.DUMMYFUNCTION("""COMPUTED_VALUE"""),2160.7200000000003)</f>
        <v>2160.72</v>
      </c>
      <c r="F58" s="13">
        <f>IFERROR(__xludf.DUMMYFUNCTION("""COMPUTED_VALUE"""),345.23636363636365)</f>
        <v>345.2363636</v>
      </c>
      <c r="G58" s="13">
        <f>IFERROR(__xludf.DUMMYFUNCTION("""COMPUTED_VALUE"""),1000.0)</f>
        <v>1000</v>
      </c>
      <c r="H58" s="14" t="str">
        <f>IFERROR(__xludf.DUMMYFUNCTION("""COMPUTED_VALUE"""),"https://docs.google.com/spreadsheets/d/1BPaflpCOkVcS1KhZP8NVKXSPktWDgk9ipZUowYn2uFE/edit?usp=sharing")</f>
        <v>https://docs.google.com/spreadsheets/d/1BPaflpCOkVcS1KhZP8NVKXSPktWDgk9ipZUowYn2uFE/edit?usp=sharing</v>
      </c>
      <c r="I58" s="11"/>
    </row>
    <row r="59">
      <c r="A59" s="11" t="str">
        <f>IFERROR(__xludf.DUMMYFUNCTION("""COMPUTED_VALUE"""),"Working")</f>
        <v>Working</v>
      </c>
      <c r="B59" s="12">
        <f>IFERROR(__xludf.DUMMYFUNCTION("""COMPUTED_VALUE"""),44502.0)</f>
        <v>44502</v>
      </c>
      <c r="C59" s="11" t="str">
        <f>IFERROR(__xludf.DUMMYFUNCTION("""COMPUTED_VALUE"""),"Mykel Ruptash")</f>
        <v>Mykel Ruptash</v>
      </c>
      <c r="D59" s="11" t="str">
        <f>IFERROR(__xludf.DUMMYFUNCTION("""COMPUTED_VALUE"""),"Blue Essence (SE)")</f>
        <v>Blue Essence (SE)</v>
      </c>
      <c r="E59" s="13">
        <f>IFERROR(__xludf.DUMMYFUNCTION("""COMPUTED_VALUE"""),2955.79)</f>
        <v>2955.79</v>
      </c>
      <c r="F59" s="13">
        <f>IFERROR(__xludf.DUMMYFUNCTION("""COMPUTED_VALUE"""),261.0525)</f>
        <v>261.0525</v>
      </c>
      <c r="G59" s="13">
        <f>IFERROR(__xludf.DUMMYFUNCTION("""COMPUTED_VALUE"""),1000.0)</f>
        <v>1000</v>
      </c>
      <c r="H59" s="14" t="str">
        <f>IFERROR(__xludf.DUMMYFUNCTION("""COMPUTED_VALUE"""),"https://docs.google.com/spreadsheets/d/1H4zvCnE1zZRZCah8ARuueCX19n0o4qifNROOOmORCi4/edit?usp=sharing")</f>
        <v>https://docs.google.com/spreadsheets/d/1H4zvCnE1zZRZCah8ARuueCX19n0o4qifNROOOmORCi4/edit?usp=sharing</v>
      </c>
      <c r="I59" s="11"/>
    </row>
    <row r="60">
      <c r="A60" s="11" t="str">
        <f>IFERROR(__xludf.DUMMYFUNCTION("""COMPUTED_VALUE"""),"Working")</f>
        <v>Working</v>
      </c>
      <c r="B60" s="12">
        <f>IFERROR(__xludf.DUMMYFUNCTION("""COMPUTED_VALUE"""),44542.0)</f>
        <v>44542</v>
      </c>
      <c r="C60" s="11" t="str">
        <f>IFERROR(__xludf.DUMMYFUNCTION("""COMPUTED_VALUE"""),"Mykel Ruptash")</f>
        <v>Mykel Ruptash</v>
      </c>
      <c r="D60" s="11" t="str">
        <f>IFERROR(__xludf.DUMMYFUNCTION("""COMPUTED_VALUE"""),"Blue Essence (SE)")</f>
        <v>Blue Essence (SE)</v>
      </c>
      <c r="E60" s="13">
        <f>IFERROR(__xludf.DUMMYFUNCTION("""COMPUTED_VALUE"""),0.0)</f>
        <v>0</v>
      </c>
      <c r="F60" s="13">
        <f>IFERROR(__xludf.DUMMYFUNCTION("""COMPUTED_VALUE"""),1000.0)</f>
        <v>1000</v>
      </c>
      <c r="G60" s="13">
        <f>IFERROR(__xludf.DUMMYFUNCTION("""COMPUTED_VALUE"""),1000.0)</f>
        <v>1000</v>
      </c>
      <c r="H60" s="14" t="str">
        <f>IFERROR(__xludf.DUMMYFUNCTION("""COMPUTED_VALUE"""),"https://docs.google.com/spreadsheets/d/1FkGJgQKKiUtssQIAEADzyRqLXncSY9mINvXkesMyg-w/edit?usp=sharing")</f>
        <v>https://docs.google.com/spreadsheets/d/1FkGJgQKKiUtssQIAEADzyRqLXncSY9mINvXkesMyg-w/edit?usp=sharing</v>
      </c>
      <c r="I60" s="11"/>
    </row>
    <row r="61">
      <c r="A61" s="11" t="str">
        <f>IFERROR(__xludf.DUMMYFUNCTION("""COMPUTED_VALUE"""),"Working")</f>
        <v>Working</v>
      </c>
      <c r="B61" s="12">
        <f>IFERROR(__xludf.DUMMYFUNCTION("""COMPUTED_VALUE"""),44516.0)</f>
        <v>44516</v>
      </c>
      <c r="C61" s="11" t="str">
        <f>IFERROR(__xludf.DUMMYFUNCTION("""COMPUTED_VALUE"""),"Nic Pluto")</f>
        <v>Nic Pluto</v>
      </c>
      <c r="D61" s="11" t="str">
        <f>IFERROR(__xludf.DUMMYFUNCTION("""COMPUTED_VALUE"""),"Global Goodz (SE)")</f>
        <v>Global Goodz (SE)</v>
      </c>
      <c r="E61" s="13">
        <f>IFERROR(__xludf.DUMMYFUNCTION("""COMPUTED_VALUE"""),4477.99)</f>
        <v>4477.99</v>
      </c>
      <c r="F61" s="13">
        <f>IFERROR(__xludf.DUMMYFUNCTION("""COMPUTED_VALUE"""),1643.0333333333342)</f>
        <v>1643.033333</v>
      </c>
      <c r="G61" s="13">
        <f>IFERROR(__xludf.DUMMYFUNCTION("""COMPUTED_VALUE"""),3000.0)</f>
        <v>3000</v>
      </c>
      <c r="H61" s="14" t="str">
        <f>IFERROR(__xludf.DUMMYFUNCTION("""COMPUTED_VALUE"""),"https://docs.google.com/spreadsheets/d/1Xc_9zrEWdV-n1lQZjoaKxPpZLFGgpU946UA0WtOIsb4/edit?usp=sharing")</f>
        <v>https://docs.google.com/spreadsheets/d/1Xc_9zrEWdV-n1lQZjoaKxPpZLFGgpU946UA0WtOIsb4/edit?usp=sharing</v>
      </c>
      <c r="I61" s="11"/>
    </row>
    <row r="62">
      <c r="A62" s="11" t="str">
        <f>IFERROR(__xludf.DUMMYFUNCTION("""COMPUTED_VALUE"""),"Working")</f>
        <v>Working</v>
      </c>
      <c r="B62" s="12">
        <f>IFERROR(__xludf.DUMMYFUNCTION("""COMPUTED_VALUE"""),44516.0)</f>
        <v>44516</v>
      </c>
      <c r="C62" s="11" t="str">
        <f>IFERROR(__xludf.DUMMYFUNCTION("""COMPUTED_VALUE"""),"Ori Byers")</f>
        <v>Ori Byers</v>
      </c>
      <c r="D62" s="11" t="str">
        <f>IFERROR(__xludf.DUMMYFUNCTION("""COMPUTED_VALUE"""),"Ori Da Boss Lady LLC (SE)")</f>
        <v>Ori Da Boss Lady LLC (SE)</v>
      </c>
      <c r="E62" s="13">
        <f>IFERROR(__xludf.DUMMYFUNCTION("""COMPUTED_VALUE"""),2428.96)</f>
        <v>2428.96</v>
      </c>
      <c r="F62" s="13">
        <f>IFERROR(__xludf.DUMMYFUNCTION("""COMPUTED_VALUE"""),2392.76)</f>
        <v>2392.76</v>
      </c>
      <c r="G62" s="13">
        <f>IFERROR(__xludf.DUMMYFUNCTION("""COMPUTED_VALUE"""),3000.0)</f>
        <v>3000</v>
      </c>
      <c r="H62" s="14" t="str">
        <f>IFERROR(__xludf.DUMMYFUNCTION("""COMPUTED_VALUE"""),"https://docs.google.com/spreadsheets/d/1Ugdwr92miNDFew0xKos_QKdnb8glTzcqejlScok-Nro/edit?usp=sharing")</f>
        <v>https://docs.google.com/spreadsheets/d/1Ugdwr92miNDFew0xKos_QKdnb8glTzcqejlScok-Nro/edit?usp=sharing</v>
      </c>
      <c r="I62" s="11"/>
    </row>
    <row r="63">
      <c r="A63" s="11" t="str">
        <f>IFERROR(__xludf.DUMMYFUNCTION("""COMPUTED_VALUE"""),"Working")</f>
        <v>Working</v>
      </c>
      <c r="B63" s="12">
        <f>IFERROR(__xludf.DUMMYFUNCTION("""COMPUTED_VALUE"""),44502.0)</f>
        <v>44502</v>
      </c>
      <c r="C63" s="11" t="str">
        <f>IFERROR(__xludf.DUMMYFUNCTION("""COMPUTED_VALUE"""),"Oscar Fontalvo")</f>
        <v>Oscar Fontalvo</v>
      </c>
      <c r="D63" s="11" t="str">
        <f>IFERROR(__xludf.DUMMYFUNCTION("""COMPUTED_VALUE"""),"MIA Fashion Deals (SFBA)")</f>
        <v>MIA Fashion Deals (SFBA)</v>
      </c>
      <c r="E63" s="13">
        <f>IFERROR(__xludf.DUMMYFUNCTION("""COMPUTED_VALUE"""),5621.49)</f>
        <v>5621.49</v>
      </c>
      <c r="F63" s="13">
        <f>IFERROR(__xludf.DUMMYFUNCTION("""COMPUTED_VALUE"""),1296.5181818181813)</f>
        <v>1296.518182</v>
      </c>
      <c r="G63" s="13">
        <f>IFERROR(__xludf.DUMMYFUNCTION("""COMPUTED_VALUE"""),3000.0)</f>
        <v>3000</v>
      </c>
      <c r="H63" s="14" t="str">
        <f>IFERROR(__xludf.DUMMYFUNCTION("""COMPUTED_VALUE"""),"https://docs.google.com/spreadsheets/d/1L6j5FTYR7TtquC8frJ2zN7MySsuSSGfN_cZEW9cQ0ms/edit?usp=sharing")</f>
        <v>https://docs.google.com/spreadsheets/d/1L6j5FTYR7TtquC8frJ2zN7MySsuSSGfN_cZEW9cQ0ms/edit?usp=sharing</v>
      </c>
      <c r="I63" s="11"/>
    </row>
    <row r="64">
      <c r="A64" s="11" t="str">
        <f>IFERROR(__xludf.DUMMYFUNCTION("""COMPUTED_VALUE"""),"Working")</f>
        <v>Working</v>
      </c>
      <c r="B64" s="12">
        <f>IFERROR(__xludf.DUMMYFUNCTION("""COMPUTED_VALUE"""),44488.0)</f>
        <v>44488</v>
      </c>
      <c r="C64" s="11" t="str">
        <f>IFERROR(__xludf.DUMMYFUNCTION("""COMPUTED_VALUE"""),"Payton &amp; Lauren")</f>
        <v>Payton &amp; Lauren</v>
      </c>
      <c r="D64" s="11" t="str">
        <f>IFERROR(__xludf.DUMMYFUNCTION("""COMPUTED_VALUE"""),"Fixx Supply CO. (SFBA)")</f>
        <v>Fixx Supply CO. (SFBA)</v>
      </c>
      <c r="E64" s="13">
        <f>IFERROR(__xludf.DUMMYFUNCTION("""COMPUTED_VALUE"""),12532.959999999997)</f>
        <v>12532.96</v>
      </c>
      <c r="F64" s="13">
        <f>IFERROR(__xludf.DUMMYFUNCTION("""COMPUTED_VALUE"""),1666.7600000000007)</f>
        <v>1666.76</v>
      </c>
      <c r="G64" s="13">
        <f>IFERROR(__xludf.DUMMYFUNCTION("""COMPUTED_VALUE"""),4800.0)</f>
        <v>4800</v>
      </c>
      <c r="H64" s="14" t="str">
        <f>IFERROR(__xludf.DUMMYFUNCTION("""COMPUTED_VALUE"""),"https://docs.google.com/spreadsheets/d/1mH2ZNv4NiPd-a0TofKj73vZHyArw-SC_etZyKFYwWCg/edit?usp=sharing")</f>
        <v>https://docs.google.com/spreadsheets/d/1mH2ZNv4NiPd-a0TofKj73vZHyArw-SC_etZyKFYwWCg/edit?usp=sharing</v>
      </c>
      <c r="I64" s="11"/>
    </row>
    <row r="65">
      <c r="A65" s="11" t="str">
        <f>IFERROR(__xludf.DUMMYFUNCTION("""COMPUTED_VALUE"""),"Working")</f>
        <v>Working</v>
      </c>
      <c r="B65" s="12">
        <f>IFERROR(__xludf.DUMMYFUNCTION("""COMPUTED_VALUE"""),44511.0)</f>
        <v>44511</v>
      </c>
      <c r="C65" s="11" t="str">
        <f>IFERROR(__xludf.DUMMYFUNCTION("""COMPUTED_VALUE"""),"Payton Kruidenier")</f>
        <v>Payton Kruidenier</v>
      </c>
      <c r="D65" s="11" t="str">
        <f>IFERROR(__xludf.DUMMYFUNCTION("""COMPUTED_VALUE"""),"Fixx Supply (SFBA)")</f>
        <v>Fixx Supply (SFBA)</v>
      </c>
      <c r="E65" s="13">
        <f>IFERROR(__xludf.DUMMYFUNCTION("""COMPUTED_VALUE"""),0.0)</f>
        <v>0</v>
      </c>
      <c r="F65" s="13">
        <f>IFERROR(__xludf.DUMMYFUNCTION("""COMPUTED_VALUE"""),2000.0)</f>
        <v>2000</v>
      </c>
      <c r="G65" s="13">
        <f>IFERROR(__xludf.DUMMYFUNCTION("""COMPUTED_VALUE"""),2000.0)</f>
        <v>2000</v>
      </c>
      <c r="H65" s="14" t="str">
        <f>IFERROR(__xludf.DUMMYFUNCTION("""COMPUTED_VALUE"""),"https://docs.google.com/spreadsheets/d/1UOL7ZOEEILGVZHp26SNmS_Rf4yyFka69x28INupx_i8/edit?usp=sharing")</f>
        <v>https://docs.google.com/spreadsheets/d/1UOL7ZOEEILGVZHp26SNmS_Rf4yyFka69x28INupx_i8/edit?usp=sharing</v>
      </c>
      <c r="I65" s="11"/>
    </row>
    <row r="66">
      <c r="A66" s="11" t="str">
        <f>IFERROR(__xludf.DUMMYFUNCTION("""COMPUTED_VALUE"""),"Working")</f>
        <v>Working</v>
      </c>
      <c r="B66" s="12">
        <f>IFERROR(__xludf.DUMMYFUNCTION("""COMPUTED_VALUE"""),44544.0)</f>
        <v>44544</v>
      </c>
      <c r="C66" s="11" t="str">
        <f>IFERROR(__xludf.DUMMYFUNCTION("""COMPUTED_VALUE"""),"Payton Kruidenier")</f>
        <v>Payton Kruidenier</v>
      </c>
      <c r="D66" s="11" t="str">
        <f>IFERROR(__xludf.DUMMYFUNCTION("""COMPUTED_VALUE"""),"Fixx Supply CO. (SFBA)")</f>
        <v>Fixx Supply CO. (SFBA)</v>
      </c>
      <c r="E66" s="13">
        <f>IFERROR(__xludf.DUMMYFUNCTION("""COMPUTED_VALUE"""),0.0)</f>
        <v>0</v>
      </c>
      <c r="F66" s="13">
        <f>IFERROR(__xludf.DUMMYFUNCTION("""COMPUTED_VALUE"""),2700.0)</f>
        <v>2700</v>
      </c>
      <c r="G66" s="13">
        <f>IFERROR(__xludf.DUMMYFUNCTION("""COMPUTED_VALUE"""),2700.0)</f>
        <v>2700</v>
      </c>
      <c r="H66" s="14" t="str">
        <f>IFERROR(__xludf.DUMMYFUNCTION("""COMPUTED_VALUE"""),"https://docs.google.com/spreadsheets/d/18UVqJ6dvhKB73BOl5jqzN4iYAuSH9ncrm88gYahSErU/edit?usp=sharing")</f>
        <v>https://docs.google.com/spreadsheets/d/18UVqJ6dvhKB73BOl5jqzN4iYAuSH9ncrm88gYahSErU/edit?usp=sharing</v>
      </c>
      <c r="I66" s="11"/>
    </row>
    <row r="67">
      <c r="A67" s="11" t="str">
        <f>IFERROR(__xludf.DUMMYFUNCTION("""COMPUTED_VALUE"""),"Working")</f>
        <v>Working</v>
      </c>
      <c r="B67" s="12">
        <f>IFERROR(__xludf.DUMMYFUNCTION("""COMPUTED_VALUE"""),44469.0)</f>
        <v>44469</v>
      </c>
      <c r="C67" s="11" t="str">
        <f>IFERROR(__xludf.DUMMYFUNCTION("""COMPUTED_VALUE"""),"Pedro Mendoza")</f>
        <v>Pedro Mendoza</v>
      </c>
      <c r="D67" s="11" t="str">
        <f>IFERROR(__xludf.DUMMYFUNCTION("""COMPUTED_VALUE"""),"Marjories Place (SFBA)")</f>
        <v>Marjories Place (SFBA)</v>
      </c>
      <c r="E67" s="13">
        <f>IFERROR(__xludf.DUMMYFUNCTION("""COMPUTED_VALUE"""),3657.9399999999996)</f>
        <v>3657.94</v>
      </c>
      <c r="F67" s="13">
        <f>IFERROR(__xludf.DUMMYFUNCTION("""COMPUTED_VALUE"""),585.5150000000001)</f>
        <v>585.515</v>
      </c>
      <c r="G67" s="13">
        <f>IFERROR(__xludf.DUMMYFUNCTION("""COMPUTED_VALUE"""),1500.0)</f>
        <v>1500</v>
      </c>
      <c r="H67" s="14" t="str">
        <f>IFERROR(__xludf.DUMMYFUNCTION("""COMPUTED_VALUE"""),"https://docs.google.com/spreadsheets/d/1Y6IDQbt4zDZFxRu7tzg9oHZwCI1Vl_yfptUKlt9m1w8/edit?usp=sharing")</f>
        <v>https://docs.google.com/spreadsheets/d/1Y6IDQbt4zDZFxRu7tzg9oHZwCI1Vl_yfptUKlt9m1w8/edit?usp=sharing</v>
      </c>
      <c r="I67" s="11"/>
    </row>
    <row r="68">
      <c r="A68" s="11" t="str">
        <f>IFERROR(__xludf.DUMMYFUNCTION("""COMPUTED_VALUE"""),"Working")</f>
        <v>Working</v>
      </c>
      <c r="B68" s="12">
        <f>IFERROR(__xludf.DUMMYFUNCTION("""COMPUTED_VALUE"""),44501.0)</f>
        <v>44501</v>
      </c>
      <c r="C68" s="11" t="str">
        <f>IFERROR(__xludf.DUMMYFUNCTION("""COMPUTED_VALUE"""),"Peter Pen")</f>
        <v>Peter Pen</v>
      </c>
      <c r="D68" s="11" t="str">
        <f>IFERROR(__xludf.DUMMYFUNCTION("""COMPUTED_VALUE"""),"P2 Ecom Soutions LLC / My Origin")</f>
        <v>P2 Ecom Soutions LLC / My Origin</v>
      </c>
      <c r="E68" s="13">
        <f>IFERROR(__xludf.DUMMYFUNCTION("""COMPUTED_VALUE"""),24678.89000000001)</f>
        <v>24678.89</v>
      </c>
      <c r="F68" s="13">
        <f>IFERROR(__xludf.DUMMYFUNCTION("""COMPUTED_VALUE"""),2968.054015151516)</f>
        <v>2968.054015</v>
      </c>
      <c r="G68" s="13">
        <f>IFERROR(__xludf.DUMMYFUNCTION("""COMPUTED_VALUE"""),9710.0)</f>
        <v>9710</v>
      </c>
      <c r="H68" s="14" t="str">
        <f>IFERROR(__xludf.DUMMYFUNCTION("""COMPUTED_VALUE"""),"https://docs.google.com/spreadsheets/d/1fyzxIpP7UIjR0-1QFqqUVnKnt8eachwYNfCY-Y3GMM4/edit?usp=sharing")</f>
        <v>https://docs.google.com/spreadsheets/d/1fyzxIpP7UIjR0-1QFqqUVnKnt8eachwYNfCY-Y3GMM4/edit?usp=sharing</v>
      </c>
      <c r="I68" s="11"/>
    </row>
    <row r="69">
      <c r="A69" s="11" t="str">
        <f>IFERROR(__xludf.DUMMYFUNCTION("""COMPUTED_VALUE"""),"Working")</f>
        <v>Working</v>
      </c>
      <c r="B69" s="12">
        <f>IFERROR(__xludf.DUMMYFUNCTION("""COMPUTED_VALUE"""),44509.0)</f>
        <v>44509</v>
      </c>
      <c r="C69" s="11" t="str">
        <f>IFERROR(__xludf.DUMMYFUNCTION("""COMPUTED_VALUE"""),"Preston Bailiff")</f>
        <v>Preston Bailiff</v>
      </c>
      <c r="D69" s="11" t="str">
        <f>IFERROR(__xludf.DUMMYFUNCTION("""COMPUTED_VALUE"""),"Preston Bailiff (SE)")</f>
        <v>Preston Bailiff (SE)</v>
      </c>
      <c r="E69" s="13">
        <f>IFERROR(__xludf.DUMMYFUNCTION("""COMPUTED_VALUE"""),5894.91)</f>
        <v>5894.91</v>
      </c>
      <c r="F69" s="13">
        <f>IFERROR(__xludf.DUMMYFUNCTION("""COMPUTED_VALUE"""),213.66363636363417)</f>
        <v>213.6636364</v>
      </c>
      <c r="G69" s="13">
        <f>IFERROR(__xludf.DUMMYFUNCTION("""COMPUTED_VALUE"""),2000.0)</f>
        <v>2000</v>
      </c>
      <c r="H69" s="14" t="str">
        <f>IFERROR(__xludf.DUMMYFUNCTION("""COMPUTED_VALUE"""),"https://docs.google.com/spreadsheets/d/1vn8sarGOUqppNreIOmxqqbDNiDFcunXiviYBdJxndfQ/edit?usp=sharing")</f>
        <v>https://docs.google.com/spreadsheets/d/1vn8sarGOUqppNreIOmxqqbDNiDFcunXiviYBdJxndfQ/edit?usp=sharing</v>
      </c>
      <c r="I69" s="11"/>
    </row>
    <row r="70">
      <c r="A70" s="11" t="str">
        <f>IFERROR(__xludf.DUMMYFUNCTION("""COMPUTED_VALUE"""),"Working")</f>
        <v>Working</v>
      </c>
      <c r="B70" s="12">
        <f>IFERROR(__xludf.DUMMYFUNCTION("""COMPUTED_VALUE"""),44484.0)</f>
        <v>44484</v>
      </c>
      <c r="C70" s="11" t="str">
        <f>IFERROR(__xludf.DUMMYFUNCTION("""COMPUTED_VALUE"""),"Rodney Walden")</f>
        <v>Rodney Walden</v>
      </c>
      <c r="D70" s="11" t="str">
        <f>IFERROR(__xludf.DUMMYFUNCTION("""COMPUTED_VALUE"""),"MarketPlacey (SFBA)")</f>
        <v>MarketPlacey (SFBA)</v>
      </c>
      <c r="E70" s="13">
        <f>IFERROR(__xludf.DUMMYFUNCTION("""COMPUTED_VALUE"""),35359.62000000001)</f>
        <v>35359.62</v>
      </c>
      <c r="F70" s="13">
        <f>IFERROR(__xludf.DUMMYFUNCTION("""COMPUTED_VALUE"""),1105.474848484846)</f>
        <v>1105.474848</v>
      </c>
      <c r="G70" s="13">
        <f>IFERROR(__xludf.DUMMYFUNCTION("""COMPUTED_VALUE"""),10000.0)</f>
        <v>10000</v>
      </c>
      <c r="H70" s="14" t="str">
        <f>IFERROR(__xludf.DUMMYFUNCTION("""COMPUTED_VALUE"""),"https://docs.google.com/spreadsheets/d/1xIFtDueisqoRy88aqDdN1WAWH6Gb_mGzw_RURJ4IOX8/edit?usp=sharing")</f>
        <v>https://docs.google.com/spreadsheets/d/1xIFtDueisqoRy88aqDdN1WAWH6Gb_mGzw_RURJ4IOX8/edit?usp=sharing</v>
      </c>
      <c r="I70" s="11"/>
    </row>
    <row r="71">
      <c r="A71" s="11" t="str">
        <f>IFERROR(__xludf.DUMMYFUNCTION("""COMPUTED_VALUE"""),"Working")</f>
        <v>Working</v>
      </c>
      <c r="B71" s="12">
        <f>IFERROR(__xludf.DUMMYFUNCTION("""COMPUTED_VALUE"""),44559.0)</f>
        <v>44559</v>
      </c>
      <c r="C71" s="11" t="str">
        <f>IFERROR(__xludf.DUMMYFUNCTION("""COMPUTED_VALUE"""),"Roop Bath")</f>
        <v>Roop Bath</v>
      </c>
      <c r="D71" s="11" t="str">
        <f>IFERROR(__xludf.DUMMYFUNCTION("""COMPUTED_VALUE"""),"A1 Wholesale Supplies")</f>
        <v>A1 Wholesale Supplies</v>
      </c>
      <c r="E71" s="13">
        <f>IFERROR(__xludf.DUMMYFUNCTION("""COMPUTED_VALUE"""),2021.99)</f>
        <v>2021.99</v>
      </c>
      <c r="F71" s="13">
        <f>IFERROR(__xludf.DUMMYFUNCTION("""COMPUTED_VALUE"""),9326.003333333334)</f>
        <v>9326.003333</v>
      </c>
      <c r="G71" s="13">
        <f>IFERROR(__xludf.DUMMYFUNCTION("""COMPUTED_VALUE"""),10000.0)</f>
        <v>10000</v>
      </c>
      <c r="H71" s="14" t="str">
        <f>IFERROR(__xludf.DUMMYFUNCTION("""COMPUTED_VALUE"""),"https://docs.google.com/spreadsheets/d/13CtuHOoJr-4-MivP3tziWT2MGl_bFrEeHrcZzORwf5U/edit?usp=sharing")</f>
        <v>https://docs.google.com/spreadsheets/d/13CtuHOoJr-4-MivP3tziWT2MGl_bFrEeHrcZzORwf5U/edit?usp=sharing</v>
      </c>
      <c r="I71" s="11"/>
    </row>
    <row r="72">
      <c r="A72" s="11" t="str">
        <f>IFERROR(__xludf.DUMMYFUNCTION("""COMPUTED_VALUE"""),"Working")</f>
        <v>Working</v>
      </c>
      <c r="B72" s="12">
        <f>IFERROR(__xludf.DUMMYFUNCTION("""COMPUTED_VALUE"""),44482.0)</f>
        <v>44482</v>
      </c>
      <c r="C72" s="11" t="str">
        <f>IFERROR(__xludf.DUMMYFUNCTION("""COMPUTED_VALUE"""),"Ryan Neihart ")</f>
        <v>Ryan Neihart </v>
      </c>
      <c r="D72" s="11" t="str">
        <f>IFERROR(__xludf.DUMMYFUNCTION("""COMPUTED_VALUE"""),"Elevate Financial LLC")</f>
        <v>Elevate Financial LLC</v>
      </c>
      <c r="E72" s="13">
        <f>IFERROR(__xludf.DUMMYFUNCTION("""COMPUTED_VALUE"""),16551.949999999997)</f>
        <v>16551.95</v>
      </c>
      <c r="F72" s="13">
        <f>IFERROR(__xludf.DUMMYFUNCTION("""COMPUTED_VALUE"""),658.8512878787897)</f>
        <v>658.8512879</v>
      </c>
      <c r="G72" s="13">
        <f>IFERROR(__xludf.DUMMYFUNCTION("""COMPUTED_VALUE"""),5000.0)</f>
        <v>5000</v>
      </c>
      <c r="H72" s="14" t="str">
        <f>IFERROR(__xludf.DUMMYFUNCTION("""COMPUTED_VALUE"""),"https://docs.google.com/spreadsheets/d/1gg5Plou2neD7OgYvy6EJS6crEggQUAv0H_BIr9rp5uk/edit?usp=sharing")</f>
        <v>https://docs.google.com/spreadsheets/d/1gg5Plou2neD7OgYvy6EJS6crEggQUAv0H_BIr9rp5uk/edit?usp=sharing</v>
      </c>
      <c r="I72" s="11"/>
    </row>
    <row r="73">
      <c r="A73" s="11" t="str">
        <f>IFERROR(__xludf.DUMMYFUNCTION("""COMPUTED_VALUE"""),"Working")</f>
        <v>Working</v>
      </c>
      <c r="B73" s="12">
        <f>IFERROR(__xludf.DUMMYFUNCTION("""COMPUTED_VALUE"""),44532.0)</f>
        <v>44532</v>
      </c>
      <c r="C73" s="11" t="str">
        <f>IFERROR(__xludf.DUMMYFUNCTION("""COMPUTED_VALUE"""),"Ryan Neihart ")</f>
        <v>Ryan Neihart </v>
      </c>
      <c r="D73" s="11" t="str">
        <f>IFERROR(__xludf.DUMMYFUNCTION("""COMPUTED_VALUE"""),"Elevate Financial LLC")</f>
        <v>Elevate Financial LLC</v>
      </c>
      <c r="E73" s="13">
        <f>IFERROR(__xludf.DUMMYFUNCTION("""COMPUTED_VALUE"""),1333.49)</f>
        <v>1333.49</v>
      </c>
      <c r="F73" s="13">
        <f>IFERROR(__xludf.DUMMYFUNCTION("""COMPUTED_VALUE"""),8595.91212121212)</f>
        <v>8595.912121</v>
      </c>
      <c r="G73" s="13">
        <f>IFERROR(__xludf.DUMMYFUNCTION("""COMPUTED_VALUE"""),9000.0)</f>
        <v>9000</v>
      </c>
      <c r="H73" s="14" t="str">
        <f>IFERROR(__xludf.DUMMYFUNCTION("""COMPUTED_VALUE"""),"https://docs.google.com/spreadsheets/d/1KAtmJubJyS1QTRriee96if42T9rAl4HeyZN7FBCw1f8/edit?usp=sharing")</f>
        <v>https://docs.google.com/spreadsheets/d/1KAtmJubJyS1QTRriee96if42T9rAl4HeyZN7FBCw1f8/edit?usp=sharing</v>
      </c>
      <c r="I73" s="11"/>
    </row>
    <row r="74">
      <c r="A74" s="11" t="str">
        <f>IFERROR(__xludf.DUMMYFUNCTION("""COMPUTED_VALUE"""),"Working")</f>
        <v>Working</v>
      </c>
      <c r="B74" s="12">
        <f>IFERROR(__xludf.DUMMYFUNCTION("""COMPUTED_VALUE"""),44522.0)</f>
        <v>44522</v>
      </c>
      <c r="C74" s="11" t="str">
        <f>IFERROR(__xludf.DUMMYFUNCTION("""COMPUTED_VALUE"""),"Sandro ")</f>
        <v>Sandro </v>
      </c>
      <c r="D74" s="11" t="str">
        <f>IFERROR(__xludf.DUMMYFUNCTION("""COMPUTED_VALUE"""),"Of Course Ecommerce LLC (SFBA)")</f>
        <v>Of Course Ecommerce LLC (SFBA)</v>
      </c>
      <c r="E74" s="13">
        <f>IFERROR(__xludf.DUMMYFUNCTION("""COMPUTED_VALUE"""),0.0)</f>
        <v>0</v>
      </c>
      <c r="F74" s="13">
        <f>IFERROR(__xludf.DUMMYFUNCTION("""COMPUTED_VALUE"""),25000.0)</f>
        <v>25000</v>
      </c>
      <c r="G74" s="13">
        <f>IFERROR(__xludf.DUMMYFUNCTION("""COMPUTED_VALUE"""),25000.0)</f>
        <v>25000</v>
      </c>
      <c r="H74" s="14" t="str">
        <f>IFERROR(__xludf.DUMMYFUNCTION("""COMPUTED_VALUE"""),"https://docs.google.com/spreadsheets/d/1sbLzTemB4mhQqznlAsvVU2JruDQYVovE-6OtntU9fSQ/edit?usp=sharing")</f>
        <v>https://docs.google.com/spreadsheets/d/1sbLzTemB4mhQqznlAsvVU2JruDQYVovE-6OtntU9fSQ/edit?usp=sharing</v>
      </c>
      <c r="I74" s="11"/>
    </row>
    <row r="75">
      <c r="A75" s="11" t="str">
        <f>IFERROR(__xludf.DUMMYFUNCTION("""COMPUTED_VALUE"""),"Working")</f>
        <v>Working</v>
      </c>
      <c r="B75" s="12">
        <f>IFERROR(__xludf.DUMMYFUNCTION("""COMPUTED_VALUE"""),44516.0)</f>
        <v>44516</v>
      </c>
      <c r="C75" s="11" t="str">
        <f>IFERROR(__xludf.DUMMYFUNCTION("""COMPUTED_VALUE"""),"Seo Kim")</f>
        <v>Seo Kim</v>
      </c>
      <c r="D75" s="11" t="str">
        <f>IFERROR(__xludf.DUMMYFUNCTION("""COMPUTED_VALUE"""),"Elite Goods LLC (SFBA)")</f>
        <v>Elite Goods LLC (SFBA)</v>
      </c>
      <c r="E75" s="13">
        <f>IFERROR(__xludf.DUMMYFUNCTION("""COMPUTED_VALUE"""),10738.829999999998)</f>
        <v>10738.83</v>
      </c>
      <c r="F75" s="13">
        <f>IFERROR(__xludf.DUMMYFUNCTION("""COMPUTED_VALUE"""),9372.589242424241)</f>
        <v>9372.589242</v>
      </c>
      <c r="G75" s="13">
        <f>IFERROR(__xludf.DUMMYFUNCTION("""COMPUTED_VALUE"""),12623.0)</f>
        <v>12623</v>
      </c>
      <c r="H75" s="14" t="str">
        <f>IFERROR(__xludf.DUMMYFUNCTION("""COMPUTED_VALUE"""),"https://docs.google.com/spreadsheets/d/1dfFDhhsjOpQTvlKCgb2P3y1qvkLrvOQ2QPPSiQZklbw/edit?usp=sharing")</f>
        <v>https://docs.google.com/spreadsheets/d/1dfFDhhsjOpQTvlKCgb2P3y1qvkLrvOQ2QPPSiQZklbw/edit?usp=sharing</v>
      </c>
      <c r="I75" s="11"/>
    </row>
    <row r="76">
      <c r="A76" s="11" t="str">
        <f>IFERROR(__xludf.DUMMYFUNCTION("""COMPUTED_VALUE"""),"Working")</f>
        <v>Working</v>
      </c>
      <c r="B76" s="12">
        <f>IFERROR(__xludf.DUMMYFUNCTION("""COMPUTED_VALUE"""),44498.0)</f>
        <v>44498</v>
      </c>
      <c r="C76" s="11" t="str">
        <f>IFERROR(__xludf.DUMMYFUNCTION("""COMPUTED_VALUE"""),"Sukhy Thind Inc")</f>
        <v>Sukhy Thind Inc</v>
      </c>
      <c r="D76" s="11" t="str">
        <f>IFERROR(__xludf.DUMMYFUNCTION("""COMPUTED_VALUE"""),"Kian Thind Inc (SFBA)")</f>
        <v>Kian Thind Inc (SFBA)</v>
      </c>
      <c r="E76" s="13">
        <f>IFERROR(__xludf.DUMMYFUNCTION("""COMPUTED_VALUE"""),21999.92000000001)</f>
        <v>21999.92</v>
      </c>
      <c r="F76" s="13">
        <f>IFERROR(__xludf.DUMMYFUNCTION("""COMPUTED_VALUE"""),34395.65689393939)</f>
        <v>34395.65689</v>
      </c>
      <c r="G76" s="13">
        <f>IFERROR(__xludf.DUMMYFUNCTION("""COMPUTED_VALUE"""),40000.0)</f>
        <v>40000</v>
      </c>
      <c r="H76" s="14" t="str">
        <f>IFERROR(__xludf.DUMMYFUNCTION("""COMPUTED_VALUE"""),"https://docs.google.com/spreadsheets/d/17t7_i8V7IETKvOMqq_7H4OWiGNApAkGYvxGXxo4boGc/edit?usp=sharing")</f>
        <v>https://docs.google.com/spreadsheets/d/17t7_i8V7IETKvOMqq_7H4OWiGNApAkGYvxGXxo4boGc/edit?usp=sharing</v>
      </c>
      <c r="I76" s="11"/>
    </row>
    <row r="77">
      <c r="A77" s="11" t="str">
        <f>IFERROR(__xludf.DUMMYFUNCTION("""COMPUTED_VALUE"""),"Working")</f>
        <v>Working</v>
      </c>
      <c r="B77" s="12">
        <f>IFERROR(__xludf.DUMMYFUNCTION("""COMPUTED_VALUE"""),44512.0)</f>
        <v>44512</v>
      </c>
      <c r="C77" s="11" t="str">
        <f>IFERROR(__xludf.DUMMYFUNCTION("""COMPUTED_VALUE"""),"Syed Naqvi")</f>
        <v>Syed Naqvi</v>
      </c>
      <c r="D77" s="11" t="str">
        <f>IFERROR(__xludf.DUMMYFUNCTION("""COMPUTED_VALUE"""),"The Tuf Store (SFBA)")</f>
        <v>The Tuf Store (SFBA)</v>
      </c>
      <c r="E77" s="13">
        <f>IFERROR(__xludf.DUMMYFUNCTION("""COMPUTED_VALUE"""),0.0)</f>
        <v>0</v>
      </c>
      <c r="F77" s="13">
        <f>IFERROR(__xludf.DUMMYFUNCTION("""COMPUTED_VALUE"""),5000.0)</f>
        <v>5000</v>
      </c>
      <c r="G77" s="13">
        <f>IFERROR(__xludf.DUMMYFUNCTION("""COMPUTED_VALUE"""),5000.0)</f>
        <v>5000</v>
      </c>
      <c r="H77" s="14" t="str">
        <f>IFERROR(__xludf.DUMMYFUNCTION("""COMPUTED_VALUE"""),"https://docs.google.com/spreadsheets/d/1DNfIhs87jGqgqRZREEqSVT2Hy5_0FK_HlxleiWky3WU/edit?usp=sharing")</f>
        <v>https://docs.google.com/spreadsheets/d/1DNfIhs87jGqgqRZREEqSVT2Hy5_0FK_HlxleiWky3WU/edit?usp=sharing</v>
      </c>
      <c r="I77" s="11"/>
    </row>
    <row r="78">
      <c r="A78" s="11" t="str">
        <f>IFERROR(__xludf.DUMMYFUNCTION("""COMPUTED_VALUE"""),"Working")</f>
        <v>Working</v>
      </c>
      <c r="B78" s="12">
        <f>IFERROR(__xludf.DUMMYFUNCTION("""COMPUTED_VALUE"""),44494.0)</f>
        <v>44494</v>
      </c>
      <c r="C78" s="11" t="str">
        <f>IFERROR(__xludf.DUMMYFUNCTION("""COMPUTED_VALUE"""),"Syed Naqvi / Farhan")</f>
        <v>Syed Naqvi / Farhan</v>
      </c>
      <c r="D78" s="11" t="str">
        <f>IFERROR(__xludf.DUMMYFUNCTION("""COMPUTED_VALUE"""),"The Tuf Store (SFBA)")</f>
        <v>The Tuf Store (SFBA)</v>
      </c>
      <c r="E78" s="13">
        <f>IFERROR(__xludf.DUMMYFUNCTION("""COMPUTED_VALUE"""),14385.929999999998)</f>
        <v>14385.93</v>
      </c>
      <c r="F78" s="13">
        <f>IFERROR(__xludf.DUMMYFUNCTION("""COMPUTED_VALUE"""),1162.547803030302)</f>
        <v>1162.547803</v>
      </c>
      <c r="G78" s="13">
        <f>IFERROR(__xludf.DUMMYFUNCTION("""COMPUTED_VALUE"""),5000.0)</f>
        <v>5000</v>
      </c>
      <c r="H78" s="14" t="str">
        <f>IFERROR(__xludf.DUMMYFUNCTION("""COMPUTED_VALUE"""),"https://docs.google.com/spreadsheets/d/1mLDeA15aeHsM0phVgOVPcr_kfiPvo44eaIe8FNnIkGQ/edit?usp=sharing")</f>
        <v>https://docs.google.com/spreadsheets/d/1mLDeA15aeHsM0phVgOVPcr_kfiPvo44eaIe8FNnIkGQ/edit?usp=sharing</v>
      </c>
      <c r="I78" s="11"/>
    </row>
    <row r="79">
      <c r="A79" s="11" t="str">
        <f>IFERROR(__xludf.DUMMYFUNCTION("""COMPUTED_VALUE"""),"Working")</f>
        <v>Working</v>
      </c>
      <c r="B79" s="12">
        <f>IFERROR(__xludf.DUMMYFUNCTION("""COMPUTED_VALUE"""),44545.0)</f>
        <v>44545</v>
      </c>
      <c r="C79" s="11" t="str">
        <f>IFERROR(__xludf.DUMMYFUNCTION("""COMPUTED_VALUE"""),"Syed Naqvi / Farhan")</f>
        <v>Syed Naqvi / Farhan</v>
      </c>
      <c r="D79" s="11" t="str">
        <f>IFERROR(__xludf.DUMMYFUNCTION("""COMPUTED_VALUE"""),"The Tuf Store (SFBA)")</f>
        <v>The Tuf Store (SFBA)</v>
      </c>
      <c r="E79" s="13">
        <f>IFERROR(__xludf.DUMMYFUNCTION("""COMPUTED_VALUE"""),0.0)</f>
        <v>0</v>
      </c>
      <c r="F79" s="13">
        <f>IFERROR(__xludf.DUMMYFUNCTION("""COMPUTED_VALUE"""),2000.0)</f>
        <v>2000</v>
      </c>
      <c r="G79" s="13">
        <f>IFERROR(__xludf.DUMMYFUNCTION("""COMPUTED_VALUE"""),2000.0)</f>
        <v>2000</v>
      </c>
      <c r="H79" s="14" t="str">
        <f>IFERROR(__xludf.DUMMYFUNCTION("""COMPUTED_VALUE"""),"https://docs.google.com/spreadsheets/d/11WBaEow48q066QYi-hMqdmCSZXZP2lA54RTZQJMv6sk/edit?usp=sharing")</f>
        <v>https://docs.google.com/spreadsheets/d/11WBaEow48q066QYi-hMqdmCSZXZP2lA54RTZQJMv6sk/edit?usp=sharing</v>
      </c>
      <c r="I79" s="11"/>
    </row>
    <row r="80">
      <c r="A80" s="11" t="str">
        <f>IFERROR(__xludf.DUMMYFUNCTION("""COMPUTED_VALUE"""),"Working")</f>
        <v>Working</v>
      </c>
      <c r="B80" s="12">
        <f>IFERROR(__xludf.DUMMYFUNCTION("""COMPUTED_VALUE"""),44522.0)</f>
        <v>44522</v>
      </c>
      <c r="C80" s="11" t="str">
        <f>IFERROR(__xludf.DUMMYFUNCTION("""COMPUTED_VALUE"""),"Synapse Financial")</f>
        <v>Synapse Financial</v>
      </c>
      <c r="D80" s="11"/>
      <c r="E80" s="13">
        <f>IFERROR(__xludf.DUMMYFUNCTION("""COMPUTED_VALUE"""),0.0)</f>
        <v>0</v>
      </c>
      <c r="F80" s="13">
        <f>IFERROR(__xludf.DUMMYFUNCTION("""COMPUTED_VALUE"""),25000.0)</f>
        <v>25000</v>
      </c>
      <c r="G80" s="13">
        <f>IFERROR(__xludf.DUMMYFUNCTION("""COMPUTED_VALUE"""),25000.0)</f>
        <v>25000</v>
      </c>
      <c r="H80" s="14" t="str">
        <f>IFERROR(__xludf.DUMMYFUNCTION("""COMPUTED_VALUE"""),"https://docs.google.com/spreadsheets/d/1CL58-9FYMemWYjFxfKiWXtJXjsHccqbHVGNzOrBj21k/edit?usp=sharing")</f>
        <v>https://docs.google.com/spreadsheets/d/1CL58-9FYMemWYjFxfKiWXtJXjsHccqbHVGNzOrBj21k/edit?usp=sharing</v>
      </c>
      <c r="I80" s="11"/>
    </row>
    <row r="81">
      <c r="A81" s="11" t="str">
        <f>IFERROR(__xludf.DUMMYFUNCTION("""COMPUTED_VALUE"""),"Working")</f>
        <v>Working</v>
      </c>
      <c r="B81" s="12">
        <f>IFERROR(__xludf.DUMMYFUNCTION("""COMPUTED_VALUE"""),44499.0)</f>
        <v>44499</v>
      </c>
      <c r="C81" s="11" t="str">
        <f>IFERROR(__xludf.DUMMYFUNCTION("""COMPUTED_VALUE"""),"Travis Armstrong")</f>
        <v>Travis Armstrong</v>
      </c>
      <c r="D81" s="11" t="str">
        <f>IFERROR(__xludf.DUMMYFUNCTION("""COMPUTED_VALUE"""),"Invictus Maneo (SE)")</f>
        <v>Invictus Maneo (SE)</v>
      </c>
      <c r="E81" s="13">
        <f>IFERROR(__xludf.DUMMYFUNCTION("""COMPUTED_VALUE"""),5433.99)</f>
        <v>5433.99</v>
      </c>
      <c r="F81" s="13">
        <f>IFERROR(__xludf.DUMMYFUNCTION("""COMPUTED_VALUE"""),753.336363636364)</f>
        <v>753.3363636</v>
      </c>
      <c r="G81" s="13">
        <f>IFERROR(__xludf.DUMMYFUNCTION("""COMPUTED_VALUE"""),2400.0)</f>
        <v>2400</v>
      </c>
      <c r="H81" s="14" t="str">
        <f>IFERROR(__xludf.DUMMYFUNCTION("""COMPUTED_VALUE"""),"https://docs.google.com/spreadsheets/d/1McCbgrYqzfLoNCbya-aRcnanH-O4RbCY3F8lQlxhhK4/edit?usp=sharing")</f>
        <v>https://docs.google.com/spreadsheets/d/1McCbgrYqzfLoNCbya-aRcnanH-O4RbCY3F8lQlxhhK4/edit?usp=sharing</v>
      </c>
      <c r="I81" s="11"/>
    </row>
    <row r="82">
      <c r="A82" s="11" t="str">
        <f>IFERROR(__xludf.DUMMYFUNCTION("""COMPUTED_VALUE"""),"Working")</f>
        <v>Working</v>
      </c>
      <c r="B82" s="12">
        <f>IFERROR(__xludf.DUMMYFUNCTION("""COMPUTED_VALUE"""),44510.0)</f>
        <v>44510</v>
      </c>
      <c r="C82" s="11" t="str">
        <f>IFERROR(__xludf.DUMMYFUNCTION("""COMPUTED_VALUE"""),"Tuwana Dumond")</f>
        <v>Tuwana Dumond</v>
      </c>
      <c r="D82" s="11" t="str">
        <f>IFERROR(__xludf.DUMMYFUNCTION("""COMPUTED_VALUE"""),"Customers First (SFBA)")</f>
        <v>Customers First (SFBA)</v>
      </c>
      <c r="E82" s="13">
        <f>IFERROR(__xludf.DUMMYFUNCTION("""COMPUTED_VALUE"""),13005.249999999995)</f>
        <v>13005.25</v>
      </c>
      <c r="F82" s="13">
        <f>IFERROR(__xludf.DUMMYFUNCTION("""COMPUTED_VALUE"""),748.6875000000014)</f>
        <v>748.6875</v>
      </c>
      <c r="G82" s="13">
        <f>IFERROR(__xludf.DUMMYFUNCTION("""COMPUTED_VALUE"""),4000.0)</f>
        <v>4000</v>
      </c>
      <c r="H82" s="14" t="str">
        <f>IFERROR(__xludf.DUMMYFUNCTION("""COMPUTED_VALUE"""),"https://docs.google.com/spreadsheets/d/1mAyxZ7qX9OB7Ny4UcQuUq7jifVlzDMbzT3d6_TSXPNA/edit?usp=sharing")</f>
        <v>https://docs.google.com/spreadsheets/d/1mAyxZ7qX9OB7Ny4UcQuUq7jifVlzDMbzT3d6_TSXPNA/edit?usp=sharing</v>
      </c>
      <c r="I82" s="11"/>
    </row>
    <row r="83">
      <c r="A83" s="11" t="str">
        <f>IFERROR(__xludf.DUMMYFUNCTION("""COMPUTED_VALUE"""),"Working")</f>
        <v>Working</v>
      </c>
      <c r="B83" s="12">
        <f>IFERROR(__xludf.DUMMYFUNCTION("""COMPUTED_VALUE"""),44502.0)</f>
        <v>44502</v>
      </c>
      <c r="C83" s="11" t="str">
        <f>IFERROR(__xludf.DUMMYFUNCTION("""COMPUTED_VALUE"""),"Vikas Kapoor")</f>
        <v>Vikas Kapoor</v>
      </c>
      <c r="D83" s="11" t="str">
        <f>IFERROR(__xludf.DUMMYFUNCTION("""COMPUTED_VALUE"""),"Venus Supplies (SFBA)")</f>
        <v>Venus Supplies (SFBA)</v>
      </c>
      <c r="E83" s="13">
        <f>IFERROR(__xludf.DUMMYFUNCTION("""COMPUTED_VALUE"""),18196.339999999997)</f>
        <v>18196.34</v>
      </c>
      <c r="F83" s="13">
        <f>IFERROR(__xludf.DUMMYFUNCTION("""COMPUTED_VALUE"""),373.2786363636369)</f>
        <v>373.2786364</v>
      </c>
      <c r="G83" s="13">
        <f>IFERROR(__xludf.DUMMYFUNCTION("""COMPUTED_VALUE"""),5000.0)</f>
        <v>5000</v>
      </c>
      <c r="H83" s="14" t="str">
        <f>IFERROR(__xludf.DUMMYFUNCTION("""COMPUTED_VALUE"""),"https://docs.google.com/spreadsheets/d/1IqfiDZP1LyyaQBYoQ66L-3nqCVcvWfS8rGrAZa2B0oE/edit?usp=sharing")</f>
        <v>https://docs.google.com/spreadsheets/d/1IqfiDZP1LyyaQBYoQ66L-3nqCVcvWfS8rGrAZa2B0oE/edit?usp=sharing</v>
      </c>
      <c r="I83" s="11"/>
    </row>
    <row r="84">
      <c r="A84" s="11" t="str">
        <f>IFERROR(__xludf.DUMMYFUNCTION("""COMPUTED_VALUE"""),"Working")</f>
        <v>Working</v>
      </c>
      <c r="B84" s="12">
        <f>IFERROR(__xludf.DUMMYFUNCTION("""COMPUTED_VALUE"""),44485.0)</f>
        <v>44485</v>
      </c>
      <c r="C84" s="11" t="str">
        <f>IFERROR(__xludf.DUMMYFUNCTION("""COMPUTED_VALUE"""),"Vincent Bradshaw")</f>
        <v>Vincent Bradshaw</v>
      </c>
      <c r="D84" s="11" t="str">
        <f>IFERROR(__xludf.DUMMYFUNCTION("""COMPUTED_VALUE"""),"Ascaya Products (SFBA)")</f>
        <v>Ascaya Products (SFBA)</v>
      </c>
      <c r="E84" s="13">
        <f>IFERROR(__xludf.DUMMYFUNCTION("""COMPUTED_VALUE"""),6236.959999999999)</f>
        <v>6236.96</v>
      </c>
      <c r="F84" s="13">
        <f>IFERROR(__xludf.DUMMYFUNCTION("""COMPUTED_VALUE"""),3110.0121212121194)</f>
        <v>3110.012121</v>
      </c>
      <c r="G84" s="13">
        <f>IFERROR(__xludf.DUMMYFUNCTION("""COMPUTED_VALUE"""),5000.0)</f>
        <v>5000</v>
      </c>
      <c r="H84" s="14" t="str">
        <f>IFERROR(__xludf.DUMMYFUNCTION("""COMPUTED_VALUE"""),"https://docs.google.com/spreadsheets/d/1s39M_gsefx4YxRt7ltyV2pqzDaKcICsZ8cjOo5Xr7CQ/edit?usp=sharing")</f>
        <v>https://docs.google.com/spreadsheets/d/1s39M_gsefx4YxRt7ltyV2pqzDaKcICsZ8cjOo5Xr7CQ/edit?usp=sharing</v>
      </c>
      <c r="I84" s="11"/>
    </row>
    <row r="85">
      <c r="A85" s="11" t="str">
        <f>IFERROR(__xludf.DUMMYFUNCTION("""COMPUTED_VALUE"""),"Working")</f>
        <v>Working</v>
      </c>
      <c r="B85" s="12">
        <f>IFERROR(__xludf.DUMMYFUNCTION("""COMPUTED_VALUE"""),44516.0)</f>
        <v>44516</v>
      </c>
      <c r="C85" s="11" t="str">
        <f>IFERROR(__xludf.DUMMYFUNCTION("""COMPUTED_VALUE"""),"Vincent Bradshaw")</f>
        <v>Vincent Bradshaw</v>
      </c>
      <c r="D85" s="11" t="str">
        <f>IFERROR(__xludf.DUMMYFUNCTION("""COMPUTED_VALUE"""),"Ascaya Products (SFBA)")</f>
        <v>Ascaya Products (SFBA)</v>
      </c>
      <c r="E85" s="13">
        <f>IFERROR(__xludf.DUMMYFUNCTION("""COMPUTED_VALUE"""),0.0)</f>
        <v>0</v>
      </c>
      <c r="F85" s="13">
        <f>IFERROR(__xludf.DUMMYFUNCTION("""COMPUTED_VALUE"""),5000.0)</f>
        <v>5000</v>
      </c>
      <c r="G85" s="13">
        <f>IFERROR(__xludf.DUMMYFUNCTION("""COMPUTED_VALUE"""),5000.0)</f>
        <v>5000</v>
      </c>
      <c r="H85" s="14" t="str">
        <f>IFERROR(__xludf.DUMMYFUNCTION("""COMPUTED_VALUE"""),"https://docs.google.com/spreadsheets/d/1xW-q8rGGLNwy2XGNXhAerqonIh7t5AwD1pzZqh121xs/edit?usp=sharing")</f>
        <v>https://docs.google.com/spreadsheets/d/1xW-q8rGGLNwy2XGNXhAerqonIh7t5AwD1pzZqh121xs/edit?usp=sharing</v>
      </c>
      <c r="I85" s="11"/>
    </row>
    <row r="86">
      <c r="A86" s="11" t="str">
        <f>IFERROR(__xludf.DUMMYFUNCTION("""COMPUTED_VALUE"""),"Working")</f>
        <v>Working</v>
      </c>
      <c r="B86" s="12">
        <f>IFERROR(__xludf.DUMMYFUNCTION("""COMPUTED_VALUE"""),44475.0)</f>
        <v>44475</v>
      </c>
      <c r="C86" s="11" t="str">
        <f>IFERROR(__xludf.DUMMYFUNCTION("""COMPUTED_VALUE"""),"Yuslein Sotolongo")</f>
        <v>Yuslein Sotolongo</v>
      </c>
      <c r="D86" s="11" t="str">
        <f>IFERROR(__xludf.DUMMYFUNCTION("""COMPUTED_VALUE"""),"KCYLLC (SFBA)")</f>
        <v>KCYLLC (SFBA)</v>
      </c>
      <c r="E86" s="13">
        <f>IFERROR(__xludf.DUMMYFUNCTION("""COMPUTED_VALUE"""),7722.48)</f>
        <v>7722.48</v>
      </c>
      <c r="F86" s="13">
        <f>IFERROR(__xludf.DUMMYFUNCTION("""COMPUTED_VALUE"""),355.1875757575749)</f>
        <v>355.1875758</v>
      </c>
      <c r="G86" s="13">
        <f>IFERROR(__xludf.DUMMYFUNCTION("""COMPUTED_VALUE"""),2330.3)</f>
        <v>2330.3</v>
      </c>
      <c r="H86" s="14" t="str">
        <f>IFERROR(__xludf.DUMMYFUNCTION("""COMPUTED_VALUE"""),"https://docs.google.com/spreadsheets/d/1l8sEIm9mOyZ839PULEaGRa9GgvlQ_JAETbh75GEeozg/edit?usp=sharing")</f>
        <v>https://docs.google.com/spreadsheets/d/1l8sEIm9mOyZ839PULEaGRa9GgvlQ_JAETbh75GEeozg/edit?usp=sharing</v>
      </c>
      <c r="I86" s="11"/>
    </row>
    <row r="87">
      <c r="A87" s="11"/>
      <c r="B87" s="12"/>
      <c r="C87" s="11"/>
      <c r="D87" s="11"/>
      <c r="E87" s="11"/>
      <c r="F87" s="11"/>
      <c r="G87" s="11"/>
      <c r="H87" s="15"/>
      <c r="I87" s="11"/>
    </row>
    <row r="88">
      <c r="A88" s="11"/>
      <c r="B88" s="12"/>
      <c r="C88" s="11"/>
      <c r="D88" s="11"/>
      <c r="E88" s="11"/>
      <c r="F88" s="11"/>
      <c r="G88" s="11"/>
      <c r="H88" s="15"/>
      <c r="I88" s="11"/>
    </row>
    <row r="89">
      <c r="A89" s="11"/>
      <c r="B89" s="12"/>
      <c r="C89" s="11"/>
      <c r="D89" s="11"/>
      <c r="E89" s="11"/>
      <c r="F89" s="11"/>
      <c r="G89" s="11"/>
      <c r="H89" s="15"/>
      <c r="I89" s="11"/>
    </row>
    <row r="90">
      <c r="A90" s="11"/>
      <c r="B90" s="12"/>
      <c r="C90" s="11"/>
      <c r="D90" s="11"/>
      <c r="E90" s="11"/>
      <c r="F90" s="11"/>
      <c r="G90" s="11"/>
      <c r="H90" s="15"/>
      <c r="I90" s="11"/>
    </row>
    <row r="91">
      <c r="A91" s="11"/>
      <c r="B91" s="12"/>
      <c r="C91" s="11"/>
      <c r="D91" s="11"/>
      <c r="E91" s="11"/>
      <c r="F91" s="11"/>
      <c r="G91" s="11"/>
      <c r="H91" s="15"/>
      <c r="I91" s="11"/>
    </row>
    <row r="92">
      <c r="A92" s="11"/>
      <c r="B92" s="12"/>
      <c r="C92" s="11"/>
      <c r="D92" s="11"/>
      <c r="E92" s="11"/>
      <c r="F92" s="11"/>
      <c r="G92" s="11"/>
      <c r="H92" s="15"/>
      <c r="I92" s="11"/>
    </row>
    <row r="93">
      <c r="A93" s="11"/>
      <c r="B93" s="12"/>
      <c r="C93" s="11"/>
      <c r="D93" s="11"/>
      <c r="E93" s="11"/>
      <c r="F93" s="11"/>
      <c r="G93" s="11"/>
      <c r="H93" s="15"/>
      <c r="I93" s="11"/>
    </row>
    <row r="94">
      <c r="A94" s="11"/>
      <c r="B94" s="12"/>
      <c r="C94" s="11"/>
      <c r="D94" s="11"/>
      <c r="E94" s="11"/>
      <c r="F94" s="11"/>
      <c r="G94" s="11"/>
      <c r="H94" s="15"/>
      <c r="I94" s="11"/>
    </row>
    <row r="95">
      <c r="A95" s="11"/>
      <c r="B95" s="12"/>
      <c r="C95" s="11"/>
      <c r="D95" s="11"/>
      <c r="E95" s="11"/>
      <c r="F95" s="11"/>
      <c r="G95" s="11"/>
      <c r="H95" s="15"/>
      <c r="I95" s="11"/>
    </row>
    <row r="96">
      <c r="A96" s="11"/>
      <c r="B96" s="12"/>
      <c r="C96" s="11"/>
      <c r="D96" s="11"/>
      <c r="E96" s="11"/>
      <c r="F96" s="11"/>
      <c r="G96" s="11"/>
      <c r="H96" s="15"/>
      <c r="I96" s="11"/>
    </row>
    <row r="97">
      <c r="A97" s="11"/>
      <c r="B97" s="12"/>
      <c r="C97" s="11"/>
      <c r="D97" s="11"/>
      <c r="E97" s="11"/>
      <c r="F97" s="11"/>
      <c r="G97" s="11"/>
      <c r="H97" s="15"/>
      <c r="I97" s="11"/>
    </row>
    <row r="98">
      <c r="A98" s="11"/>
      <c r="B98" s="12"/>
      <c r="C98" s="11"/>
      <c r="D98" s="11"/>
      <c r="E98" s="11"/>
      <c r="F98" s="11"/>
      <c r="G98" s="11"/>
      <c r="H98" s="15"/>
      <c r="I98" s="11"/>
    </row>
    <row r="99">
      <c r="A99" s="11"/>
      <c r="B99" s="12"/>
      <c r="C99" s="11"/>
      <c r="D99" s="11"/>
      <c r="E99" s="11"/>
      <c r="F99" s="11"/>
      <c r="G99" s="11"/>
      <c r="H99" s="15"/>
      <c r="I99" s="11"/>
    </row>
    <row r="100">
      <c r="A100" s="11"/>
      <c r="B100" s="12"/>
      <c r="C100" s="11"/>
      <c r="D100" s="11"/>
      <c r="E100" s="11"/>
      <c r="F100" s="11"/>
      <c r="G100" s="11"/>
      <c r="H100" s="15"/>
      <c r="I100" s="11"/>
    </row>
    <row r="101">
      <c r="A101" s="11"/>
      <c r="B101" s="12"/>
      <c r="C101" s="11"/>
      <c r="D101" s="11"/>
      <c r="E101" s="11"/>
      <c r="F101" s="11"/>
      <c r="G101" s="11"/>
      <c r="H101" s="15"/>
      <c r="I101" s="11"/>
    </row>
    <row r="102">
      <c r="A102" s="11"/>
      <c r="B102" s="12"/>
      <c r="C102" s="11"/>
      <c r="D102" s="11"/>
      <c r="E102" s="11"/>
      <c r="F102" s="11"/>
      <c r="G102" s="11"/>
      <c r="H102" s="15"/>
      <c r="I102" s="11"/>
    </row>
    <row r="103">
      <c r="A103" s="11"/>
      <c r="B103" s="12"/>
      <c r="C103" s="11"/>
      <c r="D103" s="11"/>
      <c r="E103" s="11"/>
      <c r="F103" s="11"/>
      <c r="G103" s="11"/>
      <c r="H103" s="15"/>
      <c r="I103" s="11"/>
    </row>
    <row r="104">
      <c r="A104" s="11"/>
      <c r="B104" s="12"/>
      <c r="C104" s="11"/>
      <c r="D104" s="11"/>
      <c r="E104" s="11"/>
      <c r="F104" s="11"/>
      <c r="G104" s="11"/>
      <c r="H104" s="15"/>
      <c r="I104" s="11"/>
    </row>
    <row r="105">
      <c r="A105" s="11"/>
      <c r="B105" s="12"/>
      <c r="C105" s="11"/>
      <c r="D105" s="11"/>
      <c r="E105" s="11"/>
      <c r="F105" s="11"/>
      <c r="G105" s="11"/>
      <c r="H105" s="15"/>
      <c r="I105" s="11"/>
    </row>
    <row r="106">
      <c r="A106" s="11"/>
      <c r="B106" s="12"/>
      <c r="C106" s="11"/>
      <c r="D106" s="11"/>
      <c r="E106" s="11"/>
      <c r="F106" s="11"/>
      <c r="G106" s="11"/>
      <c r="H106" s="15"/>
      <c r="I106" s="11"/>
    </row>
    <row r="107">
      <c r="A107" s="11"/>
      <c r="B107" s="12"/>
      <c r="C107" s="11"/>
      <c r="D107" s="11"/>
      <c r="E107" s="11"/>
      <c r="F107" s="11"/>
      <c r="G107" s="11"/>
      <c r="H107" s="15"/>
      <c r="I107" s="11"/>
    </row>
    <row r="108">
      <c r="A108" s="11"/>
      <c r="B108" s="12"/>
      <c r="C108" s="11"/>
      <c r="D108" s="11"/>
      <c r="E108" s="11"/>
      <c r="F108" s="11"/>
      <c r="G108" s="11"/>
      <c r="H108" s="15"/>
      <c r="I108" s="11"/>
    </row>
    <row r="109">
      <c r="A109" s="11"/>
      <c r="B109" s="12"/>
      <c r="C109" s="11"/>
      <c r="D109" s="11"/>
      <c r="E109" s="11"/>
      <c r="F109" s="11"/>
      <c r="G109" s="11"/>
      <c r="H109" s="15"/>
      <c r="I109" s="11"/>
    </row>
    <row r="110">
      <c r="A110" s="11"/>
      <c r="B110" s="12"/>
      <c r="C110" s="11"/>
      <c r="D110" s="11"/>
      <c r="E110" s="11"/>
      <c r="F110" s="11"/>
      <c r="G110" s="11"/>
      <c r="H110" s="15"/>
      <c r="I110" s="11"/>
    </row>
    <row r="111">
      <c r="A111" s="11"/>
      <c r="B111" s="12"/>
      <c r="C111" s="11"/>
      <c r="D111" s="11"/>
      <c r="E111" s="11"/>
      <c r="F111" s="11"/>
      <c r="G111" s="11"/>
      <c r="H111" s="15"/>
      <c r="I111" s="11"/>
    </row>
    <row r="112">
      <c r="A112" s="11"/>
      <c r="B112" s="12"/>
      <c r="C112" s="11"/>
      <c r="D112" s="11"/>
      <c r="E112" s="11"/>
      <c r="F112" s="11"/>
      <c r="G112" s="11"/>
      <c r="H112" s="15"/>
      <c r="I112" s="11"/>
    </row>
    <row r="113">
      <c r="A113" s="11"/>
      <c r="B113" s="12"/>
      <c r="C113" s="11"/>
      <c r="D113" s="11"/>
      <c r="E113" s="11"/>
      <c r="F113" s="11"/>
      <c r="G113" s="11"/>
      <c r="H113" s="15"/>
      <c r="I113" s="11"/>
    </row>
    <row r="114">
      <c r="A114" s="11"/>
      <c r="B114" s="12"/>
      <c r="C114" s="11"/>
      <c r="D114" s="11"/>
      <c r="E114" s="11"/>
      <c r="F114" s="11"/>
      <c r="G114" s="11"/>
      <c r="H114" s="15"/>
      <c r="I114" s="11"/>
    </row>
    <row r="115">
      <c r="A115" s="11"/>
      <c r="B115" s="12"/>
      <c r="C115" s="11"/>
      <c r="D115" s="11"/>
      <c r="E115" s="11"/>
      <c r="F115" s="11"/>
      <c r="G115" s="11"/>
      <c r="H115" s="15"/>
      <c r="I115" s="11"/>
    </row>
    <row r="116">
      <c r="A116" s="11"/>
      <c r="B116" s="12"/>
      <c r="C116" s="11"/>
      <c r="D116" s="11"/>
      <c r="E116" s="11"/>
      <c r="F116" s="11"/>
      <c r="G116" s="11"/>
      <c r="H116" s="15"/>
      <c r="I116" s="11"/>
    </row>
    <row r="117">
      <c r="A117" s="11"/>
      <c r="B117" s="12"/>
      <c r="C117" s="11"/>
      <c r="D117" s="11"/>
      <c r="E117" s="11"/>
      <c r="F117" s="11"/>
      <c r="G117" s="11"/>
      <c r="H117" s="15"/>
      <c r="I117" s="11"/>
    </row>
    <row r="118">
      <c r="A118" s="11"/>
      <c r="B118" s="12"/>
      <c r="C118" s="11"/>
      <c r="D118" s="11"/>
      <c r="E118" s="11"/>
      <c r="F118" s="11"/>
      <c r="G118" s="11"/>
      <c r="H118" s="15"/>
      <c r="I118" s="11"/>
    </row>
    <row r="119">
      <c r="A119" s="11"/>
      <c r="B119" s="12"/>
      <c r="C119" s="11"/>
      <c r="D119" s="11"/>
      <c r="E119" s="11"/>
      <c r="F119" s="11"/>
      <c r="G119" s="11"/>
      <c r="H119" s="15"/>
      <c r="I119" s="11"/>
    </row>
    <row r="120">
      <c r="A120" s="11"/>
      <c r="B120" s="12"/>
      <c r="C120" s="11"/>
      <c r="D120" s="11"/>
      <c r="E120" s="11"/>
      <c r="F120" s="11"/>
      <c r="G120" s="11"/>
      <c r="H120" s="15"/>
      <c r="I120" s="11"/>
    </row>
    <row r="121">
      <c r="A121" s="11"/>
      <c r="B121" s="12"/>
      <c r="C121" s="11"/>
      <c r="D121" s="11"/>
      <c r="E121" s="11"/>
      <c r="F121" s="11"/>
      <c r="G121" s="11"/>
      <c r="H121" s="15"/>
      <c r="I121" s="11"/>
    </row>
    <row r="122">
      <c r="A122" s="11"/>
      <c r="B122" s="12"/>
      <c r="C122" s="11"/>
      <c r="D122" s="11"/>
      <c r="E122" s="11"/>
      <c r="F122" s="11"/>
      <c r="G122" s="11"/>
      <c r="H122" s="15"/>
      <c r="I122" s="11"/>
    </row>
    <row r="123">
      <c r="A123" s="11"/>
      <c r="B123" s="12"/>
      <c r="C123" s="11"/>
      <c r="D123" s="11"/>
      <c r="E123" s="11"/>
      <c r="F123" s="11"/>
      <c r="G123" s="11"/>
      <c r="H123" s="15"/>
      <c r="I123" s="11"/>
    </row>
    <row r="124">
      <c r="A124" s="11"/>
      <c r="B124" s="12"/>
      <c r="C124" s="11"/>
      <c r="D124" s="11"/>
      <c r="E124" s="11"/>
      <c r="F124" s="11"/>
      <c r="G124" s="11"/>
      <c r="H124" s="15"/>
      <c r="I124" s="11"/>
    </row>
    <row r="125">
      <c r="A125" s="11"/>
      <c r="B125" s="12"/>
      <c r="C125" s="11"/>
      <c r="D125" s="11"/>
      <c r="E125" s="11"/>
      <c r="F125" s="11"/>
      <c r="G125" s="11"/>
      <c r="H125" s="15"/>
      <c r="I125" s="11"/>
    </row>
    <row r="126">
      <c r="A126" s="11"/>
      <c r="B126" s="12"/>
      <c r="C126" s="11"/>
      <c r="D126" s="11"/>
      <c r="E126" s="11"/>
      <c r="F126" s="11"/>
      <c r="G126" s="11"/>
      <c r="H126" s="15"/>
      <c r="I126" s="11"/>
    </row>
    <row r="127">
      <c r="A127" s="11"/>
      <c r="B127" s="12"/>
      <c r="C127" s="11"/>
      <c r="D127" s="11"/>
      <c r="E127" s="11"/>
      <c r="F127" s="11"/>
      <c r="G127" s="11"/>
      <c r="H127" s="15"/>
      <c r="I127" s="11"/>
    </row>
    <row r="128">
      <c r="A128" s="11"/>
      <c r="B128" s="12"/>
      <c r="C128" s="11"/>
      <c r="D128" s="11"/>
      <c r="E128" s="11"/>
      <c r="F128" s="11"/>
      <c r="G128" s="11"/>
      <c r="H128" s="15"/>
      <c r="I128" s="11"/>
    </row>
    <row r="129">
      <c r="A129" s="11"/>
      <c r="B129" s="12"/>
      <c r="C129" s="11"/>
      <c r="D129" s="11"/>
      <c r="E129" s="11"/>
      <c r="F129" s="11"/>
      <c r="G129" s="11"/>
      <c r="H129" s="15"/>
      <c r="I129" s="11"/>
    </row>
    <row r="130">
      <c r="A130" s="11"/>
      <c r="B130" s="12"/>
      <c r="C130" s="11"/>
      <c r="D130" s="11"/>
      <c r="E130" s="11"/>
      <c r="F130" s="11"/>
      <c r="G130" s="11"/>
      <c r="H130" s="15"/>
      <c r="I130" s="11"/>
    </row>
    <row r="131">
      <c r="A131" s="11"/>
      <c r="B131" s="12"/>
      <c r="C131" s="11"/>
      <c r="D131" s="11"/>
      <c r="E131" s="11"/>
      <c r="F131" s="11"/>
      <c r="G131" s="11"/>
      <c r="H131" s="15"/>
      <c r="I131" s="11"/>
    </row>
    <row r="132">
      <c r="A132" s="11"/>
      <c r="B132" s="12"/>
      <c r="C132" s="11"/>
      <c r="D132" s="11"/>
      <c r="E132" s="11"/>
      <c r="F132" s="11"/>
      <c r="G132" s="11"/>
      <c r="H132" s="15"/>
      <c r="I132" s="11"/>
    </row>
    <row r="133">
      <c r="A133" s="11"/>
      <c r="B133" s="12"/>
      <c r="C133" s="11"/>
      <c r="D133" s="11"/>
      <c r="E133" s="11"/>
      <c r="F133" s="11"/>
      <c r="G133" s="11"/>
      <c r="H133" s="15"/>
      <c r="I133" s="11"/>
    </row>
    <row r="134">
      <c r="A134" s="11"/>
      <c r="B134" s="12"/>
      <c r="C134" s="11"/>
      <c r="D134" s="11"/>
      <c r="E134" s="11"/>
      <c r="F134" s="11"/>
      <c r="G134" s="11"/>
      <c r="H134" s="15"/>
      <c r="I134" s="11"/>
    </row>
    <row r="135">
      <c r="A135" s="11"/>
      <c r="B135" s="12"/>
      <c r="C135" s="11"/>
      <c r="D135" s="11"/>
      <c r="E135" s="11"/>
      <c r="F135" s="11"/>
      <c r="G135" s="11"/>
      <c r="H135" s="15"/>
      <c r="I135" s="11"/>
    </row>
    <row r="136">
      <c r="A136" s="11"/>
      <c r="B136" s="12"/>
      <c r="C136" s="11"/>
      <c r="D136" s="11"/>
      <c r="E136" s="11"/>
      <c r="F136" s="11"/>
      <c r="G136" s="11"/>
      <c r="H136" s="15"/>
      <c r="I136" s="11"/>
    </row>
    <row r="137">
      <c r="A137" s="11"/>
      <c r="B137" s="12"/>
      <c r="C137" s="11"/>
      <c r="D137" s="11"/>
      <c r="E137" s="11"/>
      <c r="F137" s="11"/>
      <c r="G137" s="11"/>
      <c r="H137" s="15"/>
      <c r="I137" s="11"/>
    </row>
    <row r="138">
      <c r="A138" s="11"/>
      <c r="B138" s="12"/>
      <c r="C138" s="11"/>
      <c r="D138" s="11"/>
      <c r="E138" s="11"/>
      <c r="F138" s="11"/>
      <c r="G138" s="11"/>
      <c r="H138" s="15"/>
      <c r="I138" s="11"/>
    </row>
    <row r="139">
      <c r="A139" s="11"/>
      <c r="B139" s="12"/>
      <c r="C139" s="11"/>
      <c r="D139" s="11"/>
      <c r="E139" s="11"/>
      <c r="F139" s="11"/>
      <c r="G139" s="11"/>
      <c r="H139" s="15"/>
      <c r="I139" s="11"/>
    </row>
    <row r="140">
      <c r="A140" s="11"/>
      <c r="B140" s="12"/>
      <c r="C140" s="11"/>
      <c r="D140" s="11"/>
      <c r="E140" s="11"/>
      <c r="F140" s="11"/>
      <c r="G140" s="11"/>
      <c r="H140" s="15"/>
      <c r="I140" s="11"/>
    </row>
    <row r="141">
      <c r="A141" s="11"/>
      <c r="B141" s="12"/>
      <c r="C141" s="11"/>
      <c r="D141" s="11"/>
      <c r="E141" s="11"/>
      <c r="F141" s="11"/>
      <c r="G141" s="11"/>
      <c r="H141" s="15"/>
      <c r="I141" s="11"/>
    </row>
    <row r="142">
      <c r="A142" s="11"/>
      <c r="B142" s="12"/>
      <c r="C142" s="11"/>
      <c r="D142" s="11"/>
      <c r="E142" s="11"/>
      <c r="F142" s="11"/>
      <c r="G142" s="11"/>
      <c r="H142" s="15"/>
      <c r="I142" s="11"/>
    </row>
    <row r="143">
      <c r="A143" s="11"/>
      <c r="B143" s="12"/>
      <c r="C143" s="11"/>
      <c r="D143" s="11"/>
      <c r="E143" s="11"/>
      <c r="F143" s="11"/>
      <c r="G143" s="11"/>
      <c r="H143" s="15"/>
      <c r="I143" s="11"/>
    </row>
    <row r="144">
      <c r="A144" s="11"/>
      <c r="B144" s="12"/>
      <c r="C144" s="11"/>
      <c r="D144" s="11"/>
      <c r="E144" s="11"/>
      <c r="F144" s="11"/>
      <c r="G144" s="11"/>
      <c r="H144" s="15"/>
      <c r="I144" s="11"/>
    </row>
    <row r="145">
      <c r="A145" s="11"/>
      <c r="B145" s="12"/>
      <c r="C145" s="11"/>
      <c r="D145" s="11"/>
      <c r="E145" s="11"/>
      <c r="F145" s="11"/>
      <c r="G145" s="11"/>
      <c r="H145" s="15"/>
      <c r="I145" s="11"/>
    </row>
    <row r="146">
      <c r="A146" s="11"/>
      <c r="B146" s="12"/>
      <c r="C146" s="11"/>
      <c r="D146" s="11"/>
      <c r="E146" s="11"/>
      <c r="F146" s="11"/>
      <c r="G146" s="11"/>
      <c r="H146" s="15"/>
      <c r="I146" s="11"/>
    </row>
    <row r="147">
      <c r="A147" s="11"/>
      <c r="B147" s="12"/>
      <c r="C147" s="11"/>
      <c r="D147" s="11"/>
      <c r="E147" s="11"/>
      <c r="F147" s="11"/>
      <c r="G147" s="11"/>
      <c r="H147" s="15"/>
      <c r="I147" s="11"/>
    </row>
    <row r="148">
      <c r="A148" s="11"/>
      <c r="B148" s="12"/>
      <c r="C148" s="11"/>
      <c r="D148" s="11"/>
      <c r="E148" s="11"/>
      <c r="F148" s="11"/>
      <c r="G148" s="11"/>
      <c r="H148" s="15"/>
      <c r="I148" s="11"/>
    </row>
    <row r="149">
      <c r="A149" s="11"/>
      <c r="B149" s="12"/>
      <c r="C149" s="11"/>
      <c r="D149" s="11"/>
      <c r="E149" s="11"/>
      <c r="F149" s="11"/>
      <c r="G149" s="11"/>
      <c r="H149" s="15"/>
      <c r="I149" s="11"/>
    </row>
    <row r="150">
      <c r="A150" s="11"/>
      <c r="B150" s="12"/>
      <c r="C150" s="11"/>
      <c r="D150" s="11"/>
      <c r="E150" s="11"/>
      <c r="F150" s="11"/>
      <c r="G150" s="11"/>
      <c r="H150" s="15"/>
      <c r="I150" s="11"/>
    </row>
    <row r="151">
      <c r="A151" s="11"/>
      <c r="B151" s="12"/>
      <c r="C151" s="11"/>
      <c r="D151" s="11"/>
      <c r="E151" s="11"/>
      <c r="F151" s="11"/>
      <c r="G151" s="11"/>
      <c r="H151" s="15"/>
      <c r="I151" s="11"/>
    </row>
    <row r="152">
      <c r="A152" s="11"/>
      <c r="B152" s="12"/>
      <c r="C152" s="11"/>
      <c r="D152" s="11"/>
      <c r="E152" s="11"/>
      <c r="F152" s="11"/>
      <c r="G152" s="11"/>
      <c r="H152" s="15"/>
      <c r="I152" s="11"/>
    </row>
    <row r="153">
      <c r="A153" s="11"/>
      <c r="B153" s="12"/>
      <c r="C153" s="11"/>
      <c r="D153" s="11"/>
      <c r="E153" s="11"/>
      <c r="F153" s="11"/>
      <c r="G153" s="11"/>
      <c r="H153" s="15"/>
      <c r="I153" s="11"/>
    </row>
    <row r="154">
      <c r="A154" s="11"/>
      <c r="B154" s="12"/>
      <c r="C154" s="11"/>
      <c r="D154" s="11"/>
      <c r="E154" s="11"/>
      <c r="F154" s="11"/>
      <c r="G154" s="11"/>
      <c r="H154" s="15"/>
      <c r="I154" s="11"/>
    </row>
    <row r="155">
      <c r="A155" s="11"/>
      <c r="B155" s="12"/>
      <c r="C155" s="11"/>
      <c r="D155" s="11"/>
      <c r="E155" s="11"/>
      <c r="F155" s="11"/>
      <c r="G155" s="11"/>
      <c r="H155" s="15"/>
      <c r="I155" s="11"/>
    </row>
    <row r="156">
      <c r="A156" s="11"/>
      <c r="B156" s="12"/>
      <c r="C156" s="11"/>
      <c r="D156" s="11"/>
      <c r="E156" s="11"/>
      <c r="F156" s="11"/>
      <c r="G156" s="11"/>
      <c r="H156" s="15"/>
      <c r="I156" s="11"/>
    </row>
    <row r="157">
      <c r="A157" s="11"/>
      <c r="B157" s="12"/>
      <c r="C157" s="11"/>
      <c r="D157" s="11"/>
      <c r="E157" s="11"/>
      <c r="F157" s="11"/>
      <c r="G157" s="11"/>
      <c r="H157" s="15"/>
      <c r="I157" s="11"/>
    </row>
    <row r="158">
      <c r="A158" s="11"/>
      <c r="B158" s="12"/>
      <c r="C158" s="11"/>
      <c r="D158" s="11"/>
      <c r="E158" s="11"/>
      <c r="F158" s="11"/>
      <c r="G158" s="11"/>
      <c r="H158" s="15"/>
      <c r="I158" s="11"/>
    </row>
    <row r="159">
      <c r="A159" s="11"/>
      <c r="B159" s="12"/>
      <c r="C159" s="11"/>
      <c r="D159" s="11"/>
      <c r="E159" s="11"/>
      <c r="F159" s="11"/>
      <c r="G159" s="11"/>
      <c r="H159" s="15"/>
      <c r="I159" s="11"/>
    </row>
    <row r="160">
      <c r="A160" s="11"/>
      <c r="B160" s="12"/>
      <c r="C160" s="11"/>
      <c r="D160" s="11"/>
      <c r="E160" s="11"/>
      <c r="F160" s="11"/>
      <c r="G160" s="11"/>
      <c r="H160" s="15"/>
      <c r="I160" s="11"/>
    </row>
    <row r="161">
      <c r="A161" s="11"/>
      <c r="B161" s="12"/>
      <c r="C161" s="11"/>
      <c r="D161" s="11"/>
      <c r="E161" s="11"/>
      <c r="F161" s="11"/>
      <c r="G161" s="11"/>
      <c r="H161" s="15"/>
      <c r="I161" s="11"/>
    </row>
    <row r="162">
      <c r="A162" s="11"/>
      <c r="B162" s="12"/>
      <c r="C162" s="11"/>
      <c r="D162" s="11"/>
      <c r="E162" s="11"/>
      <c r="F162" s="11"/>
      <c r="G162" s="11"/>
      <c r="H162" s="15"/>
      <c r="I162" s="11"/>
    </row>
    <row r="163">
      <c r="A163" s="11"/>
      <c r="B163" s="12"/>
      <c r="C163" s="11"/>
      <c r="D163" s="11"/>
      <c r="E163" s="11"/>
      <c r="F163" s="11"/>
      <c r="G163" s="11"/>
      <c r="H163" s="15"/>
      <c r="I163" s="11"/>
    </row>
    <row r="164">
      <c r="A164" s="11"/>
      <c r="B164" s="12"/>
      <c r="C164" s="11"/>
      <c r="D164" s="11"/>
      <c r="E164" s="11"/>
      <c r="F164" s="11"/>
      <c r="G164" s="11"/>
      <c r="H164" s="15"/>
      <c r="I164" s="11"/>
    </row>
    <row r="165">
      <c r="A165" s="11"/>
      <c r="B165" s="12"/>
      <c r="C165" s="11"/>
      <c r="D165" s="11"/>
      <c r="E165" s="11"/>
      <c r="F165" s="11"/>
      <c r="G165" s="11"/>
      <c r="H165" s="15"/>
      <c r="I165" s="11"/>
    </row>
    <row r="166">
      <c r="A166" s="11"/>
      <c r="B166" s="12"/>
      <c r="C166" s="11"/>
      <c r="D166" s="11"/>
      <c r="E166" s="11"/>
      <c r="F166" s="11"/>
      <c r="G166" s="11"/>
      <c r="H166" s="15"/>
      <c r="I166" s="11"/>
    </row>
    <row r="167">
      <c r="A167" s="11"/>
      <c r="B167" s="12"/>
      <c r="C167" s="11"/>
      <c r="D167" s="11"/>
      <c r="E167" s="11"/>
      <c r="F167" s="11"/>
      <c r="G167" s="11"/>
      <c r="H167" s="15"/>
      <c r="I167" s="11"/>
    </row>
    <row r="168">
      <c r="A168" s="11"/>
      <c r="B168" s="12"/>
      <c r="C168" s="11"/>
      <c r="D168" s="11"/>
      <c r="E168" s="11"/>
      <c r="F168" s="11"/>
      <c r="G168" s="11"/>
      <c r="H168" s="15"/>
      <c r="I168" s="11"/>
    </row>
    <row r="169">
      <c r="A169" s="11"/>
      <c r="B169" s="12"/>
      <c r="C169" s="11"/>
      <c r="D169" s="11"/>
      <c r="E169" s="11"/>
      <c r="F169" s="11"/>
      <c r="G169" s="11"/>
      <c r="H169" s="15"/>
      <c r="I169" s="11"/>
    </row>
    <row r="170">
      <c r="A170" s="11"/>
      <c r="B170" s="12"/>
      <c r="C170" s="11"/>
      <c r="D170" s="11"/>
      <c r="E170" s="11"/>
      <c r="F170" s="11"/>
      <c r="G170" s="11"/>
      <c r="H170" s="15"/>
      <c r="I170" s="11"/>
    </row>
    <row r="171">
      <c r="A171" s="11"/>
      <c r="B171" s="12"/>
      <c r="C171" s="11"/>
      <c r="D171" s="11"/>
      <c r="E171" s="11"/>
      <c r="F171" s="11"/>
      <c r="G171" s="11"/>
      <c r="H171" s="15"/>
      <c r="I171" s="11"/>
    </row>
    <row r="172">
      <c r="A172" s="11"/>
      <c r="B172" s="12"/>
      <c r="C172" s="11"/>
      <c r="D172" s="11"/>
      <c r="E172" s="11"/>
      <c r="F172" s="11"/>
      <c r="G172" s="11"/>
      <c r="H172" s="15"/>
      <c r="I172" s="11"/>
    </row>
    <row r="173">
      <c r="A173" s="11"/>
      <c r="B173" s="12"/>
      <c r="C173" s="11"/>
      <c r="D173" s="11"/>
      <c r="E173" s="11"/>
      <c r="F173" s="11"/>
      <c r="G173" s="11"/>
      <c r="H173" s="15"/>
      <c r="I173" s="11"/>
    </row>
    <row r="174">
      <c r="A174" s="11"/>
      <c r="B174" s="12"/>
      <c r="C174" s="11"/>
      <c r="D174" s="11"/>
      <c r="E174" s="11"/>
      <c r="F174" s="11"/>
      <c r="G174" s="11"/>
      <c r="H174" s="15"/>
      <c r="I174" s="11"/>
    </row>
    <row r="175">
      <c r="A175" s="11"/>
      <c r="B175" s="12"/>
      <c r="C175" s="11"/>
      <c r="D175" s="11"/>
      <c r="E175" s="11"/>
      <c r="F175" s="11"/>
      <c r="G175" s="11"/>
      <c r="H175" s="15"/>
      <c r="I175" s="11"/>
    </row>
    <row r="176">
      <c r="A176" s="11"/>
      <c r="B176" s="12"/>
      <c r="C176" s="11"/>
      <c r="D176" s="11"/>
      <c r="E176" s="11"/>
      <c r="F176" s="11"/>
      <c r="G176" s="11"/>
      <c r="H176" s="15"/>
      <c r="I176" s="11"/>
    </row>
    <row r="177">
      <c r="A177" s="11"/>
      <c r="B177" s="12"/>
      <c r="C177" s="11"/>
      <c r="D177" s="11"/>
      <c r="E177" s="11"/>
      <c r="F177" s="11"/>
      <c r="G177" s="11"/>
      <c r="H177" s="15"/>
      <c r="I177" s="11"/>
    </row>
    <row r="178">
      <c r="A178" s="11"/>
      <c r="B178" s="12"/>
      <c r="C178" s="11"/>
      <c r="D178" s="11"/>
      <c r="E178" s="11"/>
      <c r="F178" s="11"/>
      <c r="G178" s="11"/>
      <c r="H178" s="15"/>
      <c r="I178" s="11"/>
    </row>
    <row r="179">
      <c r="A179" s="11"/>
      <c r="B179" s="12"/>
      <c r="C179" s="11"/>
      <c r="D179" s="11"/>
      <c r="E179" s="11"/>
      <c r="F179" s="11"/>
      <c r="G179" s="11"/>
      <c r="H179" s="15"/>
      <c r="I179" s="11"/>
    </row>
    <row r="180">
      <c r="A180" s="11"/>
      <c r="B180" s="12"/>
      <c r="C180" s="11"/>
      <c r="D180" s="11"/>
      <c r="E180" s="11"/>
      <c r="F180" s="11"/>
      <c r="G180" s="11"/>
      <c r="H180" s="15"/>
      <c r="I180" s="11"/>
    </row>
    <row r="181">
      <c r="A181" s="11"/>
      <c r="B181" s="12"/>
      <c r="C181" s="11"/>
      <c r="D181" s="11"/>
      <c r="E181" s="11"/>
      <c r="F181" s="11"/>
      <c r="G181" s="11"/>
      <c r="H181" s="15"/>
      <c r="I181" s="11"/>
    </row>
    <row r="182">
      <c r="A182" s="11"/>
      <c r="B182" s="12"/>
      <c r="C182" s="11"/>
      <c r="D182" s="11"/>
      <c r="E182" s="11"/>
      <c r="F182" s="11"/>
      <c r="G182" s="11"/>
      <c r="H182" s="15"/>
      <c r="I182" s="11"/>
    </row>
    <row r="183">
      <c r="A183" s="11"/>
      <c r="B183" s="12"/>
      <c r="C183" s="11"/>
      <c r="D183" s="11"/>
      <c r="E183" s="11"/>
      <c r="F183" s="11"/>
      <c r="G183" s="11"/>
      <c r="H183" s="15"/>
      <c r="I183" s="11"/>
    </row>
    <row r="184">
      <c r="A184" s="11"/>
      <c r="B184" s="12"/>
      <c r="C184" s="11"/>
      <c r="D184" s="11"/>
      <c r="E184" s="11"/>
      <c r="F184" s="11"/>
      <c r="G184" s="11"/>
      <c r="H184" s="15"/>
      <c r="I184" s="11"/>
    </row>
    <row r="185">
      <c r="A185" s="11"/>
      <c r="B185" s="12"/>
      <c r="C185" s="11"/>
      <c r="D185" s="11"/>
      <c r="E185" s="11"/>
      <c r="F185" s="11"/>
      <c r="G185" s="11"/>
      <c r="H185" s="15"/>
      <c r="I185" s="11"/>
    </row>
    <row r="186">
      <c r="A186" s="11"/>
      <c r="B186" s="12"/>
      <c r="C186" s="11"/>
      <c r="D186" s="11"/>
      <c r="E186" s="11"/>
      <c r="F186" s="11"/>
      <c r="G186" s="11"/>
      <c r="H186" s="15"/>
      <c r="I186" s="11"/>
    </row>
    <row r="187">
      <c r="A187" s="11"/>
      <c r="B187" s="12"/>
      <c r="C187" s="11"/>
      <c r="D187" s="11"/>
      <c r="E187" s="11"/>
      <c r="F187" s="11"/>
      <c r="G187" s="11"/>
      <c r="H187" s="15"/>
      <c r="I187" s="11"/>
    </row>
    <row r="188">
      <c r="A188" s="11"/>
      <c r="B188" s="12"/>
      <c r="C188" s="11"/>
      <c r="D188" s="11"/>
      <c r="E188" s="11"/>
      <c r="F188" s="11"/>
      <c r="G188" s="11"/>
      <c r="H188" s="15"/>
      <c r="I188" s="11"/>
    </row>
    <row r="189">
      <c r="A189" s="11"/>
      <c r="B189" s="12"/>
      <c r="C189" s="11"/>
      <c r="D189" s="11"/>
      <c r="E189" s="11"/>
      <c r="F189" s="11"/>
      <c r="G189" s="11"/>
      <c r="H189" s="15"/>
      <c r="I189" s="11"/>
    </row>
    <row r="190">
      <c r="A190" s="11"/>
      <c r="B190" s="12"/>
      <c r="C190" s="11"/>
      <c r="D190" s="11"/>
      <c r="E190" s="11"/>
      <c r="F190" s="11"/>
      <c r="G190" s="11"/>
      <c r="H190" s="15"/>
      <c r="I190" s="11"/>
    </row>
    <row r="191">
      <c r="A191" s="11"/>
      <c r="B191" s="12"/>
      <c r="C191" s="11"/>
      <c r="D191" s="11"/>
      <c r="E191" s="11"/>
      <c r="F191" s="11"/>
      <c r="G191" s="11"/>
      <c r="H191" s="15"/>
      <c r="I191" s="11"/>
    </row>
    <row r="192">
      <c r="A192" s="11"/>
      <c r="B192" s="12"/>
      <c r="C192" s="11"/>
      <c r="D192" s="11"/>
      <c r="E192" s="11"/>
      <c r="F192" s="11"/>
      <c r="G192" s="11"/>
      <c r="H192" s="15"/>
      <c r="I192" s="11"/>
    </row>
    <row r="193">
      <c r="A193" s="11"/>
      <c r="B193" s="12"/>
      <c r="C193" s="11"/>
      <c r="D193" s="11"/>
      <c r="E193" s="11"/>
      <c r="F193" s="11"/>
      <c r="G193" s="11"/>
      <c r="H193" s="15"/>
      <c r="I193" s="11"/>
    </row>
    <row r="194">
      <c r="A194" s="11"/>
      <c r="B194" s="12"/>
      <c r="C194" s="11"/>
      <c r="D194" s="11"/>
      <c r="E194" s="11"/>
      <c r="F194" s="11"/>
      <c r="G194" s="11"/>
      <c r="H194" s="15"/>
      <c r="I194" s="11"/>
    </row>
    <row r="195">
      <c r="A195" s="11"/>
      <c r="B195" s="12"/>
      <c r="C195" s="11"/>
      <c r="D195" s="11"/>
      <c r="E195" s="11"/>
      <c r="F195" s="11"/>
      <c r="G195" s="11"/>
      <c r="H195" s="15"/>
      <c r="I195" s="11"/>
    </row>
    <row r="196">
      <c r="A196" s="11"/>
      <c r="B196" s="12"/>
      <c r="C196" s="11"/>
      <c r="D196" s="11"/>
      <c r="E196" s="11"/>
      <c r="F196" s="11"/>
      <c r="G196" s="11"/>
      <c r="H196" s="15"/>
      <c r="I196" s="11"/>
    </row>
    <row r="197">
      <c r="A197" s="11"/>
      <c r="B197" s="12"/>
      <c r="C197" s="11"/>
      <c r="D197" s="11"/>
      <c r="E197" s="11"/>
      <c r="F197" s="11"/>
      <c r="G197" s="11"/>
      <c r="H197" s="15"/>
      <c r="I197" s="11"/>
    </row>
    <row r="198">
      <c r="A198" s="11"/>
      <c r="B198" s="12"/>
      <c r="C198" s="11"/>
      <c r="D198" s="11"/>
      <c r="E198" s="11"/>
      <c r="F198" s="11"/>
      <c r="G198" s="11"/>
      <c r="H198" s="15"/>
      <c r="I198" s="11"/>
    </row>
    <row r="199">
      <c r="A199" s="11"/>
      <c r="B199" s="12"/>
      <c r="C199" s="11"/>
      <c r="D199" s="11"/>
      <c r="E199" s="11"/>
      <c r="F199" s="11"/>
      <c r="G199" s="11"/>
      <c r="H199" s="15"/>
      <c r="I199" s="11"/>
    </row>
    <row r="200">
      <c r="A200" s="11"/>
      <c r="B200" s="12"/>
      <c r="C200" s="11"/>
      <c r="D200" s="11"/>
      <c r="E200" s="11"/>
      <c r="F200" s="11"/>
      <c r="G200" s="11"/>
      <c r="H200" s="15"/>
      <c r="I200" s="11"/>
    </row>
    <row r="201">
      <c r="A201" s="11"/>
      <c r="B201" s="12"/>
      <c r="C201" s="11"/>
      <c r="D201" s="11"/>
      <c r="E201" s="11"/>
      <c r="F201" s="11"/>
      <c r="G201" s="11"/>
      <c r="H201" s="15"/>
      <c r="I201" s="11"/>
    </row>
    <row r="202">
      <c r="A202" s="11"/>
      <c r="B202" s="12"/>
      <c r="C202" s="11"/>
      <c r="D202" s="11"/>
      <c r="E202" s="11"/>
      <c r="F202" s="11"/>
      <c r="G202" s="11"/>
      <c r="H202" s="15"/>
      <c r="I202" s="11"/>
    </row>
    <row r="203">
      <c r="A203" s="11"/>
      <c r="B203" s="12"/>
      <c r="C203" s="11"/>
      <c r="D203" s="11"/>
      <c r="E203" s="11"/>
      <c r="F203" s="11"/>
      <c r="G203" s="11"/>
      <c r="H203" s="15"/>
      <c r="I203" s="11"/>
    </row>
    <row r="204">
      <c r="A204" s="11"/>
      <c r="B204" s="12"/>
      <c r="C204" s="11"/>
      <c r="D204" s="11"/>
      <c r="E204" s="11"/>
      <c r="F204" s="11"/>
      <c r="G204" s="11"/>
      <c r="H204" s="15"/>
      <c r="I204" s="11"/>
    </row>
    <row r="205">
      <c r="A205" s="11"/>
      <c r="B205" s="12"/>
      <c r="C205" s="11"/>
      <c r="D205" s="11"/>
      <c r="E205" s="11"/>
      <c r="F205" s="11"/>
      <c r="G205" s="11"/>
      <c r="H205" s="15"/>
      <c r="I205" s="11"/>
    </row>
    <row r="206">
      <c r="A206" s="11"/>
      <c r="B206" s="12"/>
      <c r="C206" s="11"/>
      <c r="D206" s="11"/>
      <c r="E206" s="11"/>
      <c r="F206" s="11"/>
      <c r="G206" s="11"/>
      <c r="H206" s="15"/>
      <c r="I206" s="11"/>
    </row>
    <row r="207">
      <c r="A207" s="11"/>
      <c r="B207" s="12"/>
      <c r="C207" s="11"/>
      <c r="D207" s="11"/>
      <c r="E207" s="11"/>
      <c r="F207" s="11"/>
      <c r="G207" s="11"/>
      <c r="H207" s="15"/>
      <c r="I207" s="11"/>
    </row>
    <row r="208">
      <c r="A208" s="11"/>
      <c r="B208" s="12"/>
      <c r="C208" s="11"/>
      <c r="D208" s="11"/>
      <c r="E208" s="11"/>
      <c r="F208" s="11"/>
      <c r="G208" s="11"/>
      <c r="H208" s="15"/>
      <c r="I208" s="11"/>
    </row>
    <row r="209">
      <c r="A209" s="11"/>
      <c r="B209" s="12"/>
      <c r="C209" s="11"/>
      <c r="D209" s="11"/>
      <c r="E209" s="11"/>
      <c r="F209" s="11"/>
      <c r="G209" s="11"/>
      <c r="H209" s="15"/>
      <c r="I209" s="11"/>
    </row>
    <row r="210">
      <c r="A210" s="11"/>
      <c r="B210" s="12"/>
      <c r="C210" s="11"/>
      <c r="D210" s="11"/>
      <c r="E210" s="11"/>
      <c r="F210" s="11"/>
      <c r="G210" s="11"/>
      <c r="H210" s="15"/>
      <c r="I210" s="11"/>
    </row>
    <row r="211">
      <c r="A211" s="11"/>
      <c r="B211" s="12"/>
      <c r="C211" s="11"/>
      <c r="D211" s="11"/>
      <c r="E211" s="11"/>
      <c r="F211" s="11"/>
      <c r="G211" s="11"/>
      <c r="H211" s="15"/>
      <c r="I211" s="11"/>
    </row>
    <row r="212">
      <c r="A212" s="11"/>
      <c r="B212" s="12"/>
      <c r="C212" s="11"/>
      <c r="D212" s="11"/>
      <c r="E212" s="11"/>
      <c r="F212" s="11"/>
      <c r="G212" s="11"/>
      <c r="H212" s="15"/>
      <c r="I212" s="11"/>
    </row>
    <row r="213">
      <c r="A213" s="11"/>
      <c r="B213" s="12"/>
      <c r="C213" s="11"/>
      <c r="D213" s="11"/>
      <c r="E213" s="11"/>
      <c r="F213" s="11"/>
      <c r="G213" s="11"/>
      <c r="H213" s="15"/>
      <c r="I213" s="11"/>
    </row>
    <row r="214">
      <c r="A214" s="11"/>
      <c r="B214" s="12"/>
      <c r="C214" s="11"/>
      <c r="D214" s="11"/>
      <c r="E214" s="11"/>
      <c r="F214" s="11"/>
      <c r="G214" s="11"/>
      <c r="H214" s="15"/>
      <c r="I214" s="11"/>
    </row>
    <row r="215">
      <c r="A215" s="11"/>
      <c r="B215" s="12"/>
      <c r="C215" s="11"/>
      <c r="D215" s="11"/>
      <c r="E215" s="11"/>
      <c r="F215" s="11"/>
      <c r="G215" s="11"/>
      <c r="H215" s="15"/>
      <c r="I215" s="11"/>
    </row>
    <row r="216">
      <c r="A216" s="11"/>
      <c r="B216" s="12"/>
      <c r="C216" s="11"/>
      <c r="D216" s="11"/>
      <c r="E216" s="11"/>
      <c r="F216" s="11"/>
      <c r="G216" s="11"/>
      <c r="H216" s="15"/>
      <c r="I216" s="11"/>
    </row>
    <row r="217">
      <c r="A217" s="11"/>
      <c r="B217" s="12"/>
      <c r="C217" s="11"/>
      <c r="D217" s="11"/>
      <c r="E217" s="11"/>
      <c r="F217" s="11"/>
      <c r="G217" s="11"/>
      <c r="H217" s="15"/>
      <c r="I217" s="11"/>
    </row>
    <row r="218">
      <c r="A218" s="11"/>
      <c r="B218" s="12"/>
      <c r="C218" s="11"/>
      <c r="D218" s="11"/>
      <c r="E218" s="11"/>
      <c r="F218" s="11"/>
      <c r="G218" s="11"/>
      <c r="H218" s="15"/>
      <c r="I218" s="11"/>
    </row>
    <row r="219">
      <c r="A219" s="11"/>
      <c r="B219" s="12"/>
      <c r="C219" s="11"/>
      <c r="D219" s="11"/>
      <c r="E219" s="11"/>
      <c r="F219" s="11"/>
      <c r="G219" s="11"/>
      <c r="H219" s="15"/>
      <c r="I219" s="11"/>
    </row>
    <row r="220">
      <c r="A220" s="11"/>
      <c r="B220" s="12"/>
      <c r="C220" s="11"/>
      <c r="D220" s="11"/>
      <c r="E220" s="11"/>
      <c r="F220" s="11"/>
      <c r="G220" s="11"/>
      <c r="H220" s="15"/>
      <c r="I220" s="11"/>
    </row>
    <row r="221">
      <c r="A221" s="11"/>
      <c r="B221" s="12"/>
      <c r="C221" s="11"/>
      <c r="D221" s="11"/>
      <c r="E221" s="11"/>
      <c r="F221" s="11"/>
      <c r="G221" s="11"/>
      <c r="H221" s="15"/>
      <c r="I221" s="11"/>
    </row>
    <row r="222">
      <c r="A222" s="11"/>
      <c r="B222" s="12"/>
      <c r="C222" s="11"/>
      <c r="D222" s="11"/>
      <c r="E222" s="11"/>
      <c r="F222" s="11"/>
      <c r="G222" s="11"/>
      <c r="H222" s="15"/>
      <c r="I222" s="11"/>
    </row>
    <row r="223">
      <c r="A223" s="11"/>
      <c r="B223" s="12"/>
      <c r="C223" s="11"/>
      <c r="D223" s="11"/>
      <c r="E223" s="11"/>
      <c r="F223" s="11"/>
      <c r="G223" s="11"/>
      <c r="H223" s="15"/>
      <c r="I223" s="11"/>
    </row>
    <row r="224">
      <c r="A224" s="11"/>
      <c r="B224" s="12"/>
      <c r="C224" s="11"/>
      <c r="D224" s="11"/>
      <c r="E224" s="11"/>
      <c r="F224" s="11"/>
      <c r="G224" s="11"/>
      <c r="H224" s="15"/>
      <c r="I224" s="11"/>
    </row>
    <row r="225">
      <c r="A225" s="11"/>
      <c r="B225" s="12"/>
      <c r="C225" s="11"/>
      <c r="D225" s="11"/>
      <c r="E225" s="11"/>
      <c r="F225" s="11"/>
      <c r="G225" s="11"/>
      <c r="H225" s="15"/>
      <c r="I225" s="11"/>
    </row>
    <row r="226">
      <c r="A226" s="11"/>
      <c r="B226" s="12"/>
      <c r="C226" s="11"/>
      <c r="D226" s="11"/>
      <c r="E226" s="11"/>
      <c r="F226" s="11"/>
      <c r="G226" s="11"/>
      <c r="H226" s="15"/>
      <c r="I226" s="11"/>
    </row>
    <row r="227">
      <c r="A227" s="11"/>
      <c r="B227" s="12"/>
      <c r="C227" s="11"/>
      <c r="D227" s="11"/>
      <c r="E227" s="11"/>
      <c r="F227" s="11"/>
      <c r="G227" s="11"/>
      <c r="H227" s="15"/>
      <c r="I227" s="11"/>
    </row>
    <row r="228">
      <c r="A228" s="11"/>
      <c r="B228" s="12"/>
      <c r="C228" s="11"/>
      <c r="D228" s="11"/>
      <c r="E228" s="11"/>
      <c r="F228" s="11"/>
      <c r="G228" s="11"/>
      <c r="H228" s="15"/>
      <c r="I228" s="11"/>
    </row>
    <row r="229">
      <c r="A229" s="11"/>
      <c r="B229" s="12"/>
      <c r="C229" s="11"/>
      <c r="D229" s="11"/>
      <c r="E229" s="11"/>
      <c r="F229" s="11"/>
      <c r="G229" s="11"/>
      <c r="H229" s="15"/>
      <c r="I229" s="11"/>
    </row>
    <row r="230">
      <c r="A230" s="11"/>
      <c r="B230" s="12"/>
      <c r="C230" s="11"/>
      <c r="D230" s="11"/>
      <c r="E230" s="11"/>
      <c r="F230" s="11"/>
      <c r="G230" s="11"/>
      <c r="H230" s="15"/>
      <c r="I230" s="11"/>
    </row>
    <row r="231">
      <c r="A231" s="11"/>
      <c r="B231" s="12"/>
      <c r="C231" s="11"/>
      <c r="D231" s="11"/>
      <c r="E231" s="11"/>
      <c r="F231" s="11"/>
      <c r="G231" s="11"/>
      <c r="H231" s="15"/>
      <c r="I231" s="11"/>
    </row>
    <row r="232">
      <c r="A232" s="11"/>
      <c r="B232" s="12"/>
      <c r="C232" s="11"/>
      <c r="D232" s="11"/>
      <c r="E232" s="11"/>
      <c r="F232" s="11"/>
      <c r="G232" s="11"/>
      <c r="H232" s="15"/>
      <c r="I232" s="11"/>
    </row>
    <row r="233">
      <c r="A233" s="11"/>
      <c r="B233" s="12"/>
      <c r="C233" s="11"/>
      <c r="D233" s="11"/>
      <c r="E233" s="11"/>
      <c r="F233" s="11"/>
      <c r="G233" s="11"/>
      <c r="H233" s="15"/>
      <c r="I233" s="11"/>
    </row>
    <row r="234">
      <c r="A234" s="11"/>
      <c r="B234" s="12"/>
      <c r="C234" s="11"/>
      <c r="D234" s="11"/>
      <c r="E234" s="11"/>
      <c r="F234" s="11"/>
      <c r="G234" s="11"/>
      <c r="H234" s="15"/>
      <c r="I234" s="11"/>
    </row>
    <row r="235">
      <c r="A235" s="11"/>
      <c r="B235" s="12"/>
      <c r="C235" s="11"/>
      <c r="D235" s="11"/>
      <c r="E235" s="11"/>
      <c r="F235" s="11"/>
      <c r="G235" s="11"/>
      <c r="H235" s="15"/>
      <c r="I235" s="11"/>
    </row>
    <row r="236">
      <c r="A236" s="11"/>
      <c r="B236" s="12"/>
      <c r="C236" s="11"/>
      <c r="D236" s="11"/>
      <c r="E236" s="11"/>
      <c r="F236" s="11"/>
      <c r="G236" s="11"/>
      <c r="H236" s="15"/>
      <c r="I236" s="11"/>
    </row>
    <row r="237">
      <c r="A237" s="11"/>
      <c r="B237" s="12"/>
      <c r="C237" s="11"/>
      <c r="D237" s="11"/>
      <c r="E237" s="11"/>
      <c r="F237" s="11"/>
      <c r="G237" s="11"/>
      <c r="H237" s="15"/>
      <c r="I237" s="11"/>
    </row>
    <row r="238">
      <c r="A238" s="11"/>
      <c r="B238" s="12"/>
      <c r="C238" s="11"/>
      <c r="D238" s="11"/>
      <c r="E238" s="11"/>
      <c r="F238" s="11"/>
      <c r="G238" s="11"/>
      <c r="H238" s="15"/>
      <c r="I238" s="11"/>
    </row>
    <row r="239">
      <c r="A239" s="11"/>
      <c r="B239" s="12"/>
      <c r="C239" s="11"/>
      <c r="D239" s="11"/>
      <c r="E239" s="11"/>
      <c r="F239" s="11"/>
      <c r="G239" s="11"/>
      <c r="H239" s="15"/>
      <c r="I239" s="11"/>
    </row>
    <row r="240">
      <c r="A240" s="11"/>
      <c r="B240" s="12"/>
      <c r="C240" s="11"/>
      <c r="D240" s="11"/>
      <c r="E240" s="11"/>
      <c r="F240" s="11"/>
      <c r="G240" s="11"/>
      <c r="H240" s="15"/>
      <c r="I240" s="11"/>
    </row>
    <row r="241">
      <c r="A241" s="11"/>
      <c r="B241" s="12"/>
      <c r="C241" s="11"/>
      <c r="D241" s="11"/>
      <c r="E241" s="11"/>
      <c r="F241" s="11"/>
      <c r="G241" s="11"/>
      <c r="H241" s="15"/>
      <c r="I241" s="11"/>
    </row>
    <row r="242">
      <c r="A242" s="11"/>
      <c r="B242" s="12"/>
      <c r="C242" s="11"/>
      <c r="D242" s="11"/>
      <c r="E242" s="11"/>
      <c r="F242" s="11"/>
      <c r="G242" s="11"/>
      <c r="H242" s="15"/>
      <c r="I242" s="11"/>
    </row>
    <row r="243">
      <c r="A243" s="11"/>
      <c r="B243" s="12"/>
      <c r="C243" s="11"/>
      <c r="D243" s="11"/>
      <c r="E243" s="11"/>
      <c r="F243" s="11"/>
      <c r="G243" s="11"/>
      <c r="H243" s="15"/>
      <c r="I243" s="11"/>
    </row>
    <row r="244">
      <c r="A244" s="11"/>
      <c r="B244" s="12"/>
      <c r="C244" s="11"/>
      <c r="D244" s="11"/>
      <c r="E244" s="11"/>
      <c r="F244" s="11"/>
      <c r="G244" s="11"/>
      <c r="H244" s="15"/>
      <c r="I244" s="11"/>
    </row>
    <row r="245">
      <c r="A245" s="11"/>
      <c r="B245" s="12"/>
      <c r="C245" s="11"/>
      <c r="D245" s="11"/>
      <c r="E245" s="11"/>
      <c r="F245" s="11"/>
      <c r="G245" s="11"/>
      <c r="H245" s="15"/>
      <c r="I245" s="11"/>
    </row>
    <row r="246">
      <c r="A246" s="11"/>
      <c r="B246" s="12"/>
      <c r="C246" s="11"/>
      <c r="D246" s="11"/>
      <c r="E246" s="11"/>
      <c r="F246" s="11"/>
      <c r="G246" s="11"/>
      <c r="H246" s="15"/>
      <c r="I246" s="11"/>
    </row>
    <row r="247">
      <c r="A247" s="11"/>
      <c r="B247" s="12"/>
      <c r="C247" s="11"/>
      <c r="D247" s="11"/>
      <c r="E247" s="11"/>
      <c r="F247" s="11"/>
      <c r="G247" s="11"/>
      <c r="H247" s="15"/>
      <c r="I247" s="11"/>
    </row>
    <row r="248">
      <c r="A248" s="11"/>
      <c r="B248" s="12"/>
      <c r="C248" s="11"/>
      <c r="D248" s="11"/>
      <c r="E248" s="11"/>
      <c r="F248" s="11"/>
      <c r="G248" s="11"/>
      <c r="H248" s="15"/>
      <c r="I248" s="11"/>
    </row>
    <row r="249">
      <c r="A249" s="11"/>
      <c r="B249" s="12"/>
      <c r="C249" s="11"/>
      <c r="D249" s="11"/>
      <c r="E249" s="11"/>
      <c r="F249" s="11"/>
      <c r="G249" s="11"/>
      <c r="H249" s="15"/>
      <c r="I249" s="11"/>
    </row>
    <row r="250">
      <c r="A250" s="11"/>
      <c r="B250" s="12"/>
      <c r="C250" s="11"/>
      <c r="D250" s="11"/>
      <c r="E250" s="11"/>
      <c r="F250" s="11"/>
      <c r="G250" s="11"/>
      <c r="H250" s="15"/>
      <c r="I250" s="11"/>
    </row>
    <row r="251">
      <c r="A251" s="11"/>
      <c r="B251" s="12"/>
      <c r="C251" s="11"/>
      <c r="D251" s="11"/>
      <c r="E251" s="11"/>
      <c r="F251" s="11"/>
      <c r="G251" s="11"/>
      <c r="H251" s="15"/>
      <c r="I251" s="11"/>
    </row>
    <row r="252">
      <c r="A252" s="11"/>
      <c r="B252" s="12"/>
      <c r="C252" s="11"/>
      <c r="D252" s="11"/>
      <c r="E252" s="11"/>
      <c r="F252" s="11"/>
      <c r="G252" s="11"/>
      <c r="H252" s="15"/>
      <c r="I252" s="11"/>
    </row>
    <row r="253">
      <c r="A253" s="11"/>
      <c r="B253" s="12"/>
      <c r="C253" s="11"/>
      <c r="D253" s="11"/>
      <c r="E253" s="11"/>
      <c r="F253" s="11"/>
      <c r="G253" s="11"/>
      <c r="H253" s="15"/>
      <c r="I253" s="11"/>
    </row>
    <row r="254">
      <c r="A254" s="11"/>
      <c r="B254" s="12"/>
      <c r="C254" s="11"/>
      <c r="D254" s="11"/>
      <c r="E254" s="11"/>
      <c r="F254" s="11"/>
      <c r="G254" s="11"/>
      <c r="H254" s="15"/>
      <c r="I254" s="11"/>
    </row>
    <row r="255">
      <c r="A255" s="11"/>
      <c r="B255" s="12"/>
      <c r="C255" s="11"/>
      <c r="D255" s="11"/>
      <c r="E255" s="11"/>
      <c r="F255" s="11"/>
      <c r="G255" s="11"/>
      <c r="H255" s="15"/>
      <c r="I255" s="11"/>
    </row>
    <row r="256">
      <c r="A256" s="11"/>
      <c r="B256" s="12"/>
      <c r="C256" s="11"/>
      <c r="D256" s="11"/>
      <c r="E256" s="11"/>
      <c r="F256" s="11"/>
      <c r="G256" s="11"/>
      <c r="H256" s="15"/>
      <c r="I256" s="11"/>
    </row>
    <row r="257">
      <c r="A257" s="11"/>
      <c r="B257" s="12"/>
      <c r="C257" s="11"/>
      <c r="D257" s="11"/>
      <c r="E257" s="11"/>
      <c r="F257" s="11"/>
      <c r="G257" s="11"/>
      <c r="H257" s="15"/>
      <c r="I257" s="11"/>
    </row>
    <row r="258">
      <c r="A258" s="11"/>
      <c r="B258" s="12"/>
      <c r="C258" s="11"/>
      <c r="D258" s="11"/>
      <c r="E258" s="11"/>
      <c r="F258" s="11"/>
      <c r="G258" s="11"/>
      <c r="H258" s="15"/>
      <c r="I258" s="11"/>
    </row>
    <row r="259">
      <c r="A259" s="11"/>
      <c r="B259" s="12"/>
      <c r="C259" s="11"/>
      <c r="D259" s="11"/>
      <c r="E259" s="11"/>
      <c r="F259" s="11"/>
      <c r="G259" s="11"/>
      <c r="H259" s="15"/>
      <c r="I259" s="11"/>
    </row>
    <row r="260">
      <c r="A260" s="11"/>
      <c r="B260" s="12"/>
      <c r="C260" s="11"/>
      <c r="D260" s="11"/>
      <c r="E260" s="11"/>
      <c r="F260" s="11"/>
      <c r="G260" s="11"/>
      <c r="H260" s="15"/>
      <c r="I260" s="11"/>
    </row>
    <row r="261">
      <c r="A261" s="11"/>
      <c r="B261" s="12"/>
      <c r="C261" s="11"/>
      <c r="D261" s="11"/>
      <c r="E261" s="11"/>
      <c r="F261" s="11"/>
      <c r="G261" s="11"/>
      <c r="H261" s="15"/>
      <c r="I261" s="11"/>
    </row>
    <row r="262">
      <c r="A262" s="11"/>
      <c r="B262" s="12"/>
      <c r="C262" s="11"/>
      <c r="D262" s="11"/>
      <c r="E262" s="11"/>
      <c r="F262" s="11"/>
      <c r="G262" s="11"/>
      <c r="H262" s="15"/>
      <c r="I262" s="11"/>
    </row>
    <row r="263">
      <c r="A263" s="11"/>
      <c r="B263" s="12"/>
      <c r="C263" s="11"/>
      <c r="D263" s="11"/>
      <c r="E263" s="11"/>
      <c r="F263" s="11"/>
      <c r="G263" s="11"/>
      <c r="H263" s="15"/>
      <c r="I263" s="11"/>
    </row>
    <row r="264">
      <c r="A264" s="11"/>
      <c r="B264" s="12"/>
      <c r="C264" s="11"/>
      <c r="D264" s="11"/>
      <c r="E264" s="11"/>
      <c r="F264" s="11"/>
      <c r="G264" s="11"/>
      <c r="H264" s="15"/>
      <c r="I264" s="11"/>
    </row>
    <row r="265">
      <c r="A265" s="11"/>
      <c r="B265" s="12"/>
      <c r="C265" s="11"/>
      <c r="D265" s="11"/>
      <c r="E265" s="11"/>
      <c r="F265" s="11"/>
      <c r="G265" s="11"/>
      <c r="H265" s="15"/>
      <c r="I265" s="11"/>
    </row>
    <row r="266">
      <c r="A266" s="11"/>
      <c r="B266" s="12"/>
      <c r="C266" s="11"/>
      <c r="D266" s="11"/>
      <c r="E266" s="11"/>
      <c r="F266" s="11"/>
      <c r="G266" s="11"/>
      <c r="H266" s="15"/>
      <c r="I266" s="11"/>
    </row>
    <row r="267">
      <c r="A267" s="11"/>
      <c r="B267" s="12"/>
      <c r="C267" s="11"/>
      <c r="D267" s="11"/>
      <c r="E267" s="11"/>
      <c r="F267" s="11"/>
      <c r="G267" s="11"/>
      <c r="H267" s="15"/>
      <c r="I267" s="11"/>
    </row>
    <row r="268">
      <c r="A268" s="11"/>
      <c r="B268" s="12"/>
      <c r="C268" s="11"/>
      <c r="D268" s="11"/>
      <c r="E268" s="11"/>
      <c r="F268" s="11"/>
      <c r="G268" s="11"/>
      <c r="H268" s="15"/>
      <c r="I268" s="11"/>
    </row>
    <row r="269">
      <c r="A269" s="11"/>
      <c r="B269" s="12"/>
      <c r="C269" s="11"/>
      <c r="D269" s="11"/>
      <c r="E269" s="11"/>
      <c r="F269" s="11"/>
      <c r="G269" s="11"/>
      <c r="H269" s="15"/>
      <c r="I269" s="11"/>
    </row>
    <row r="270">
      <c r="A270" s="11"/>
      <c r="B270" s="12"/>
      <c r="C270" s="11"/>
      <c r="D270" s="11"/>
      <c r="E270" s="11"/>
      <c r="F270" s="11"/>
      <c r="G270" s="11"/>
      <c r="H270" s="15"/>
      <c r="I270" s="11"/>
    </row>
    <row r="271">
      <c r="A271" s="11"/>
      <c r="B271" s="12"/>
      <c r="C271" s="11"/>
      <c r="D271" s="11"/>
      <c r="E271" s="11"/>
      <c r="F271" s="11"/>
      <c r="G271" s="11"/>
      <c r="H271" s="15"/>
      <c r="I271" s="11"/>
    </row>
    <row r="272">
      <c r="A272" s="11"/>
      <c r="B272" s="12"/>
      <c r="C272" s="11"/>
      <c r="D272" s="11"/>
      <c r="E272" s="11"/>
      <c r="F272" s="11"/>
      <c r="G272" s="11"/>
      <c r="H272" s="15"/>
      <c r="I272" s="11"/>
    </row>
    <row r="273">
      <c r="A273" s="11"/>
      <c r="B273" s="12"/>
      <c r="C273" s="11"/>
      <c r="D273" s="11"/>
      <c r="E273" s="11"/>
      <c r="F273" s="11"/>
      <c r="G273" s="11"/>
      <c r="H273" s="15"/>
      <c r="I273" s="11"/>
    </row>
    <row r="274">
      <c r="A274" s="11"/>
      <c r="B274" s="12"/>
      <c r="C274" s="11"/>
      <c r="D274" s="11"/>
      <c r="E274" s="11"/>
      <c r="F274" s="11"/>
      <c r="G274" s="11"/>
      <c r="H274" s="15"/>
      <c r="I274" s="11"/>
    </row>
    <row r="275">
      <c r="A275" s="11"/>
      <c r="B275" s="12"/>
      <c r="C275" s="11"/>
      <c r="D275" s="11"/>
      <c r="E275" s="11"/>
      <c r="F275" s="11"/>
      <c r="G275" s="11"/>
      <c r="H275" s="15"/>
      <c r="I275" s="11"/>
    </row>
    <row r="276">
      <c r="A276" s="11"/>
      <c r="B276" s="12"/>
      <c r="C276" s="11"/>
      <c r="D276" s="11"/>
      <c r="E276" s="11"/>
      <c r="F276" s="11"/>
      <c r="G276" s="11"/>
      <c r="H276" s="15"/>
      <c r="I276" s="11"/>
    </row>
    <row r="277">
      <c r="A277" s="11"/>
      <c r="B277" s="12"/>
      <c r="C277" s="11"/>
      <c r="D277" s="11"/>
      <c r="E277" s="11"/>
      <c r="F277" s="11"/>
      <c r="G277" s="11"/>
      <c r="H277" s="15"/>
      <c r="I277" s="11"/>
    </row>
    <row r="278">
      <c r="A278" s="11"/>
      <c r="B278" s="12"/>
      <c r="C278" s="11"/>
      <c r="D278" s="11"/>
      <c r="E278" s="11"/>
      <c r="F278" s="11"/>
      <c r="G278" s="11"/>
      <c r="H278" s="15"/>
      <c r="I278" s="11"/>
    </row>
    <row r="279">
      <c r="A279" s="11"/>
      <c r="B279" s="12"/>
      <c r="C279" s="11"/>
      <c r="D279" s="11"/>
      <c r="E279" s="11"/>
      <c r="F279" s="11"/>
      <c r="G279" s="11"/>
      <c r="H279" s="15"/>
      <c r="I279" s="11"/>
    </row>
    <row r="280">
      <c r="A280" s="11"/>
      <c r="B280" s="12"/>
      <c r="C280" s="11"/>
      <c r="D280" s="11"/>
      <c r="E280" s="11"/>
      <c r="F280" s="11"/>
      <c r="G280" s="11"/>
      <c r="H280" s="15"/>
      <c r="I280" s="11"/>
    </row>
    <row r="281">
      <c r="A281" s="11"/>
      <c r="B281" s="12"/>
      <c r="C281" s="11"/>
      <c r="D281" s="11"/>
      <c r="E281" s="11"/>
      <c r="F281" s="11"/>
      <c r="G281" s="11"/>
      <c r="H281" s="15"/>
      <c r="I281" s="11"/>
    </row>
    <row r="282">
      <c r="A282" s="11"/>
      <c r="B282" s="12"/>
      <c r="C282" s="11"/>
      <c r="D282" s="11"/>
      <c r="E282" s="11"/>
      <c r="F282" s="11"/>
      <c r="G282" s="11"/>
      <c r="H282" s="15"/>
      <c r="I282" s="11"/>
    </row>
    <row r="283">
      <c r="A283" s="11"/>
      <c r="B283" s="12"/>
      <c r="C283" s="11"/>
      <c r="D283" s="11"/>
      <c r="E283" s="11"/>
      <c r="F283" s="11"/>
      <c r="G283" s="11"/>
      <c r="H283" s="15"/>
      <c r="I283" s="11"/>
    </row>
    <row r="284">
      <c r="A284" s="11"/>
      <c r="B284" s="12"/>
      <c r="C284" s="11"/>
      <c r="D284" s="11"/>
      <c r="E284" s="11"/>
      <c r="F284" s="11"/>
      <c r="G284" s="11"/>
      <c r="H284" s="15"/>
      <c r="I284" s="11"/>
    </row>
    <row r="285">
      <c r="A285" s="11"/>
      <c r="B285" s="12"/>
      <c r="C285" s="11"/>
      <c r="D285" s="11"/>
      <c r="E285" s="11"/>
      <c r="F285" s="11"/>
      <c r="G285" s="11"/>
      <c r="H285" s="15"/>
      <c r="I285" s="11"/>
    </row>
    <row r="286">
      <c r="A286" s="11"/>
      <c r="B286" s="12"/>
      <c r="C286" s="11"/>
      <c r="D286" s="11"/>
      <c r="E286" s="11"/>
      <c r="F286" s="11"/>
      <c r="G286" s="11"/>
      <c r="H286" s="15"/>
      <c r="I286" s="11"/>
    </row>
    <row r="287">
      <c r="A287" s="11"/>
      <c r="B287" s="12"/>
      <c r="C287" s="11"/>
      <c r="D287" s="11"/>
      <c r="E287" s="11"/>
      <c r="F287" s="11"/>
      <c r="G287" s="11"/>
      <c r="H287" s="15"/>
      <c r="I287" s="11"/>
    </row>
    <row r="288">
      <c r="A288" s="11"/>
      <c r="B288" s="12"/>
      <c r="C288" s="11"/>
      <c r="D288" s="11"/>
      <c r="E288" s="11"/>
      <c r="F288" s="11"/>
      <c r="G288" s="11"/>
      <c r="H288" s="15"/>
      <c r="I288" s="11"/>
    </row>
    <row r="289">
      <c r="A289" s="11"/>
      <c r="B289" s="12"/>
      <c r="C289" s="11"/>
      <c r="D289" s="11"/>
      <c r="E289" s="11"/>
      <c r="F289" s="11"/>
      <c r="G289" s="11"/>
      <c r="H289" s="15"/>
      <c r="I289" s="11"/>
    </row>
    <row r="290">
      <c r="A290" s="11"/>
      <c r="B290" s="12"/>
      <c r="C290" s="11"/>
      <c r="D290" s="11"/>
      <c r="E290" s="11"/>
      <c r="F290" s="11"/>
      <c r="G290" s="11"/>
      <c r="H290" s="15"/>
      <c r="I290" s="11"/>
    </row>
    <row r="291">
      <c r="A291" s="11"/>
      <c r="B291" s="12"/>
      <c r="C291" s="11"/>
      <c r="D291" s="11"/>
      <c r="E291" s="11"/>
      <c r="F291" s="11"/>
      <c r="G291" s="11"/>
      <c r="H291" s="15"/>
      <c r="I291" s="11"/>
    </row>
    <row r="292">
      <c r="A292" s="11"/>
      <c r="B292" s="12"/>
      <c r="C292" s="11"/>
      <c r="D292" s="11"/>
      <c r="E292" s="11"/>
      <c r="F292" s="11"/>
      <c r="G292" s="11"/>
      <c r="H292" s="15"/>
      <c r="I292" s="11"/>
    </row>
    <row r="293">
      <c r="A293" s="11"/>
      <c r="B293" s="12"/>
      <c r="C293" s="11"/>
      <c r="D293" s="11"/>
      <c r="E293" s="11"/>
      <c r="F293" s="11"/>
      <c r="G293" s="11"/>
      <c r="H293" s="15"/>
      <c r="I293" s="11"/>
    </row>
    <row r="294">
      <c r="A294" s="11"/>
      <c r="B294" s="12"/>
      <c r="C294" s="11"/>
      <c r="D294" s="11"/>
      <c r="E294" s="11"/>
      <c r="F294" s="11"/>
      <c r="G294" s="11"/>
      <c r="H294" s="15"/>
      <c r="I294" s="11"/>
    </row>
    <row r="295">
      <c r="A295" s="11"/>
      <c r="B295" s="12"/>
      <c r="C295" s="11"/>
      <c r="D295" s="11"/>
      <c r="E295" s="11"/>
      <c r="F295" s="11"/>
      <c r="G295" s="11"/>
      <c r="H295" s="15"/>
      <c r="I295" s="11"/>
    </row>
    <row r="296">
      <c r="A296" s="11"/>
      <c r="B296" s="12"/>
      <c r="C296" s="11"/>
      <c r="D296" s="11"/>
      <c r="E296" s="11"/>
      <c r="F296" s="11"/>
      <c r="G296" s="11"/>
      <c r="H296" s="15"/>
      <c r="I296" s="11"/>
    </row>
    <row r="297">
      <c r="A297" s="11"/>
      <c r="B297" s="12"/>
      <c r="C297" s="11"/>
      <c r="D297" s="11"/>
      <c r="E297" s="11"/>
      <c r="F297" s="11"/>
      <c r="G297" s="11"/>
      <c r="H297" s="15"/>
      <c r="I297" s="11"/>
    </row>
    <row r="298">
      <c r="A298" s="11"/>
      <c r="B298" s="12"/>
      <c r="C298" s="11"/>
      <c r="D298" s="11"/>
      <c r="E298" s="11"/>
      <c r="F298" s="11"/>
      <c r="G298" s="11"/>
      <c r="H298" s="15"/>
      <c r="I298" s="11"/>
    </row>
    <row r="299">
      <c r="A299" s="11"/>
      <c r="B299" s="12"/>
      <c r="C299" s="11"/>
      <c r="D299" s="11"/>
      <c r="E299" s="11"/>
      <c r="F299" s="11"/>
      <c r="G299" s="11"/>
      <c r="H299" s="15"/>
      <c r="I299" s="11"/>
    </row>
    <row r="300">
      <c r="A300" s="11"/>
      <c r="B300" s="12"/>
      <c r="C300" s="11"/>
      <c r="D300" s="11"/>
      <c r="E300" s="11"/>
      <c r="F300" s="11"/>
      <c r="G300" s="11"/>
      <c r="H300" s="15"/>
      <c r="I300" s="11"/>
    </row>
    <row r="301">
      <c r="A301" s="11"/>
      <c r="B301" s="12"/>
      <c r="C301" s="11"/>
      <c r="D301" s="11"/>
      <c r="E301" s="11"/>
      <c r="F301" s="11"/>
      <c r="G301" s="11"/>
      <c r="H301" s="15"/>
      <c r="I301" s="11"/>
    </row>
    <row r="302">
      <c r="A302" s="11"/>
      <c r="B302" s="12"/>
      <c r="C302" s="11"/>
      <c r="D302" s="11"/>
      <c r="E302" s="11"/>
      <c r="F302" s="11"/>
      <c r="G302" s="11"/>
      <c r="H302" s="15"/>
      <c r="I302" s="11"/>
    </row>
    <row r="303">
      <c r="A303" s="11"/>
      <c r="B303" s="12"/>
      <c r="C303" s="11"/>
      <c r="D303" s="11"/>
      <c r="E303" s="11"/>
      <c r="F303" s="11"/>
      <c r="G303" s="11"/>
      <c r="H303" s="15"/>
      <c r="I303" s="11"/>
    </row>
    <row r="304">
      <c r="A304" s="11"/>
      <c r="B304" s="12"/>
      <c r="C304" s="11"/>
      <c r="D304" s="11"/>
      <c r="E304" s="11"/>
      <c r="F304" s="11"/>
      <c r="G304" s="11"/>
      <c r="H304" s="15"/>
      <c r="I304" s="11"/>
    </row>
    <row r="305">
      <c r="A305" s="11"/>
      <c r="B305" s="12"/>
      <c r="C305" s="11"/>
      <c r="D305" s="11"/>
      <c r="E305" s="11"/>
      <c r="F305" s="11"/>
      <c r="G305" s="11"/>
      <c r="H305" s="15"/>
      <c r="I305" s="11"/>
    </row>
    <row r="306">
      <c r="A306" s="11"/>
      <c r="B306" s="12"/>
      <c r="C306" s="11"/>
      <c r="D306" s="11"/>
      <c r="E306" s="11"/>
      <c r="F306" s="11"/>
      <c r="G306" s="11"/>
      <c r="H306" s="15"/>
      <c r="I306" s="11"/>
    </row>
    <row r="307">
      <c r="A307" s="11"/>
      <c r="B307" s="12"/>
      <c r="C307" s="11"/>
      <c r="D307" s="11"/>
      <c r="E307" s="11"/>
      <c r="F307" s="11"/>
      <c r="G307" s="11"/>
      <c r="H307" s="15"/>
      <c r="I307" s="11"/>
    </row>
    <row r="308">
      <c r="A308" s="11"/>
      <c r="B308" s="12"/>
      <c r="C308" s="11"/>
      <c r="D308" s="11"/>
      <c r="E308" s="11"/>
      <c r="F308" s="11"/>
      <c r="G308" s="11"/>
      <c r="H308" s="15"/>
      <c r="I308" s="11"/>
    </row>
    <row r="309">
      <c r="A309" s="11"/>
      <c r="B309" s="12"/>
      <c r="C309" s="11"/>
      <c r="D309" s="11"/>
      <c r="E309" s="11"/>
      <c r="F309" s="11"/>
      <c r="G309" s="11"/>
      <c r="H309" s="15"/>
      <c r="I309" s="11"/>
    </row>
    <row r="310">
      <c r="A310" s="11"/>
      <c r="B310" s="12"/>
      <c r="C310" s="11"/>
      <c r="D310" s="11"/>
      <c r="E310" s="11"/>
      <c r="F310" s="11"/>
      <c r="G310" s="11"/>
      <c r="H310" s="15"/>
      <c r="I310" s="11"/>
    </row>
    <row r="311">
      <c r="A311" s="11"/>
      <c r="B311" s="12"/>
      <c r="C311" s="11"/>
      <c r="D311" s="11"/>
      <c r="E311" s="11"/>
      <c r="F311" s="11"/>
      <c r="G311" s="11"/>
      <c r="H311" s="15"/>
      <c r="I311" s="11"/>
    </row>
    <row r="312">
      <c r="A312" s="11"/>
      <c r="B312" s="12"/>
      <c r="C312" s="11"/>
      <c r="D312" s="11"/>
      <c r="E312" s="11"/>
      <c r="F312" s="11"/>
      <c r="G312" s="11"/>
      <c r="H312" s="15"/>
      <c r="I312" s="11"/>
    </row>
    <row r="313">
      <c r="A313" s="11"/>
      <c r="B313" s="12"/>
      <c r="C313" s="11"/>
      <c r="D313" s="11"/>
      <c r="E313" s="11"/>
      <c r="F313" s="11"/>
      <c r="G313" s="11"/>
      <c r="H313" s="15"/>
      <c r="I313" s="11"/>
    </row>
    <row r="314">
      <c r="A314" s="11"/>
      <c r="B314" s="12"/>
      <c r="C314" s="11"/>
      <c r="D314" s="11"/>
      <c r="E314" s="11"/>
      <c r="F314" s="11"/>
      <c r="G314" s="11"/>
      <c r="H314" s="15"/>
      <c r="I314" s="11"/>
    </row>
    <row r="315">
      <c r="A315" s="11"/>
      <c r="B315" s="12"/>
      <c r="C315" s="11"/>
      <c r="D315" s="11"/>
      <c r="E315" s="11"/>
      <c r="F315" s="11"/>
      <c r="G315" s="11"/>
      <c r="H315" s="15"/>
      <c r="I315" s="11"/>
    </row>
    <row r="316">
      <c r="A316" s="11"/>
      <c r="B316" s="12"/>
      <c r="C316" s="11"/>
      <c r="D316" s="11"/>
      <c r="E316" s="11"/>
      <c r="F316" s="11"/>
      <c r="G316" s="11"/>
      <c r="H316" s="15"/>
      <c r="I316" s="11"/>
    </row>
    <row r="317">
      <c r="A317" s="11"/>
      <c r="B317" s="12"/>
      <c r="C317" s="11"/>
      <c r="D317" s="11"/>
      <c r="E317" s="11"/>
      <c r="F317" s="11"/>
      <c r="G317" s="11"/>
      <c r="H317" s="15"/>
      <c r="I317" s="11"/>
    </row>
    <row r="318">
      <c r="A318" s="11"/>
      <c r="B318" s="12"/>
      <c r="C318" s="11"/>
      <c r="D318" s="11"/>
      <c r="E318" s="11"/>
      <c r="F318" s="11"/>
      <c r="G318" s="11"/>
      <c r="H318" s="15"/>
      <c r="I318" s="11"/>
    </row>
    <row r="319">
      <c r="A319" s="11"/>
      <c r="B319" s="12"/>
      <c r="C319" s="11"/>
      <c r="D319" s="11"/>
      <c r="E319" s="11"/>
      <c r="F319" s="11"/>
      <c r="G319" s="11"/>
      <c r="H319" s="15"/>
      <c r="I319" s="11"/>
    </row>
    <row r="320">
      <c r="A320" s="11"/>
      <c r="B320" s="12"/>
      <c r="C320" s="11"/>
      <c r="D320" s="11"/>
      <c r="E320" s="11"/>
      <c r="F320" s="11"/>
      <c r="G320" s="11"/>
      <c r="H320" s="15"/>
      <c r="I320" s="11"/>
    </row>
    <row r="321">
      <c r="A321" s="11"/>
      <c r="B321" s="12"/>
      <c r="C321" s="11"/>
      <c r="D321" s="11"/>
      <c r="E321" s="11"/>
      <c r="F321" s="11"/>
      <c r="G321" s="11"/>
      <c r="H321" s="15"/>
      <c r="I321" s="11"/>
    </row>
    <row r="322">
      <c r="A322" s="11"/>
      <c r="B322" s="12"/>
      <c r="C322" s="11"/>
      <c r="D322" s="11"/>
      <c r="E322" s="11"/>
      <c r="F322" s="11"/>
      <c r="G322" s="11"/>
      <c r="H322" s="15"/>
      <c r="I322" s="11"/>
    </row>
    <row r="323">
      <c r="A323" s="11"/>
      <c r="B323" s="12"/>
      <c r="C323" s="11"/>
      <c r="D323" s="11"/>
      <c r="E323" s="11"/>
      <c r="F323" s="11"/>
      <c r="G323" s="11"/>
      <c r="H323" s="15"/>
      <c r="I323" s="11"/>
    </row>
    <row r="324">
      <c r="A324" s="11"/>
      <c r="B324" s="12"/>
      <c r="C324" s="11"/>
      <c r="D324" s="11"/>
      <c r="E324" s="11"/>
      <c r="F324" s="11"/>
      <c r="G324" s="11"/>
      <c r="H324" s="15"/>
      <c r="I324" s="11"/>
    </row>
    <row r="325">
      <c r="A325" s="11"/>
      <c r="B325" s="12"/>
      <c r="C325" s="11"/>
      <c r="D325" s="11"/>
      <c r="E325" s="11"/>
      <c r="F325" s="11"/>
      <c r="G325" s="11"/>
      <c r="H325" s="15"/>
      <c r="I325" s="11"/>
    </row>
    <row r="326">
      <c r="A326" s="11"/>
      <c r="B326" s="12"/>
      <c r="C326" s="11"/>
      <c r="D326" s="11"/>
      <c r="E326" s="11"/>
      <c r="F326" s="11"/>
      <c r="G326" s="11"/>
      <c r="H326" s="15"/>
      <c r="I326" s="11"/>
    </row>
    <row r="327">
      <c r="A327" s="11"/>
      <c r="B327" s="12"/>
      <c r="C327" s="11"/>
      <c r="D327" s="11"/>
      <c r="E327" s="11"/>
      <c r="F327" s="11"/>
      <c r="G327" s="11"/>
      <c r="H327" s="15"/>
      <c r="I327" s="11"/>
    </row>
    <row r="328">
      <c r="A328" s="11"/>
      <c r="B328" s="12"/>
      <c r="C328" s="11"/>
      <c r="D328" s="11"/>
      <c r="E328" s="11"/>
      <c r="F328" s="11"/>
      <c r="G328" s="11"/>
      <c r="H328" s="15"/>
      <c r="I328" s="11"/>
    </row>
    <row r="329">
      <c r="A329" s="11"/>
      <c r="B329" s="12"/>
      <c r="C329" s="11"/>
      <c r="D329" s="11"/>
      <c r="E329" s="11"/>
      <c r="F329" s="11"/>
      <c r="G329" s="11"/>
      <c r="H329" s="15"/>
      <c r="I329" s="11"/>
    </row>
    <row r="330">
      <c r="A330" s="11"/>
      <c r="B330" s="12"/>
      <c r="C330" s="11"/>
      <c r="D330" s="11"/>
      <c r="E330" s="11"/>
      <c r="F330" s="11"/>
      <c r="G330" s="11"/>
      <c r="H330" s="15"/>
      <c r="I330" s="11"/>
    </row>
    <row r="331">
      <c r="A331" s="11"/>
      <c r="B331" s="12"/>
      <c r="C331" s="11"/>
      <c r="D331" s="11"/>
      <c r="E331" s="11"/>
      <c r="F331" s="11"/>
      <c r="G331" s="11"/>
      <c r="H331" s="15"/>
      <c r="I331" s="11"/>
    </row>
    <row r="332">
      <c r="A332" s="11"/>
      <c r="B332" s="12"/>
      <c r="C332" s="11"/>
      <c r="D332" s="11"/>
      <c r="E332" s="11"/>
      <c r="F332" s="11"/>
      <c r="G332" s="11"/>
      <c r="H332" s="15"/>
      <c r="I332" s="11"/>
    </row>
    <row r="333">
      <c r="A333" s="11"/>
      <c r="B333" s="12"/>
      <c r="C333" s="11"/>
      <c r="D333" s="11"/>
      <c r="E333" s="11"/>
      <c r="F333" s="11"/>
      <c r="G333" s="11"/>
      <c r="H333" s="15"/>
      <c r="I333" s="11"/>
    </row>
    <row r="334">
      <c r="A334" s="11"/>
      <c r="B334" s="12"/>
      <c r="C334" s="11"/>
      <c r="D334" s="11"/>
      <c r="E334" s="11"/>
      <c r="F334" s="11"/>
      <c r="G334" s="11"/>
      <c r="H334" s="15"/>
      <c r="I334" s="11"/>
    </row>
    <row r="335">
      <c r="A335" s="11"/>
      <c r="B335" s="12"/>
      <c r="C335" s="11"/>
      <c r="D335" s="11"/>
      <c r="E335" s="11"/>
      <c r="F335" s="11"/>
      <c r="G335" s="11"/>
      <c r="H335" s="15"/>
      <c r="I335" s="11"/>
    </row>
    <row r="336">
      <c r="A336" s="11"/>
      <c r="B336" s="12"/>
      <c r="C336" s="11"/>
      <c r="D336" s="11"/>
      <c r="E336" s="11"/>
      <c r="F336" s="11"/>
      <c r="G336" s="11"/>
      <c r="H336" s="15"/>
      <c r="I336" s="11"/>
    </row>
    <row r="337">
      <c r="A337" s="11"/>
      <c r="B337" s="12"/>
      <c r="C337" s="11"/>
      <c r="D337" s="11"/>
      <c r="E337" s="11"/>
      <c r="F337" s="11"/>
      <c r="G337" s="11"/>
      <c r="H337" s="15"/>
      <c r="I337" s="11"/>
    </row>
    <row r="338">
      <c r="A338" s="11"/>
      <c r="B338" s="12"/>
      <c r="C338" s="11"/>
      <c r="D338" s="11"/>
      <c r="E338" s="11"/>
      <c r="F338" s="11"/>
      <c r="G338" s="11"/>
      <c r="H338" s="15"/>
      <c r="I338" s="11"/>
    </row>
    <row r="339">
      <c r="A339" s="11"/>
      <c r="B339" s="12"/>
      <c r="C339" s="11"/>
      <c r="D339" s="11"/>
      <c r="E339" s="11"/>
      <c r="F339" s="11"/>
      <c r="G339" s="11"/>
      <c r="H339" s="15"/>
      <c r="I339" s="11"/>
    </row>
    <row r="340">
      <c r="A340" s="11"/>
      <c r="B340" s="12"/>
      <c r="C340" s="11"/>
      <c r="D340" s="11"/>
      <c r="E340" s="11"/>
      <c r="F340" s="11"/>
      <c r="G340" s="11"/>
      <c r="H340" s="15"/>
      <c r="I340" s="11"/>
    </row>
    <row r="341">
      <c r="A341" s="11"/>
      <c r="B341" s="12"/>
      <c r="C341" s="11"/>
      <c r="D341" s="11"/>
      <c r="E341" s="11"/>
      <c r="F341" s="11"/>
      <c r="G341" s="11"/>
      <c r="H341" s="15"/>
      <c r="I341" s="11"/>
    </row>
    <row r="342">
      <c r="A342" s="11"/>
      <c r="B342" s="12"/>
      <c r="C342" s="11"/>
      <c r="D342" s="11"/>
      <c r="E342" s="11"/>
      <c r="F342" s="11"/>
      <c r="G342" s="11"/>
      <c r="H342" s="15"/>
      <c r="I342" s="11"/>
    </row>
    <row r="343">
      <c r="A343" s="11"/>
      <c r="B343" s="12"/>
      <c r="C343" s="11"/>
      <c r="D343" s="11"/>
      <c r="E343" s="11"/>
      <c r="F343" s="11"/>
      <c r="G343" s="11"/>
      <c r="H343" s="15"/>
      <c r="I343" s="11"/>
    </row>
    <row r="344">
      <c r="A344" s="11"/>
      <c r="B344" s="12"/>
      <c r="C344" s="11"/>
      <c r="D344" s="11"/>
      <c r="E344" s="11"/>
      <c r="F344" s="11"/>
      <c r="G344" s="11"/>
      <c r="H344" s="15"/>
      <c r="I344" s="11"/>
    </row>
    <row r="345">
      <c r="A345" s="11"/>
      <c r="B345" s="12"/>
      <c r="C345" s="11"/>
      <c r="D345" s="11"/>
      <c r="E345" s="11"/>
      <c r="F345" s="11"/>
      <c r="G345" s="11"/>
      <c r="H345" s="15"/>
      <c r="I345" s="11"/>
    </row>
    <row r="346">
      <c r="A346" s="11"/>
      <c r="B346" s="12"/>
      <c r="C346" s="11"/>
      <c r="D346" s="11"/>
      <c r="E346" s="11"/>
      <c r="F346" s="11"/>
      <c r="G346" s="11"/>
      <c r="H346" s="15"/>
      <c r="I346" s="11"/>
    </row>
    <row r="347">
      <c r="A347" s="11"/>
      <c r="B347" s="12"/>
      <c r="C347" s="11"/>
      <c r="D347" s="11"/>
      <c r="E347" s="11"/>
      <c r="F347" s="11"/>
      <c r="G347" s="11"/>
      <c r="H347" s="15"/>
      <c r="I347" s="11"/>
    </row>
    <row r="348">
      <c r="A348" s="11"/>
      <c r="B348" s="12"/>
      <c r="C348" s="11"/>
      <c r="D348" s="11"/>
      <c r="E348" s="11"/>
      <c r="F348" s="11"/>
      <c r="G348" s="11"/>
      <c r="H348" s="15"/>
      <c r="I348" s="11"/>
    </row>
    <row r="349">
      <c r="A349" s="11"/>
      <c r="B349" s="12"/>
      <c r="C349" s="11"/>
      <c r="D349" s="11"/>
      <c r="E349" s="11"/>
      <c r="F349" s="11"/>
      <c r="G349" s="11"/>
      <c r="H349" s="15"/>
      <c r="I349" s="11"/>
    </row>
    <row r="350">
      <c r="A350" s="11"/>
      <c r="B350" s="12"/>
      <c r="C350" s="11"/>
      <c r="D350" s="11"/>
      <c r="E350" s="11"/>
      <c r="F350" s="11"/>
      <c r="G350" s="11"/>
      <c r="H350" s="15"/>
      <c r="I350" s="11"/>
    </row>
    <row r="351">
      <c r="A351" s="11"/>
      <c r="B351" s="12"/>
      <c r="C351" s="11"/>
      <c r="D351" s="11"/>
      <c r="E351" s="11"/>
      <c r="F351" s="11"/>
      <c r="G351" s="11"/>
      <c r="H351" s="15"/>
      <c r="I351" s="11"/>
    </row>
    <row r="352">
      <c r="A352" s="11"/>
      <c r="B352" s="12"/>
      <c r="C352" s="11"/>
      <c r="D352" s="11"/>
      <c r="E352" s="11"/>
      <c r="F352" s="11"/>
      <c r="G352" s="11"/>
      <c r="H352" s="15"/>
      <c r="I352" s="11"/>
    </row>
    <row r="353">
      <c r="A353" s="11"/>
      <c r="B353" s="12"/>
      <c r="C353" s="11"/>
      <c r="D353" s="11"/>
      <c r="E353" s="11"/>
      <c r="F353" s="11"/>
      <c r="G353" s="11"/>
      <c r="H353" s="15"/>
      <c r="I353" s="11"/>
    </row>
    <row r="354">
      <c r="A354" s="11"/>
      <c r="B354" s="12"/>
      <c r="C354" s="11"/>
      <c r="D354" s="11"/>
      <c r="E354" s="11"/>
      <c r="F354" s="11"/>
      <c r="G354" s="11"/>
      <c r="H354" s="15"/>
      <c r="I354" s="11"/>
    </row>
    <row r="355">
      <c r="A355" s="11"/>
      <c r="B355" s="12"/>
      <c r="C355" s="11"/>
      <c r="D355" s="11"/>
      <c r="E355" s="11"/>
      <c r="F355" s="11"/>
      <c r="G355" s="11"/>
      <c r="H355" s="15"/>
      <c r="I355" s="11"/>
    </row>
    <row r="356">
      <c r="A356" s="11"/>
      <c r="B356" s="12"/>
      <c r="C356" s="11"/>
      <c r="D356" s="11"/>
      <c r="E356" s="11"/>
      <c r="F356" s="11"/>
      <c r="G356" s="11"/>
      <c r="H356" s="15"/>
      <c r="I356" s="11"/>
    </row>
    <row r="357">
      <c r="A357" s="11"/>
      <c r="B357" s="12"/>
      <c r="C357" s="11"/>
      <c r="D357" s="11"/>
      <c r="E357" s="11"/>
      <c r="F357" s="11"/>
      <c r="G357" s="11"/>
      <c r="H357" s="15"/>
      <c r="I357" s="11"/>
    </row>
    <row r="358">
      <c r="A358" s="11"/>
      <c r="B358" s="12"/>
      <c r="C358" s="11"/>
      <c r="D358" s="11"/>
      <c r="E358" s="11"/>
      <c r="F358" s="11"/>
      <c r="G358" s="11"/>
      <c r="H358" s="15"/>
      <c r="I358" s="11"/>
    </row>
    <row r="359">
      <c r="A359" s="11"/>
      <c r="B359" s="12"/>
      <c r="C359" s="11"/>
      <c r="D359" s="11"/>
      <c r="E359" s="11"/>
      <c r="F359" s="11"/>
      <c r="G359" s="11"/>
      <c r="H359" s="15"/>
      <c r="I359" s="11"/>
    </row>
    <row r="360">
      <c r="A360" s="11"/>
      <c r="B360" s="12"/>
      <c r="C360" s="11"/>
      <c r="D360" s="11"/>
      <c r="E360" s="11"/>
      <c r="F360" s="11"/>
      <c r="G360" s="11"/>
      <c r="H360" s="15"/>
      <c r="I360" s="11"/>
    </row>
    <row r="361">
      <c r="A361" s="11"/>
      <c r="B361" s="12"/>
      <c r="C361" s="11"/>
      <c r="D361" s="11"/>
      <c r="E361" s="11"/>
      <c r="F361" s="11"/>
      <c r="G361" s="11"/>
      <c r="H361" s="15"/>
      <c r="I361" s="11"/>
    </row>
    <row r="362">
      <c r="A362" s="11"/>
      <c r="B362" s="12"/>
      <c r="C362" s="11"/>
      <c r="D362" s="11"/>
      <c r="E362" s="11"/>
      <c r="F362" s="11"/>
      <c r="G362" s="11"/>
      <c r="H362" s="15"/>
      <c r="I362" s="11"/>
    </row>
    <row r="363">
      <c r="A363" s="11"/>
      <c r="B363" s="12"/>
      <c r="C363" s="11"/>
      <c r="D363" s="11"/>
      <c r="E363" s="11"/>
      <c r="F363" s="11"/>
      <c r="G363" s="11"/>
      <c r="H363" s="15"/>
      <c r="I363" s="11"/>
    </row>
    <row r="364">
      <c r="A364" s="11"/>
      <c r="B364" s="12"/>
      <c r="C364" s="11"/>
      <c r="D364" s="11"/>
      <c r="E364" s="11"/>
      <c r="F364" s="11"/>
      <c r="G364" s="11"/>
      <c r="H364" s="15"/>
      <c r="I364" s="11"/>
    </row>
    <row r="365">
      <c r="A365" s="11"/>
      <c r="B365" s="12"/>
      <c r="C365" s="11"/>
      <c r="D365" s="11"/>
      <c r="E365" s="11"/>
      <c r="F365" s="11"/>
      <c r="G365" s="11"/>
      <c r="H365" s="15"/>
      <c r="I365" s="11"/>
    </row>
    <row r="366">
      <c r="A366" s="11"/>
      <c r="B366" s="12"/>
      <c r="C366" s="11"/>
      <c r="D366" s="11"/>
      <c r="E366" s="11"/>
      <c r="F366" s="11"/>
      <c r="G366" s="11"/>
      <c r="H366" s="15"/>
      <c r="I366" s="11"/>
    </row>
    <row r="367">
      <c r="A367" s="11"/>
      <c r="B367" s="12"/>
      <c r="C367" s="11"/>
      <c r="D367" s="11"/>
      <c r="E367" s="11"/>
      <c r="F367" s="11"/>
      <c r="G367" s="11"/>
      <c r="H367" s="15"/>
      <c r="I367" s="11"/>
    </row>
    <row r="368">
      <c r="A368" s="11"/>
      <c r="B368" s="12"/>
      <c r="C368" s="11"/>
      <c r="D368" s="11"/>
      <c r="E368" s="11"/>
      <c r="F368" s="11"/>
      <c r="G368" s="11"/>
      <c r="H368" s="15"/>
      <c r="I368" s="11"/>
    </row>
    <row r="369">
      <c r="A369" s="11"/>
      <c r="B369" s="12"/>
      <c r="C369" s="11"/>
      <c r="D369" s="11"/>
      <c r="E369" s="11"/>
      <c r="F369" s="11"/>
      <c r="G369" s="11"/>
      <c r="H369" s="15"/>
      <c r="I369" s="11"/>
    </row>
    <row r="370">
      <c r="A370" s="11"/>
      <c r="B370" s="12"/>
      <c r="C370" s="11"/>
      <c r="D370" s="11"/>
      <c r="E370" s="11"/>
      <c r="F370" s="11"/>
      <c r="G370" s="11"/>
      <c r="H370" s="15"/>
      <c r="I370" s="11"/>
    </row>
    <row r="371">
      <c r="A371" s="11"/>
      <c r="B371" s="12"/>
      <c r="C371" s="11"/>
      <c r="D371" s="11"/>
      <c r="E371" s="11"/>
      <c r="F371" s="11"/>
      <c r="G371" s="11"/>
      <c r="H371" s="15"/>
      <c r="I371" s="11"/>
    </row>
    <row r="372">
      <c r="A372" s="11"/>
      <c r="B372" s="12"/>
      <c r="C372" s="11"/>
      <c r="D372" s="11"/>
      <c r="E372" s="11"/>
      <c r="F372" s="11"/>
      <c r="G372" s="11"/>
      <c r="H372" s="15"/>
      <c r="I372" s="11"/>
    </row>
    <row r="373">
      <c r="A373" s="11"/>
      <c r="B373" s="12"/>
      <c r="C373" s="11"/>
      <c r="D373" s="11"/>
      <c r="E373" s="11"/>
      <c r="F373" s="11"/>
      <c r="G373" s="11"/>
      <c r="H373" s="15"/>
      <c r="I373" s="11"/>
    </row>
    <row r="374">
      <c r="A374" s="11"/>
      <c r="B374" s="12"/>
      <c r="C374" s="11"/>
      <c r="D374" s="11"/>
      <c r="E374" s="11"/>
      <c r="F374" s="11"/>
      <c r="G374" s="11"/>
      <c r="H374" s="15"/>
      <c r="I374" s="11"/>
    </row>
    <row r="375">
      <c r="A375" s="11"/>
      <c r="B375" s="12"/>
      <c r="C375" s="11"/>
      <c r="D375" s="11"/>
      <c r="E375" s="11"/>
      <c r="F375" s="11"/>
      <c r="G375" s="11"/>
      <c r="H375" s="15"/>
      <c r="I375" s="11"/>
    </row>
    <row r="376">
      <c r="A376" s="11"/>
      <c r="B376" s="12"/>
      <c r="C376" s="11"/>
      <c r="D376" s="11"/>
      <c r="E376" s="11"/>
      <c r="F376" s="11"/>
      <c r="G376" s="11"/>
      <c r="H376" s="15"/>
      <c r="I376" s="11"/>
    </row>
    <row r="377">
      <c r="A377" s="11"/>
      <c r="B377" s="12"/>
      <c r="C377" s="11"/>
      <c r="D377" s="11"/>
      <c r="E377" s="11"/>
      <c r="F377" s="11"/>
      <c r="G377" s="11"/>
      <c r="H377" s="15"/>
      <c r="I377" s="11"/>
    </row>
    <row r="378">
      <c r="A378" s="11"/>
      <c r="B378" s="12"/>
      <c r="C378" s="11"/>
      <c r="D378" s="11"/>
      <c r="E378" s="11"/>
      <c r="F378" s="11"/>
      <c r="G378" s="11"/>
      <c r="H378" s="15"/>
      <c r="I378" s="11"/>
    </row>
    <row r="379">
      <c r="A379" s="11"/>
      <c r="B379" s="12"/>
      <c r="C379" s="11"/>
      <c r="D379" s="11"/>
      <c r="E379" s="11"/>
      <c r="F379" s="11"/>
      <c r="G379" s="11"/>
      <c r="H379" s="15"/>
      <c r="I379" s="11"/>
    </row>
    <row r="380">
      <c r="A380" s="11"/>
      <c r="B380" s="12"/>
      <c r="C380" s="11"/>
      <c r="D380" s="11"/>
      <c r="E380" s="11"/>
      <c r="F380" s="11"/>
      <c r="G380" s="11"/>
      <c r="H380" s="15"/>
      <c r="I380" s="11"/>
    </row>
    <row r="381">
      <c r="A381" s="11"/>
      <c r="B381" s="12"/>
      <c r="C381" s="11"/>
      <c r="D381" s="11"/>
      <c r="E381" s="11"/>
      <c r="F381" s="11"/>
      <c r="G381" s="11"/>
      <c r="H381" s="15"/>
      <c r="I381" s="11"/>
    </row>
    <row r="382">
      <c r="A382" s="11"/>
      <c r="B382" s="12"/>
      <c r="C382" s="11"/>
      <c r="D382" s="11"/>
      <c r="E382" s="11"/>
      <c r="F382" s="11"/>
      <c r="G382" s="11"/>
      <c r="H382" s="15"/>
      <c r="I382" s="11"/>
    </row>
    <row r="383">
      <c r="A383" s="11"/>
      <c r="B383" s="12"/>
      <c r="C383" s="11"/>
      <c r="D383" s="11"/>
      <c r="E383" s="11"/>
      <c r="F383" s="11"/>
      <c r="G383" s="11"/>
      <c r="H383" s="15"/>
      <c r="I383" s="11"/>
    </row>
    <row r="384">
      <c r="A384" s="11"/>
      <c r="B384" s="12"/>
      <c r="C384" s="11"/>
      <c r="D384" s="11"/>
      <c r="E384" s="11"/>
      <c r="F384" s="11"/>
      <c r="G384" s="11"/>
      <c r="H384" s="15"/>
      <c r="I384" s="11"/>
    </row>
    <row r="385">
      <c r="A385" s="11"/>
      <c r="B385" s="12"/>
      <c r="C385" s="11"/>
      <c r="D385" s="11"/>
      <c r="E385" s="11"/>
      <c r="F385" s="11"/>
      <c r="G385" s="11"/>
      <c r="H385" s="15"/>
      <c r="I385" s="11"/>
    </row>
    <row r="386">
      <c r="A386" s="11"/>
      <c r="B386" s="12"/>
      <c r="C386" s="11"/>
      <c r="D386" s="11"/>
      <c r="E386" s="11"/>
      <c r="F386" s="11"/>
      <c r="G386" s="11"/>
      <c r="H386" s="15"/>
      <c r="I386" s="11"/>
    </row>
    <row r="387">
      <c r="A387" s="11"/>
      <c r="B387" s="12"/>
      <c r="C387" s="11"/>
      <c r="D387" s="11"/>
      <c r="E387" s="11"/>
      <c r="F387" s="11"/>
      <c r="G387" s="11"/>
      <c r="H387" s="15"/>
      <c r="I387" s="11"/>
    </row>
    <row r="388">
      <c r="A388" s="11"/>
      <c r="B388" s="12"/>
      <c r="C388" s="11"/>
      <c r="D388" s="11"/>
      <c r="E388" s="11"/>
      <c r="F388" s="11"/>
      <c r="G388" s="11"/>
      <c r="H388" s="15"/>
      <c r="I388" s="11"/>
    </row>
    <row r="389">
      <c r="A389" s="11"/>
      <c r="B389" s="12"/>
      <c r="C389" s="11"/>
      <c r="D389" s="11"/>
      <c r="E389" s="11"/>
      <c r="F389" s="11"/>
      <c r="G389" s="11"/>
      <c r="H389" s="15"/>
      <c r="I389" s="11"/>
    </row>
    <row r="390">
      <c r="A390" s="11"/>
      <c r="B390" s="12"/>
      <c r="C390" s="11"/>
      <c r="D390" s="11"/>
      <c r="E390" s="11"/>
      <c r="F390" s="11"/>
      <c r="G390" s="11"/>
      <c r="H390" s="15"/>
      <c r="I390" s="11"/>
    </row>
    <row r="391">
      <c r="A391" s="11"/>
      <c r="B391" s="12"/>
      <c r="C391" s="11"/>
      <c r="D391" s="11"/>
      <c r="E391" s="11"/>
      <c r="F391" s="11"/>
      <c r="G391" s="11"/>
      <c r="H391" s="15"/>
      <c r="I391" s="11"/>
    </row>
    <row r="392">
      <c r="A392" s="11"/>
      <c r="B392" s="12"/>
      <c r="C392" s="11"/>
      <c r="D392" s="11"/>
      <c r="E392" s="11"/>
      <c r="F392" s="11"/>
      <c r="G392" s="11"/>
      <c r="H392" s="15"/>
      <c r="I392" s="11"/>
    </row>
    <row r="393">
      <c r="A393" s="11"/>
      <c r="B393" s="12"/>
      <c r="C393" s="11"/>
      <c r="D393" s="11"/>
      <c r="E393" s="11"/>
      <c r="F393" s="11"/>
      <c r="G393" s="11"/>
      <c r="H393" s="15"/>
      <c r="I393" s="11"/>
    </row>
    <row r="394">
      <c r="A394" s="11"/>
      <c r="B394" s="12"/>
      <c r="C394" s="11"/>
      <c r="D394" s="11"/>
      <c r="E394" s="11"/>
      <c r="F394" s="11"/>
      <c r="G394" s="11"/>
      <c r="H394" s="15"/>
      <c r="I394" s="11"/>
    </row>
    <row r="395">
      <c r="A395" s="11"/>
      <c r="B395" s="12"/>
      <c r="C395" s="11"/>
      <c r="D395" s="11"/>
      <c r="E395" s="11"/>
      <c r="F395" s="11"/>
      <c r="G395" s="11"/>
      <c r="H395" s="15"/>
      <c r="I395" s="11"/>
    </row>
    <row r="396">
      <c r="A396" s="11"/>
      <c r="B396" s="12"/>
      <c r="C396" s="11"/>
      <c r="D396" s="11"/>
      <c r="E396" s="11"/>
      <c r="F396" s="11"/>
      <c r="G396" s="11"/>
      <c r="H396" s="15"/>
      <c r="I396" s="11"/>
    </row>
    <row r="397">
      <c r="A397" s="11"/>
      <c r="B397" s="12"/>
      <c r="C397" s="11"/>
      <c r="D397" s="11"/>
      <c r="E397" s="11"/>
      <c r="F397" s="11"/>
      <c r="G397" s="11"/>
      <c r="H397" s="15"/>
      <c r="I397" s="11"/>
    </row>
    <row r="398">
      <c r="A398" s="11"/>
      <c r="B398" s="12"/>
      <c r="C398" s="11"/>
      <c r="D398" s="11"/>
      <c r="E398" s="11"/>
      <c r="F398" s="11"/>
      <c r="G398" s="11"/>
      <c r="H398" s="15"/>
      <c r="I398" s="11"/>
    </row>
    <row r="399">
      <c r="A399" s="11"/>
      <c r="B399" s="12"/>
      <c r="C399" s="11"/>
      <c r="D399" s="11"/>
      <c r="E399" s="11"/>
      <c r="F399" s="11"/>
      <c r="G399" s="11"/>
      <c r="H399" s="15"/>
      <c r="I399" s="11"/>
    </row>
    <row r="400">
      <c r="A400" s="11"/>
      <c r="B400" s="12"/>
      <c r="C400" s="11"/>
      <c r="D400" s="11"/>
      <c r="E400" s="11"/>
      <c r="F400" s="11"/>
      <c r="G400" s="11"/>
      <c r="H400" s="15"/>
      <c r="I400" s="11"/>
    </row>
    <row r="401">
      <c r="A401" s="11"/>
      <c r="B401" s="12"/>
      <c r="C401" s="11"/>
      <c r="D401" s="11"/>
      <c r="E401" s="11"/>
      <c r="F401" s="11"/>
      <c r="G401" s="11"/>
      <c r="H401" s="15"/>
      <c r="I401" s="11"/>
    </row>
    <row r="402">
      <c r="A402" s="11"/>
      <c r="B402" s="12"/>
      <c r="C402" s="11"/>
      <c r="D402" s="11"/>
      <c r="E402" s="11"/>
      <c r="F402" s="11"/>
      <c r="G402" s="11"/>
      <c r="H402" s="15"/>
      <c r="I402" s="11"/>
    </row>
    <row r="403">
      <c r="A403" s="11"/>
      <c r="B403" s="12"/>
      <c r="C403" s="11"/>
      <c r="D403" s="11"/>
      <c r="E403" s="11"/>
      <c r="F403" s="11"/>
      <c r="G403" s="11"/>
      <c r="H403" s="15"/>
      <c r="I403" s="11"/>
    </row>
    <row r="404">
      <c r="A404" s="11"/>
      <c r="B404" s="12"/>
      <c r="C404" s="11"/>
      <c r="D404" s="11"/>
      <c r="E404" s="11"/>
      <c r="F404" s="11"/>
      <c r="G404" s="11"/>
      <c r="H404" s="15"/>
      <c r="I404" s="11"/>
    </row>
    <row r="405">
      <c r="A405" s="11"/>
      <c r="B405" s="12"/>
      <c r="C405" s="11"/>
      <c r="D405" s="11"/>
      <c r="E405" s="11"/>
      <c r="F405" s="11"/>
      <c r="G405" s="11"/>
      <c r="H405" s="15"/>
      <c r="I405" s="11"/>
    </row>
    <row r="406">
      <c r="A406" s="11"/>
      <c r="B406" s="12"/>
      <c r="C406" s="11"/>
      <c r="D406" s="11"/>
      <c r="E406" s="11"/>
      <c r="F406" s="11"/>
      <c r="G406" s="11"/>
      <c r="H406" s="15"/>
      <c r="I406" s="11"/>
    </row>
    <row r="407">
      <c r="A407" s="11"/>
      <c r="B407" s="12"/>
      <c r="C407" s="11"/>
      <c r="D407" s="11"/>
      <c r="E407" s="11"/>
      <c r="F407" s="11"/>
      <c r="G407" s="11"/>
      <c r="H407" s="15"/>
      <c r="I407" s="11"/>
    </row>
    <row r="408">
      <c r="A408" s="11"/>
      <c r="B408" s="12"/>
      <c r="C408" s="11"/>
      <c r="D408" s="11"/>
      <c r="E408" s="11"/>
      <c r="F408" s="11"/>
      <c r="G408" s="11"/>
      <c r="H408" s="15"/>
      <c r="I408" s="11"/>
    </row>
    <row r="409">
      <c r="A409" s="11"/>
      <c r="B409" s="12"/>
      <c r="C409" s="11"/>
      <c r="D409" s="11"/>
      <c r="E409" s="11"/>
      <c r="F409" s="11"/>
      <c r="G409" s="11"/>
      <c r="H409" s="15"/>
      <c r="I409" s="11"/>
    </row>
    <row r="410">
      <c r="A410" s="11"/>
      <c r="B410" s="12"/>
      <c r="C410" s="11"/>
      <c r="D410" s="11"/>
      <c r="E410" s="11"/>
      <c r="F410" s="11"/>
      <c r="G410" s="11"/>
      <c r="H410" s="15"/>
      <c r="I410" s="11"/>
    </row>
    <row r="411">
      <c r="A411" s="11"/>
      <c r="B411" s="12"/>
      <c r="C411" s="11"/>
      <c r="D411" s="11"/>
      <c r="E411" s="11"/>
      <c r="F411" s="11"/>
      <c r="G411" s="11"/>
      <c r="H411" s="15"/>
      <c r="I411" s="11"/>
    </row>
    <row r="412">
      <c r="A412" s="11"/>
      <c r="B412" s="12"/>
      <c r="C412" s="11"/>
      <c r="D412" s="11"/>
      <c r="E412" s="11"/>
      <c r="F412" s="11"/>
      <c r="G412" s="11"/>
      <c r="H412" s="15"/>
      <c r="I412" s="11"/>
    </row>
    <row r="413">
      <c r="A413" s="11"/>
      <c r="B413" s="12"/>
      <c r="C413" s="11"/>
      <c r="D413" s="11"/>
      <c r="E413" s="11"/>
      <c r="F413" s="11"/>
      <c r="G413" s="11"/>
      <c r="H413" s="15"/>
      <c r="I413" s="11"/>
    </row>
    <row r="414">
      <c r="A414" s="11"/>
      <c r="B414" s="12"/>
      <c r="C414" s="11"/>
      <c r="D414" s="11"/>
      <c r="E414" s="11"/>
      <c r="F414" s="11"/>
      <c r="G414" s="11"/>
      <c r="H414" s="15"/>
      <c r="I414" s="11"/>
    </row>
    <row r="415">
      <c r="A415" s="11"/>
      <c r="B415" s="12"/>
      <c r="C415" s="11"/>
      <c r="D415" s="11"/>
      <c r="E415" s="11"/>
      <c r="F415" s="11"/>
      <c r="G415" s="11"/>
      <c r="H415" s="15"/>
      <c r="I415" s="11"/>
    </row>
    <row r="416">
      <c r="A416" s="11"/>
      <c r="B416" s="12"/>
      <c r="C416" s="11"/>
      <c r="D416" s="11"/>
      <c r="E416" s="11"/>
      <c r="F416" s="11"/>
      <c r="G416" s="11"/>
      <c r="H416" s="15"/>
      <c r="I416" s="11"/>
    </row>
    <row r="417">
      <c r="A417" s="11"/>
      <c r="B417" s="12"/>
      <c r="C417" s="11"/>
      <c r="D417" s="11"/>
      <c r="E417" s="11"/>
      <c r="F417" s="11"/>
      <c r="G417" s="11"/>
      <c r="H417" s="15"/>
      <c r="I417" s="11"/>
    </row>
    <row r="418">
      <c r="A418" s="11"/>
      <c r="B418" s="12"/>
      <c r="C418" s="11"/>
      <c r="D418" s="11"/>
      <c r="E418" s="11"/>
      <c r="F418" s="11"/>
      <c r="G418" s="11"/>
      <c r="H418" s="15"/>
      <c r="I418" s="11"/>
    </row>
    <row r="419">
      <c r="A419" s="11"/>
      <c r="B419" s="12"/>
      <c r="C419" s="11"/>
      <c r="D419" s="11"/>
      <c r="E419" s="11"/>
      <c r="F419" s="11"/>
      <c r="G419" s="11"/>
      <c r="H419" s="15"/>
      <c r="I419" s="11"/>
    </row>
    <row r="420">
      <c r="A420" s="11"/>
      <c r="B420" s="12"/>
      <c r="C420" s="11"/>
      <c r="D420" s="11"/>
      <c r="E420" s="11"/>
      <c r="F420" s="11"/>
      <c r="G420" s="11"/>
      <c r="H420" s="15"/>
      <c r="I420" s="11"/>
    </row>
    <row r="421">
      <c r="A421" s="11"/>
      <c r="B421" s="12"/>
      <c r="C421" s="11"/>
      <c r="D421" s="11"/>
      <c r="E421" s="11"/>
      <c r="F421" s="11"/>
      <c r="G421" s="11"/>
      <c r="H421" s="15"/>
      <c r="I421" s="11"/>
    </row>
    <row r="422">
      <c r="A422" s="11"/>
      <c r="B422" s="12"/>
      <c r="C422" s="11"/>
      <c r="D422" s="11"/>
      <c r="E422" s="11"/>
      <c r="F422" s="11"/>
      <c r="G422" s="11"/>
      <c r="H422" s="15"/>
      <c r="I422" s="11"/>
    </row>
    <row r="423">
      <c r="A423" s="11"/>
      <c r="B423" s="12"/>
      <c r="C423" s="11"/>
      <c r="D423" s="11"/>
      <c r="E423" s="11"/>
      <c r="F423" s="11"/>
      <c r="G423" s="11"/>
      <c r="H423" s="15"/>
      <c r="I423" s="11"/>
    </row>
    <row r="424">
      <c r="A424" s="11"/>
      <c r="B424" s="12"/>
      <c r="C424" s="11"/>
      <c r="D424" s="11"/>
      <c r="E424" s="11"/>
      <c r="F424" s="11"/>
      <c r="G424" s="11"/>
      <c r="H424" s="15"/>
      <c r="I424" s="11"/>
    </row>
    <row r="425">
      <c r="A425" s="11"/>
      <c r="B425" s="12"/>
      <c r="C425" s="11"/>
      <c r="D425" s="11"/>
      <c r="E425" s="11"/>
      <c r="F425" s="11"/>
      <c r="G425" s="11"/>
      <c r="H425" s="15"/>
      <c r="I425" s="11"/>
    </row>
    <row r="426">
      <c r="A426" s="11"/>
      <c r="B426" s="12"/>
      <c r="C426" s="11"/>
      <c r="D426" s="11"/>
      <c r="E426" s="11"/>
      <c r="F426" s="11"/>
      <c r="G426" s="11"/>
      <c r="H426" s="15"/>
      <c r="I426" s="11"/>
    </row>
    <row r="427">
      <c r="A427" s="11"/>
      <c r="B427" s="12"/>
      <c r="C427" s="11"/>
      <c r="D427" s="11"/>
      <c r="E427" s="11"/>
      <c r="F427" s="11"/>
      <c r="G427" s="11"/>
      <c r="H427" s="15"/>
      <c r="I427" s="11"/>
    </row>
    <row r="428">
      <c r="A428" s="11"/>
      <c r="B428" s="12"/>
      <c r="C428" s="11"/>
      <c r="D428" s="11"/>
      <c r="E428" s="11"/>
      <c r="F428" s="11"/>
      <c r="G428" s="11"/>
      <c r="H428" s="15"/>
      <c r="I428" s="11"/>
    </row>
    <row r="429">
      <c r="A429" s="11"/>
      <c r="B429" s="12"/>
      <c r="C429" s="11"/>
      <c r="D429" s="11"/>
      <c r="E429" s="11"/>
      <c r="F429" s="11"/>
      <c r="G429" s="11"/>
      <c r="H429" s="15"/>
      <c r="I429" s="11"/>
    </row>
    <row r="430">
      <c r="A430" s="11"/>
      <c r="B430" s="12"/>
      <c r="C430" s="11"/>
      <c r="D430" s="11"/>
      <c r="E430" s="11"/>
      <c r="F430" s="11"/>
      <c r="G430" s="11"/>
      <c r="H430" s="15"/>
      <c r="I430" s="11"/>
    </row>
    <row r="431">
      <c r="A431" s="11"/>
      <c r="B431" s="12"/>
      <c r="C431" s="11"/>
      <c r="D431" s="11"/>
      <c r="E431" s="11"/>
      <c r="F431" s="11"/>
      <c r="G431" s="11"/>
      <c r="H431" s="15"/>
      <c r="I431" s="11"/>
    </row>
    <row r="432">
      <c r="A432" s="11"/>
      <c r="B432" s="12"/>
      <c r="C432" s="11"/>
      <c r="D432" s="11"/>
      <c r="E432" s="11"/>
      <c r="F432" s="11"/>
      <c r="G432" s="11"/>
      <c r="H432" s="15"/>
      <c r="I432" s="11"/>
    </row>
    <row r="433">
      <c r="A433" s="11"/>
      <c r="B433" s="12"/>
      <c r="C433" s="11"/>
      <c r="D433" s="11"/>
      <c r="E433" s="11"/>
      <c r="F433" s="11"/>
      <c r="G433" s="11"/>
      <c r="H433" s="15"/>
      <c r="I433" s="11"/>
    </row>
    <row r="434">
      <c r="A434" s="11"/>
      <c r="B434" s="12"/>
      <c r="C434" s="11"/>
      <c r="D434" s="11"/>
      <c r="E434" s="11"/>
      <c r="F434" s="11"/>
      <c r="G434" s="11"/>
      <c r="H434" s="15"/>
      <c r="I434" s="11"/>
    </row>
    <row r="435">
      <c r="A435" s="11"/>
      <c r="B435" s="12"/>
      <c r="C435" s="11"/>
      <c r="D435" s="11"/>
      <c r="E435" s="11"/>
      <c r="F435" s="11"/>
      <c r="G435" s="11"/>
      <c r="H435" s="15"/>
      <c r="I435" s="11"/>
    </row>
    <row r="436">
      <c r="A436" s="11"/>
      <c r="B436" s="12"/>
      <c r="C436" s="11"/>
      <c r="D436" s="11"/>
      <c r="E436" s="11"/>
      <c r="F436" s="11"/>
      <c r="G436" s="11"/>
      <c r="H436" s="15"/>
      <c r="I436" s="11"/>
    </row>
    <row r="437">
      <c r="A437" s="11"/>
      <c r="B437" s="12"/>
      <c r="C437" s="11"/>
      <c r="D437" s="11"/>
      <c r="E437" s="11"/>
      <c r="F437" s="11"/>
      <c r="G437" s="11"/>
      <c r="H437" s="15"/>
      <c r="I437" s="11"/>
    </row>
    <row r="438">
      <c r="A438" s="11"/>
      <c r="B438" s="12"/>
      <c r="C438" s="11"/>
      <c r="D438" s="11"/>
      <c r="E438" s="11"/>
      <c r="F438" s="11"/>
      <c r="G438" s="11"/>
      <c r="H438" s="15"/>
      <c r="I438" s="11"/>
    </row>
    <row r="439">
      <c r="A439" s="11"/>
      <c r="B439" s="12"/>
      <c r="C439" s="11"/>
      <c r="D439" s="11"/>
      <c r="E439" s="11"/>
      <c r="F439" s="11"/>
      <c r="G439" s="11"/>
      <c r="H439" s="15"/>
      <c r="I439" s="11"/>
    </row>
    <row r="440">
      <c r="A440" s="11"/>
      <c r="B440" s="12"/>
      <c r="C440" s="11"/>
      <c r="D440" s="11"/>
      <c r="E440" s="11"/>
      <c r="F440" s="11"/>
      <c r="G440" s="11"/>
      <c r="H440" s="15"/>
      <c r="I440" s="11"/>
    </row>
    <row r="441">
      <c r="A441" s="11"/>
      <c r="B441" s="12"/>
      <c r="C441" s="11"/>
      <c r="D441" s="11"/>
      <c r="E441" s="11"/>
      <c r="F441" s="11"/>
      <c r="G441" s="11"/>
      <c r="H441" s="15"/>
      <c r="I441" s="11"/>
    </row>
    <row r="442">
      <c r="A442" s="11"/>
      <c r="B442" s="12"/>
      <c r="C442" s="11"/>
      <c r="D442" s="11"/>
      <c r="E442" s="11"/>
      <c r="F442" s="11"/>
      <c r="G442" s="11"/>
      <c r="H442" s="15"/>
      <c r="I442" s="11"/>
    </row>
    <row r="443">
      <c r="A443" s="11"/>
      <c r="B443" s="12"/>
      <c r="C443" s="11"/>
      <c r="D443" s="11"/>
      <c r="E443" s="11"/>
      <c r="F443" s="11"/>
      <c r="G443" s="11"/>
      <c r="H443" s="15"/>
      <c r="I443" s="11"/>
    </row>
    <row r="444">
      <c r="A444" s="11"/>
      <c r="B444" s="12"/>
      <c r="C444" s="11"/>
      <c r="D444" s="11"/>
      <c r="E444" s="11"/>
      <c r="F444" s="11"/>
      <c r="G444" s="11"/>
      <c r="H444" s="15"/>
      <c r="I444" s="11"/>
    </row>
    <row r="445">
      <c r="A445" s="11"/>
      <c r="B445" s="12"/>
      <c r="C445" s="11"/>
      <c r="D445" s="11"/>
      <c r="E445" s="11"/>
      <c r="F445" s="11"/>
      <c r="G445" s="11"/>
      <c r="H445" s="15"/>
      <c r="I445" s="11"/>
    </row>
    <row r="446">
      <c r="A446" s="11"/>
      <c r="B446" s="12"/>
      <c r="C446" s="11"/>
      <c r="D446" s="11"/>
      <c r="E446" s="11"/>
      <c r="F446" s="11"/>
      <c r="G446" s="11"/>
      <c r="H446" s="15"/>
      <c r="I446" s="11"/>
    </row>
    <row r="447">
      <c r="A447" s="11"/>
      <c r="B447" s="12"/>
      <c r="C447" s="11"/>
      <c r="D447" s="11"/>
      <c r="E447" s="11"/>
      <c r="F447" s="11"/>
      <c r="G447" s="11"/>
      <c r="H447" s="15"/>
      <c r="I447" s="11"/>
    </row>
    <row r="448">
      <c r="A448" s="11"/>
      <c r="B448" s="12"/>
      <c r="C448" s="11"/>
      <c r="D448" s="11"/>
      <c r="E448" s="11"/>
      <c r="F448" s="11"/>
      <c r="G448" s="11"/>
      <c r="H448" s="15"/>
      <c r="I448" s="11"/>
    </row>
    <row r="449">
      <c r="A449" s="11"/>
      <c r="B449" s="12"/>
      <c r="C449" s="11"/>
      <c r="D449" s="11"/>
      <c r="E449" s="11"/>
      <c r="F449" s="11"/>
      <c r="G449" s="11"/>
      <c r="H449" s="15"/>
      <c r="I449" s="11"/>
    </row>
    <row r="450">
      <c r="A450" s="11"/>
      <c r="B450" s="12"/>
      <c r="C450" s="11"/>
      <c r="D450" s="11"/>
      <c r="E450" s="11"/>
      <c r="F450" s="11"/>
      <c r="G450" s="11"/>
      <c r="H450" s="15"/>
      <c r="I450" s="11"/>
    </row>
    <row r="451">
      <c r="A451" s="11"/>
      <c r="B451" s="12"/>
      <c r="C451" s="11"/>
      <c r="D451" s="11"/>
      <c r="E451" s="11"/>
      <c r="F451" s="11"/>
      <c r="G451" s="11"/>
      <c r="H451" s="15"/>
      <c r="I451" s="11"/>
    </row>
    <row r="452">
      <c r="A452" s="11"/>
      <c r="B452" s="12"/>
      <c r="C452" s="11"/>
      <c r="D452" s="11"/>
      <c r="E452" s="11"/>
      <c r="F452" s="11"/>
      <c r="G452" s="11"/>
      <c r="H452" s="15"/>
      <c r="I452" s="11"/>
    </row>
    <row r="453">
      <c r="A453" s="11"/>
      <c r="B453" s="12"/>
      <c r="C453" s="11"/>
      <c r="D453" s="11"/>
      <c r="E453" s="11"/>
      <c r="F453" s="11"/>
      <c r="G453" s="11"/>
      <c r="H453" s="15"/>
      <c r="I453" s="11"/>
    </row>
    <row r="454">
      <c r="A454" s="11"/>
      <c r="B454" s="12"/>
      <c r="C454" s="11"/>
      <c r="D454" s="11"/>
      <c r="E454" s="11"/>
      <c r="F454" s="11"/>
      <c r="G454" s="11"/>
      <c r="H454" s="15"/>
      <c r="I454" s="11"/>
    </row>
    <row r="455">
      <c r="A455" s="11"/>
      <c r="B455" s="12"/>
      <c r="C455" s="11"/>
      <c r="D455" s="11"/>
      <c r="E455" s="11"/>
      <c r="F455" s="11"/>
      <c r="G455" s="11"/>
      <c r="H455" s="15"/>
      <c r="I455" s="11"/>
    </row>
    <row r="456">
      <c r="A456" s="11"/>
      <c r="B456" s="12"/>
      <c r="C456" s="11"/>
      <c r="D456" s="11"/>
      <c r="E456" s="11"/>
      <c r="F456" s="11"/>
      <c r="G456" s="11"/>
      <c r="H456" s="15"/>
      <c r="I456" s="11"/>
    </row>
    <row r="457">
      <c r="A457" s="11"/>
      <c r="B457" s="12"/>
      <c r="C457" s="11"/>
      <c r="D457" s="11"/>
      <c r="E457" s="11"/>
      <c r="F457" s="11"/>
      <c r="G457" s="11"/>
      <c r="H457" s="15"/>
      <c r="I457" s="11"/>
    </row>
    <row r="458">
      <c r="A458" s="11"/>
      <c r="B458" s="12"/>
      <c r="C458" s="11"/>
      <c r="D458" s="11"/>
      <c r="E458" s="11"/>
      <c r="F458" s="11"/>
      <c r="G458" s="11"/>
      <c r="H458" s="15"/>
      <c r="I458" s="11"/>
    </row>
    <row r="459">
      <c r="A459" s="11"/>
      <c r="B459" s="12"/>
      <c r="C459" s="11"/>
      <c r="D459" s="11"/>
      <c r="E459" s="11"/>
      <c r="F459" s="11"/>
      <c r="G459" s="11"/>
      <c r="H459" s="15"/>
      <c r="I459" s="11"/>
    </row>
    <row r="460">
      <c r="A460" s="11"/>
      <c r="B460" s="12"/>
      <c r="C460" s="11"/>
      <c r="D460" s="11"/>
      <c r="E460" s="11"/>
      <c r="F460" s="11"/>
      <c r="G460" s="11"/>
      <c r="H460" s="15"/>
      <c r="I460" s="11"/>
    </row>
    <row r="461">
      <c r="A461" s="11"/>
      <c r="B461" s="12"/>
      <c r="C461" s="11"/>
      <c r="D461" s="11"/>
      <c r="E461" s="11"/>
      <c r="F461" s="11"/>
      <c r="G461" s="11"/>
      <c r="H461" s="15"/>
      <c r="I461" s="11"/>
    </row>
    <row r="462">
      <c r="A462" s="11"/>
      <c r="B462" s="12"/>
      <c r="C462" s="11"/>
      <c r="D462" s="11"/>
      <c r="E462" s="11"/>
      <c r="F462" s="11"/>
      <c r="G462" s="11"/>
      <c r="H462" s="15"/>
      <c r="I462" s="11"/>
    </row>
    <row r="463">
      <c r="A463" s="11"/>
      <c r="B463" s="12"/>
      <c r="C463" s="11"/>
      <c r="D463" s="11"/>
      <c r="E463" s="11"/>
      <c r="F463" s="11"/>
      <c r="G463" s="11"/>
      <c r="H463" s="15"/>
      <c r="I463" s="11"/>
    </row>
    <row r="464">
      <c r="A464" s="11"/>
      <c r="B464" s="12"/>
      <c r="C464" s="11"/>
      <c r="D464" s="11"/>
      <c r="E464" s="11"/>
      <c r="F464" s="11"/>
      <c r="G464" s="11"/>
      <c r="H464" s="15"/>
      <c r="I464" s="11"/>
    </row>
    <row r="465">
      <c r="A465" s="11"/>
      <c r="B465" s="12"/>
      <c r="C465" s="11"/>
      <c r="D465" s="11"/>
      <c r="E465" s="11"/>
      <c r="F465" s="11"/>
      <c r="G465" s="11"/>
      <c r="H465" s="15"/>
      <c r="I465" s="11"/>
    </row>
    <row r="466">
      <c r="A466" s="11"/>
      <c r="B466" s="12"/>
      <c r="C466" s="11"/>
      <c r="D466" s="11"/>
      <c r="E466" s="11"/>
      <c r="F466" s="11"/>
      <c r="G466" s="11"/>
      <c r="H466" s="15"/>
      <c r="I466" s="11"/>
    </row>
    <row r="467">
      <c r="A467" s="11"/>
      <c r="B467" s="12"/>
      <c r="C467" s="11"/>
      <c r="D467" s="11"/>
      <c r="E467" s="11"/>
      <c r="F467" s="11"/>
      <c r="G467" s="11"/>
      <c r="H467" s="15"/>
      <c r="I467" s="11"/>
    </row>
    <row r="468">
      <c r="A468" s="11"/>
      <c r="B468" s="12"/>
      <c r="C468" s="11"/>
      <c r="D468" s="11"/>
      <c r="E468" s="11"/>
      <c r="F468" s="11"/>
      <c r="G468" s="11"/>
      <c r="H468" s="15"/>
      <c r="I468" s="11"/>
    </row>
    <row r="469">
      <c r="A469" s="11"/>
      <c r="B469" s="12"/>
      <c r="C469" s="11"/>
      <c r="D469" s="11"/>
      <c r="E469" s="11"/>
      <c r="F469" s="11"/>
      <c r="G469" s="11"/>
      <c r="H469" s="15"/>
      <c r="I469" s="11"/>
    </row>
    <row r="470">
      <c r="A470" s="11"/>
      <c r="B470" s="12"/>
      <c r="C470" s="11"/>
      <c r="D470" s="11"/>
      <c r="E470" s="11"/>
      <c r="F470" s="11"/>
      <c r="G470" s="11"/>
      <c r="H470" s="15"/>
      <c r="I470" s="11"/>
    </row>
    <row r="471">
      <c r="A471" s="11"/>
      <c r="B471" s="12"/>
      <c r="C471" s="11"/>
      <c r="D471" s="11"/>
      <c r="E471" s="11"/>
      <c r="F471" s="11"/>
      <c r="G471" s="11"/>
      <c r="H471" s="15"/>
      <c r="I471" s="11"/>
    </row>
    <row r="472">
      <c r="A472" s="11"/>
      <c r="B472" s="12"/>
      <c r="C472" s="11"/>
      <c r="D472" s="11"/>
      <c r="E472" s="11"/>
      <c r="F472" s="11"/>
      <c r="G472" s="11"/>
      <c r="H472" s="15"/>
      <c r="I472" s="11"/>
    </row>
    <row r="473">
      <c r="A473" s="11"/>
      <c r="B473" s="12"/>
      <c r="C473" s="11"/>
      <c r="D473" s="11"/>
      <c r="E473" s="11"/>
      <c r="F473" s="11"/>
      <c r="G473" s="11"/>
      <c r="H473" s="15"/>
      <c r="I473" s="11"/>
    </row>
    <row r="474">
      <c r="A474" s="11"/>
      <c r="B474" s="12"/>
      <c r="C474" s="11"/>
      <c r="D474" s="11"/>
      <c r="E474" s="11"/>
      <c r="F474" s="11"/>
      <c r="G474" s="11"/>
      <c r="H474" s="15"/>
      <c r="I474" s="11"/>
    </row>
    <row r="475">
      <c r="A475" s="11"/>
      <c r="B475" s="12"/>
      <c r="C475" s="11"/>
      <c r="D475" s="11"/>
      <c r="E475" s="11"/>
      <c r="F475" s="11"/>
      <c r="G475" s="11"/>
      <c r="H475" s="15"/>
      <c r="I475" s="11"/>
    </row>
    <row r="476">
      <c r="A476" s="11"/>
      <c r="B476" s="12"/>
      <c r="C476" s="11"/>
      <c r="D476" s="11"/>
      <c r="E476" s="11"/>
      <c r="F476" s="11"/>
      <c r="G476" s="11"/>
      <c r="H476" s="15"/>
      <c r="I476" s="11"/>
    </row>
    <row r="477">
      <c r="A477" s="11"/>
      <c r="B477" s="12"/>
      <c r="C477" s="11"/>
      <c r="D477" s="11"/>
      <c r="E477" s="11"/>
      <c r="F477" s="11"/>
      <c r="G477" s="11"/>
      <c r="H477" s="15"/>
      <c r="I477" s="11"/>
    </row>
    <row r="478">
      <c r="A478" s="11"/>
      <c r="B478" s="12"/>
      <c r="C478" s="11"/>
      <c r="D478" s="11"/>
      <c r="E478" s="11"/>
      <c r="F478" s="11"/>
      <c r="G478" s="11"/>
      <c r="H478" s="15"/>
      <c r="I478" s="11"/>
    </row>
    <row r="479">
      <c r="A479" s="11"/>
      <c r="B479" s="12"/>
      <c r="C479" s="11"/>
      <c r="D479" s="11"/>
      <c r="E479" s="11"/>
      <c r="F479" s="11"/>
      <c r="G479" s="11"/>
      <c r="H479" s="15"/>
      <c r="I479" s="11"/>
    </row>
    <row r="480">
      <c r="A480" s="11"/>
      <c r="B480" s="12"/>
      <c r="C480" s="11"/>
      <c r="D480" s="11"/>
      <c r="E480" s="11"/>
      <c r="F480" s="11"/>
      <c r="G480" s="11"/>
      <c r="H480" s="15"/>
      <c r="I480" s="11"/>
    </row>
    <row r="481">
      <c r="A481" s="11"/>
      <c r="B481" s="12"/>
      <c r="C481" s="11"/>
      <c r="D481" s="11"/>
      <c r="E481" s="11"/>
      <c r="F481" s="11"/>
      <c r="G481" s="11"/>
      <c r="H481" s="15"/>
      <c r="I481" s="11"/>
    </row>
    <row r="482">
      <c r="A482" s="11"/>
      <c r="B482" s="12"/>
      <c r="C482" s="11"/>
      <c r="D482" s="11"/>
      <c r="E482" s="11"/>
      <c r="F482" s="11"/>
      <c r="G482" s="11"/>
      <c r="H482" s="15"/>
      <c r="I482" s="11"/>
    </row>
    <row r="483">
      <c r="A483" s="11"/>
      <c r="B483" s="12"/>
      <c r="C483" s="11"/>
      <c r="D483" s="11"/>
      <c r="E483" s="11"/>
      <c r="F483" s="11"/>
      <c r="G483" s="11"/>
      <c r="H483" s="15"/>
      <c r="I483" s="11"/>
    </row>
    <row r="484">
      <c r="A484" s="11"/>
      <c r="B484" s="12"/>
      <c r="C484" s="11"/>
      <c r="D484" s="11"/>
      <c r="E484" s="11"/>
      <c r="F484" s="11"/>
      <c r="G484" s="11"/>
      <c r="H484" s="15"/>
      <c r="I484" s="11"/>
    </row>
    <row r="485">
      <c r="A485" s="11"/>
      <c r="B485" s="12"/>
      <c r="C485" s="11"/>
      <c r="D485" s="11"/>
      <c r="E485" s="11"/>
      <c r="F485" s="11"/>
      <c r="G485" s="11"/>
      <c r="H485" s="15"/>
      <c r="I485" s="11"/>
    </row>
    <row r="486">
      <c r="A486" s="11"/>
      <c r="B486" s="12"/>
      <c r="C486" s="11"/>
      <c r="D486" s="11"/>
      <c r="E486" s="11"/>
      <c r="F486" s="11"/>
      <c r="G486" s="11"/>
      <c r="H486" s="15"/>
      <c r="I486" s="11"/>
    </row>
    <row r="487">
      <c r="A487" s="11"/>
      <c r="B487" s="12"/>
      <c r="C487" s="11"/>
      <c r="D487" s="11"/>
      <c r="E487" s="11"/>
      <c r="F487" s="11"/>
      <c r="G487" s="11"/>
      <c r="H487" s="15"/>
      <c r="I487" s="11"/>
    </row>
    <row r="488">
      <c r="A488" s="11"/>
      <c r="B488" s="12"/>
      <c r="C488" s="11"/>
      <c r="D488" s="11"/>
      <c r="E488" s="11"/>
      <c r="F488" s="11"/>
      <c r="G488" s="11"/>
      <c r="H488" s="15"/>
      <c r="I488" s="11"/>
    </row>
    <row r="489">
      <c r="A489" s="11"/>
      <c r="B489" s="12"/>
      <c r="C489" s="11"/>
      <c r="D489" s="11"/>
      <c r="E489" s="11"/>
      <c r="F489" s="11"/>
      <c r="G489" s="11"/>
      <c r="H489" s="15"/>
      <c r="I489" s="11"/>
    </row>
    <row r="490">
      <c r="A490" s="11"/>
      <c r="B490" s="12"/>
      <c r="C490" s="11"/>
      <c r="D490" s="11"/>
      <c r="E490" s="11"/>
      <c r="F490" s="11"/>
      <c r="G490" s="11"/>
      <c r="H490" s="15"/>
      <c r="I490" s="11"/>
    </row>
    <row r="491">
      <c r="A491" s="11"/>
      <c r="B491" s="12"/>
      <c r="C491" s="11"/>
      <c r="D491" s="11"/>
      <c r="E491" s="11"/>
      <c r="F491" s="11"/>
      <c r="G491" s="11"/>
      <c r="H491" s="15"/>
      <c r="I491" s="11"/>
    </row>
    <row r="492">
      <c r="A492" s="11"/>
      <c r="B492" s="12"/>
      <c r="C492" s="11"/>
      <c r="D492" s="11"/>
      <c r="E492" s="11"/>
      <c r="F492" s="11"/>
      <c r="G492" s="11"/>
      <c r="H492" s="15"/>
      <c r="I492" s="11"/>
    </row>
    <row r="493">
      <c r="A493" s="11"/>
      <c r="B493" s="12"/>
      <c r="C493" s="11"/>
      <c r="D493" s="11"/>
      <c r="E493" s="11"/>
      <c r="F493" s="11"/>
      <c r="G493" s="11"/>
      <c r="H493" s="15"/>
      <c r="I493" s="11"/>
    </row>
    <row r="494">
      <c r="A494" s="11"/>
      <c r="B494" s="12"/>
      <c r="C494" s="11"/>
      <c r="D494" s="11"/>
      <c r="E494" s="11"/>
      <c r="F494" s="11"/>
      <c r="G494" s="11"/>
      <c r="H494" s="15"/>
      <c r="I494" s="11"/>
    </row>
    <row r="495">
      <c r="A495" s="11"/>
      <c r="B495" s="12"/>
      <c r="C495" s="11"/>
      <c r="D495" s="11"/>
      <c r="E495" s="11"/>
      <c r="F495" s="11"/>
      <c r="G495" s="11"/>
      <c r="H495" s="15"/>
      <c r="I495" s="11"/>
    </row>
    <row r="496">
      <c r="A496" s="11"/>
      <c r="B496" s="12"/>
      <c r="C496" s="11"/>
      <c r="D496" s="11"/>
      <c r="E496" s="11"/>
      <c r="F496" s="11"/>
      <c r="G496" s="11"/>
      <c r="H496" s="15"/>
      <c r="I496" s="11"/>
    </row>
    <row r="497">
      <c r="A497" s="11"/>
      <c r="B497" s="12"/>
      <c r="C497" s="11"/>
      <c r="D497" s="11"/>
      <c r="E497" s="11"/>
      <c r="F497" s="11"/>
      <c r="G497" s="11"/>
      <c r="H497" s="15"/>
      <c r="I497" s="11"/>
    </row>
    <row r="498">
      <c r="A498" s="11"/>
      <c r="B498" s="12"/>
      <c r="C498" s="11"/>
      <c r="D498" s="11"/>
      <c r="E498" s="11"/>
      <c r="F498" s="11"/>
      <c r="G498" s="11"/>
      <c r="H498" s="15"/>
      <c r="I498" s="11"/>
    </row>
    <row r="499">
      <c r="A499" s="11"/>
      <c r="B499" s="12"/>
      <c r="C499" s="11"/>
      <c r="D499" s="11"/>
      <c r="E499" s="11"/>
      <c r="F499" s="11"/>
      <c r="G499" s="11"/>
      <c r="H499" s="15"/>
      <c r="I499" s="11"/>
    </row>
    <row r="500">
      <c r="A500" s="11"/>
      <c r="B500" s="12"/>
      <c r="C500" s="11"/>
      <c r="D500" s="11"/>
      <c r="E500" s="11"/>
      <c r="F500" s="11"/>
      <c r="G500" s="11"/>
      <c r="H500" s="15"/>
      <c r="I500" s="11"/>
    </row>
    <row r="501">
      <c r="A501" s="11"/>
      <c r="B501" s="12"/>
      <c r="C501" s="11"/>
      <c r="D501" s="11"/>
      <c r="E501" s="11"/>
      <c r="F501" s="11"/>
      <c r="G501" s="11"/>
      <c r="H501" s="15"/>
      <c r="I501" s="11"/>
    </row>
    <row r="502">
      <c r="A502" s="11"/>
      <c r="B502" s="12"/>
      <c r="C502" s="11"/>
      <c r="D502" s="11"/>
      <c r="E502" s="11"/>
      <c r="F502" s="11"/>
      <c r="G502" s="11"/>
      <c r="H502" s="15"/>
      <c r="I502" s="11"/>
    </row>
    <row r="503">
      <c r="A503" s="11"/>
      <c r="B503" s="12"/>
      <c r="C503" s="11"/>
      <c r="D503" s="11"/>
      <c r="E503" s="11"/>
      <c r="F503" s="11"/>
      <c r="G503" s="11"/>
      <c r="H503" s="15"/>
      <c r="I503" s="11"/>
    </row>
    <row r="504">
      <c r="A504" s="11"/>
      <c r="B504" s="12"/>
      <c r="C504" s="11"/>
      <c r="D504" s="11"/>
      <c r="E504" s="11"/>
      <c r="F504" s="11"/>
      <c r="G504" s="11"/>
      <c r="H504" s="15"/>
      <c r="I504" s="11"/>
    </row>
    <row r="505">
      <c r="A505" s="11"/>
      <c r="B505" s="12"/>
      <c r="C505" s="11"/>
      <c r="D505" s="11"/>
      <c r="E505" s="11"/>
      <c r="F505" s="11"/>
      <c r="G505" s="11"/>
      <c r="H505" s="15"/>
      <c r="I505" s="11"/>
    </row>
    <row r="506">
      <c r="A506" s="11"/>
      <c r="B506" s="12"/>
      <c r="C506" s="11"/>
      <c r="D506" s="11"/>
      <c r="E506" s="11"/>
      <c r="F506" s="11"/>
      <c r="G506" s="11"/>
      <c r="H506" s="15"/>
      <c r="I506" s="11"/>
    </row>
    <row r="507">
      <c r="A507" s="11"/>
      <c r="B507" s="12"/>
      <c r="C507" s="11"/>
      <c r="D507" s="11"/>
      <c r="E507" s="11"/>
      <c r="F507" s="11"/>
      <c r="G507" s="11"/>
      <c r="H507" s="15"/>
      <c r="I507" s="11"/>
    </row>
    <row r="508">
      <c r="A508" s="11"/>
      <c r="B508" s="12"/>
      <c r="C508" s="11"/>
      <c r="D508" s="11"/>
      <c r="E508" s="11"/>
      <c r="F508" s="11"/>
      <c r="G508" s="11"/>
      <c r="H508" s="15"/>
      <c r="I508" s="11"/>
    </row>
    <row r="509">
      <c r="A509" s="11"/>
      <c r="B509" s="12"/>
      <c r="C509" s="11"/>
      <c r="D509" s="11"/>
      <c r="E509" s="11"/>
      <c r="F509" s="11"/>
      <c r="G509" s="11"/>
      <c r="H509" s="15"/>
      <c r="I509" s="11"/>
    </row>
    <row r="510">
      <c r="A510" s="11"/>
      <c r="B510" s="12"/>
      <c r="C510" s="11"/>
      <c r="D510" s="11"/>
      <c r="E510" s="11"/>
      <c r="F510" s="11"/>
      <c r="G510" s="11"/>
      <c r="H510" s="15"/>
      <c r="I510" s="11"/>
    </row>
    <row r="511">
      <c r="A511" s="11"/>
      <c r="B511" s="12"/>
      <c r="C511" s="11"/>
      <c r="D511" s="11"/>
      <c r="E511" s="11"/>
      <c r="F511" s="11"/>
      <c r="G511" s="11"/>
      <c r="H511" s="15"/>
      <c r="I511" s="11"/>
    </row>
    <row r="512">
      <c r="A512" s="11"/>
      <c r="B512" s="12"/>
      <c r="C512" s="11"/>
      <c r="D512" s="11"/>
      <c r="E512" s="11"/>
      <c r="F512" s="11"/>
      <c r="G512" s="11"/>
      <c r="H512" s="15"/>
      <c r="I512" s="11"/>
    </row>
    <row r="513">
      <c r="A513" s="11"/>
      <c r="B513" s="12"/>
      <c r="C513" s="11"/>
      <c r="D513" s="11"/>
      <c r="E513" s="11"/>
      <c r="F513" s="11"/>
      <c r="G513" s="11"/>
      <c r="H513" s="15"/>
      <c r="I513" s="11"/>
    </row>
    <row r="514">
      <c r="A514" s="11"/>
      <c r="B514" s="12"/>
      <c r="C514" s="11"/>
      <c r="D514" s="11"/>
      <c r="E514" s="11"/>
      <c r="F514" s="11"/>
      <c r="G514" s="11"/>
      <c r="H514" s="15"/>
      <c r="I514" s="11"/>
    </row>
    <row r="515">
      <c r="A515" s="11"/>
      <c r="B515" s="12"/>
      <c r="C515" s="11"/>
      <c r="D515" s="11"/>
      <c r="E515" s="11"/>
      <c r="F515" s="11"/>
      <c r="G515" s="11"/>
      <c r="H515" s="15"/>
      <c r="I515" s="11"/>
    </row>
    <row r="516">
      <c r="A516" s="11"/>
      <c r="B516" s="12"/>
      <c r="C516" s="11"/>
      <c r="D516" s="11"/>
      <c r="E516" s="11"/>
      <c r="F516" s="11"/>
      <c r="G516" s="11"/>
      <c r="H516" s="15"/>
      <c r="I516" s="11"/>
    </row>
    <row r="517">
      <c r="A517" s="11"/>
      <c r="B517" s="12"/>
      <c r="C517" s="11"/>
      <c r="D517" s="11"/>
      <c r="E517" s="11"/>
      <c r="F517" s="11"/>
      <c r="G517" s="11"/>
      <c r="H517" s="15"/>
      <c r="I517" s="11"/>
    </row>
    <row r="518">
      <c r="A518" s="11"/>
      <c r="B518" s="12"/>
      <c r="C518" s="11"/>
      <c r="D518" s="11"/>
      <c r="E518" s="11"/>
      <c r="F518" s="11"/>
      <c r="G518" s="11"/>
      <c r="H518" s="15"/>
      <c r="I518" s="11"/>
    </row>
    <row r="519">
      <c r="A519" s="11"/>
      <c r="B519" s="12"/>
      <c r="C519" s="11"/>
      <c r="D519" s="11"/>
      <c r="E519" s="11"/>
      <c r="F519" s="11"/>
      <c r="G519" s="11"/>
      <c r="H519" s="15"/>
      <c r="I519" s="11"/>
    </row>
    <row r="520">
      <c r="A520" s="11"/>
      <c r="B520" s="12"/>
      <c r="C520" s="11"/>
      <c r="D520" s="11"/>
      <c r="E520" s="11"/>
      <c r="F520" s="11"/>
      <c r="G520" s="11"/>
      <c r="H520" s="15"/>
      <c r="I520" s="11"/>
    </row>
    <row r="521">
      <c r="A521" s="11"/>
      <c r="B521" s="12"/>
      <c r="C521" s="11"/>
      <c r="D521" s="11"/>
      <c r="E521" s="11"/>
      <c r="F521" s="11"/>
      <c r="G521" s="11"/>
      <c r="H521" s="15"/>
      <c r="I521" s="11"/>
    </row>
    <row r="522">
      <c r="A522" s="11"/>
      <c r="B522" s="12"/>
      <c r="C522" s="11"/>
      <c r="D522" s="11"/>
      <c r="E522" s="11"/>
      <c r="F522" s="11"/>
      <c r="G522" s="11"/>
      <c r="H522" s="15"/>
      <c r="I522" s="11"/>
    </row>
    <row r="523">
      <c r="A523" s="11"/>
      <c r="B523" s="12"/>
      <c r="C523" s="11"/>
      <c r="D523" s="11"/>
      <c r="E523" s="11"/>
      <c r="F523" s="11"/>
      <c r="G523" s="11"/>
      <c r="H523" s="15"/>
      <c r="I523" s="11"/>
    </row>
    <row r="524">
      <c r="A524" s="11"/>
      <c r="B524" s="12"/>
      <c r="C524" s="11"/>
      <c r="D524" s="11"/>
      <c r="E524" s="11"/>
      <c r="F524" s="11"/>
      <c r="G524" s="11"/>
      <c r="H524" s="15"/>
      <c r="I524" s="11"/>
    </row>
    <row r="525">
      <c r="A525" s="11"/>
      <c r="B525" s="12"/>
      <c r="C525" s="11"/>
      <c r="D525" s="11"/>
      <c r="E525" s="11"/>
      <c r="F525" s="11"/>
      <c r="G525" s="11"/>
      <c r="H525" s="15"/>
      <c r="I525" s="11"/>
    </row>
    <row r="526">
      <c r="A526" s="11"/>
      <c r="B526" s="12"/>
      <c r="C526" s="11"/>
      <c r="D526" s="11"/>
      <c r="E526" s="11"/>
      <c r="F526" s="11"/>
      <c r="G526" s="11"/>
      <c r="H526" s="15"/>
      <c r="I526" s="11"/>
    </row>
    <row r="527">
      <c r="A527" s="11"/>
      <c r="B527" s="12"/>
      <c r="C527" s="11"/>
      <c r="D527" s="11"/>
      <c r="E527" s="11"/>
      <c r="F527" s="11"/>
      <c r="G527" s="11"/>
      <c r="H527" s="15"/>
      <c r="I527" s="11"/>
    </row>
    <row r="528">
      <c r="A528" s="11"/>
      <c r="B528" s="12"/>
      <c r="C528" s="11"/>
      <c r="D528" s="11"/>
      <c r="E528" s="11"/>
      <c r="F528" s="11"/>
      <c r="G528" s="11"/>
      <c r="H528" s="15"/>
      <c r="I528" s="11"/>
    </row>
    <row r="529">
      <c r="A529" s="11"/>
      <c r="B529" s="12"/>
      <c r="C529" s="11"/>
      <c r="D529" s="11"/>
      <c r="E529" s="11"/>
      <c r="F529" s="11"/>
      <c r="G529" s="11"/>
      <c r="H529" s="15"/>
      <c r="I529" s="11"/>
    </row>
    <row r="530">
      <c r="A530" s="11"/>
      <c r="B530" s="12"/>
      <c r="C530" s="11"/>
      <c r="D530" s="11"/>
      <c r="E530" s="11"/>
      <c r="F530" s="11"/>
      <c r="G530" s="11"/>
      <c r="H530" s="15"/>
      <c r="I530" s="11"/>
    </row>
    <row r="531">
      <c r="A531" s="11"/>
      <c r="B531" s="12"/>
      <c r="C531" s="11"/>
      <c r="D531" s="11"/>
      <c r="E531" s="11"/>
      <c r="F531" s="11"/>
      <c r="G531" s="11"/>
      <c r="H531" s="15"/>
      <c r="I531" s="11"/>
    </row>
    <row r="532">
      <c r="A532" s="11"/>
      <c r="B532" s="12"/>
      <c r="C532" s="11"/>
      <c r="D532" s="11"/>
      <c r="E532" s="11"/>
      <c r="F532" s="11"/>
      <c r="G532" s="11"/>
      <c r="H532" s="15"/>
      <c r="I532" s="11"/>
    </row>
    <row r="533">
      <c r="A533" s="11"/>
      <c r="B533" s="12"/>
      <c r="C533" s="11"/>
      <c r="D533" s="11"/>
      <c r="E533" s="11"/>
      <c r="F533" s="11"/>
      <c r="G533" s="11"/>
      <c r="H533" s="15"/>
      <c r="I533" s="11"/>
    </row>
    <row r="534">
      <c r="A534" s="11"/>
      <c r="B534" s="12"/>
      <c r="C534" s="11"/>
      <c r="D534" s="11"/>
      <c r="E534" s="11"/>
      <c r="F534" s="11"/>
      <c r="G534" s="11"/>
      <c r="H534" s="15"/>
      <c r="I534" s="11"/>
    </row>
    <row r="535">
      <c r="A535" s="11"/>
      <c r="B535" s="12"/>
      <c r="C535" s="11"/>
      <c r="D535" s="11"/>
      <c r="E535" s="11"/>
      <c r="F535" s="11"/>
      <c r="G535" s="11"/>
      <c r="H535" s="15"/>
      <c r="I535" s="11"/>
    </row>
    <row r="536">
      <c r="A536" s="11"/>
      <c r="B536" s="12"/>
      <c r="C536" s="11"/>
      <c r="D536" s="11"/>
      <c r="E536" s="11"/>
      <c r="F536" s="11"/>
      <c r="G536" s="11"/>
      <c r="H536" s="15"/>
      <c r="I536" s="11"/>
    </row>
    <row r="537">
      <c r="A537" s="11"/>
      <c r="B537" s="12"/>
      <c r="C537" s="11"/>
      <c r="D537" s="11"/>
      <c r="E537" s="11"/>
      <c r="F537" s="11"/>
      <c r="G537" s="11"/>
      <c r="H537" s="15"/>
      <c r="I537" s="11"/>
    </row>
    <row r="538">
      <c r="A538" s="11"/>
      <c r="B538" s="12"/>
      <c r="C538" s="11"/>
      <c r="D538" s="11"/>
      <c r="E538" s="11"/>
      <c r="F538" s="11"/>
      <c r="G538" s="11"/>
      <c r="H538" s="15"/>
      <c r="I538" s="11"/>
    </row>
    <row r="539">
      <c r="A539" s="11"/>
      <c r="B539" s="12"/>
      <c r="C539" s="11"/>
      <c r="D539" s="11"/>
      <c r="E539" s="11"/>
      <c r="F539" s="11"/>
      <c r="G539" s="11"/>
      <c r="H539" s="15"/>
      <c r="I539" s="11"/>
    </row>
    <row r="540">
      <c r="A540" s="11"/>
      <c r="B540" s="12"/>
      <c r="C540" s="11"/>
      <c r="D540" s="11"/>
      <c r="E540" s="11"/>
      <c r="F540" s="11"/>
      <c r="G540" s="11"/>
      <c r="H540" s="15"/>
      <c r="I540" s="11"/>
    </row>
    <row r="541">
      <c r="A541" s="11"/>
      <c r="B541" s="12"/>
      <c r="C541" s="11"/>
      <c r="D541" s="11"/>
      <c r="E541" s="11"/>
      <c r="F541" s="11"/>
      <c r="G541" s="11"/>
      <c r="H541" s="15"/>
      <c r="I541" s="11"/>
    </row>
    <row r="542">
      <c r="A542" s="11"/>
      <c r="B542" s="12"/>
      <c r="C542" s="11"/>
      <c r="D542" s="11"/>
      <c r="E542" s="11"/>
      <c r="F542" s="11"/>
      <c r="G542" s="11"/>
      <c r="H542" s="15"/>
      <c r="I542" s="11"/>
    </row>
    <row r="543">
      <c r="A543" s="11"/>
      <c r="B543" s="12"/>
      <c r="C543" s="11"/>
      <c r="D543" s="11"/>
      <c r="E543" s="11"/>
      <c r="F543" s="11"/>
      <c r="G543" s="11"/>
      <c r="H543" s="15"/>
      <c r="I543" s="11"/>
    </row>
    <row r="544">
      <c r="A544" s="11"/>
      <c r="B544" s="12"/>
      <c r="C544" s="11"/>
      <c r="D544" s="11"/>
      <c r="E544" s="11"/>
      <c r="F544" s="11"/>
      <c r="G544" s="11"/>
      <c r="H544" s="15"/>
      <c r="I544" s="11"/>
    </row>
    <row r="545">
      <c r="A545" s="11"/>
      <c r="B545" s="12"/>
      <c r="C545" s="11"/>
      <c r="D545" s="11"/>
      <c r="E545" s="11"/>
      <c r="F545" s="11"/>
      <c r="G545" s="11"/>
      <c r="H545" s="15"/>
      <c r="I545" s="11"/>
    </row>
    <row r="546">
      <c r="A546" s="11"/>
      <c r="B546" s="12"/>
      <c r="C546" s="11"/>
      <c r="D546" s="11"/>
      <c r="E546" s="11"/>
      <c r="F546" s="11"/>
      <c r="G546" s="11"/>
      <c r="H546" s="15"/>
      <c r="I546" s="11"/>
    </row>
    <row r="547">
      <c r="A547" s="11"/>
      <c r="B547" s="12"/>
      <c r="C547" s="11"/>
      <c r="D547" s="11"/>
      <c r="E547" s="11"/>
      <c r="F547" s="11"/>
      <c r="G547" s="11"/>
      <c r="H547" s="15"/>
      <c r="I547" s="11"/>
    </row>
    <row r="548">
      <c r="A548" s="11"/>
      <c r="B548" s="12"/>
      <c r="C548" s="11"/>
      <c r="D548" s="11"/>
      <c r="E548" s="11"/>
      <c r="F548" s="11"/>
      <c r="G548" s="11"/>
      <c r="H548" s="15"/>
      <c r="I548" s="11"/>
    </row>
    <row r="549">
      <c r="A549" s="11"/>
      <c r="B549" s="12"/>
      <c r="C549" s="11"/>
      <c r="D549" s="11"/>
      <c r="E549" s="11"/>
      <c r="F549" s="11"/>
      <c r="G549" s="11"/>
      <c r="H549" s="15"/>
      <c r="I549" s="11"/>
    </row>
    <row r="550">
      <c r="A550" s="11"/>
      <c r="B550" s="12"/>
      <c r="C550" s="11"/>
      <c r="D550" s="11"/>
      <c r="E550" s="11"/>
      <c r="F550" s="11"/>
      <c r="G550" s="11"/>
      <c r="H550" s="15"/>
      <c r="I550" s="11"/>
    </row>
    <row r="551">
      <c r="A551" s="11"/>
      <c r="B551" s="12"/>
      <c r="C551" s="11"/>
      <c r="D551" s="11"/>
      <c r="E551" s="11"/>
      <c r="F551" s="11"/>
      <c r="G551" s="11"/>
      <c r="H551" s="15"/>
      <c r="I551" s="11"/>
    </row>
    <row r="552">
      <c r="A552" s="11"/>
      <c r="B552" s="12"/>
      <c r="C552" s="11"/>
      <c r="D552" s="11"/>
      <c r="E552" s="11"/>
      <c r="F552" s="11"/>
      <c r="G552" s="11"/>
      <c r="H552" s="15"/>
      <c r="I552" s="11"/>
    </row>
    <row r="553">
      <c r="A553" s="11"/>
      <c r="B553" s="12"/>
      <c r="C553" s="11"/>
      <c r="D553" s="11"/>
      <c r="E553" s="11"/>
      <c r="F553" s="11"/>
      <c r="G553" s="11"/>
      <c r="H553" s="15"/>
      <c r="I553" s="11"/>
    </row>
    <row r="554">
      <c r="A554" s="11"/>
      <c r="B554" s="12"/>
      <c r="C554" s="11"/>
      <c r="D554" s="11"/>
      <c r="E554" s="11"/>
      <c r="F554" s="11"/>
      <c r="G554" s="11"/>
      <c r="H554" s="15"/>
      <c r="I554" s="11"/>
    </row>
    <row r="555">
      <c r="A555" s="11"/>
      <c r="B555" s="12"/>
      <c r="C555" s="11"/>
      <c r="D555" s="11"/>
      <c r="E555" s="11"/>
      <c r="F555" s="11"/>
      <c r="G555" s="11"/>
      <c r="H555" s="15"/>
      <c r="I555" s="11"/>
    </row>
    <row r="556">
      <c r="A556" s="11"/>
      <c r="B556" s="12"/>
      <c r="C556" s="11"/>
      <c r="D556" s="11"/>
      <c r="E556" s="11"/>
      <c r="F556" s="11"/>
      <c r="G556" s="11"/>
      <c r="H556" s="15"/>
      <c r="I556" s="11"/>
    </row>
    <row r="557">
      <c r="A557" s="11"/>
      <c r="B557" s="12"/>
      <c r="C557" s="11"/>
      <c r="D557" s="11"/>
      <c r="E557" s="11"/>
      <c r="F557" s="11"/>
      <c r="G557" s="11"/>
      <c r="H557" s="15"/>
      <c r="I557" s="11"/>
    </row>
    <row r="558">
      <c r="A558" s="11"/>
      <c r="B558" s="12"/>
      <c r="C558" s="11"/>
      <c r="D558" s="11"/>
      <c r="E558" s="11"/>
      <c r="F558" s="11"/>
      <c r="G558" s="11"/>
      <c r="H558" s="15"/>
      <c r="I558" s="11"/>
    </row>
    <row r="559">
      <c r="A559" s="11"/>
      <c r="B559" s="12"/>
      <c r="C559" s="11"/>
      <c r="D559" s="11"/>
      <c r="E559" s="11"/>
      <c r="F559" s="11"/>
      <c r="G559" s="11"/>
      <c r="H559" s="15"/>
      <c r="I559" s="11"/>
    </row>
    <row r="560">
      <c r="A560" s="11"/>
      <c r="B560" s="12"/>
      <c r="C560" s="11"/>
      <c r="D560" s="11"/>
      <c r="E560" s="11"/>
      <c r="F560" s="11"/>
      <c r="G560" s="11"/>
      <c r="H560" s="15"/>
      <c r="I560" s="11"/>
    </row>
    <row r="561">
      <c r="A561" s="11"/>
      <c r="B561" s="12"/>
      <c r="C561" s="11"/>
      <c r="D561" s="11"/>
      <c r="E561" s="11"/>
      <c r="F561" s="11"/>
      <c r="G561" s="11"/>
      <c r="H561" s="15"/>
      <c r="I561" s="11"/>
    </row>
    <row r="562">
      <c r="A562" s="11"/>
      <c r="B562" s="12"/>
      <c r="C562" s="11"/>
      <c r="D562" s="11"/>
      <c r="E562" s="11"/>
      <c r="F562" s="11"/>
      <c r="G562" s="11"/>
      <c r="H562" s="15"/>
      <c r="I562" s="11"/>
    </row>
    <row r="563">
      <c r="A563" s="11"/>
      <c r="B563" s="12"/>
      <c r="C563" s="11"/>
      <c r="D563" s="11"/>
      <c r="E563" s="11"/>
      <c r="F563" s="11"/>
      <c r="G563" s="11"/>
      <c r="H563" s="15"/>
      <c r="I563" s="11"/>
    </row>
    <row r="564">
      <c r="A564" s="11"/>
      <c r="B564" s="12"/>
      <c r="C564" s="11"/>
      <c r="D564" s="11"/>
      <c r="E564" s="11"/>
      <c r="F564" s="11"/>
      <c r="G564" s="11"/>
      <c r="H564" s="15"/>
      <c r="I564" s="11"/>
    </row>
    <row r="565">
      <c r="A565" s="11"/>
      <c r="B565" s="12"/>
      <c r="C565" s="11"/>
      <c r="D565" s="11"/>
      <c r="E565" s="11"/>
      <c r="F565" s="11"/>
      <c r="G565" s="11"/>
      <c r="H565" s="15"/>
      <c r="I565" s="11"/>
    </row>
    <row r="566">
      <c r="A566" s="11"/>
      <c r="B566" s="12"/>
      <c r="C566" s="11"/>
      <c r="D566" s="11"/>
      <c r="E566" s="11"/>
      <c r="F566" s="11"/>
      <c r="G566" s="11"/>
      <c r="H566" s="15"/>
      <c r="I566" s="11"/>
    </row>
    <row r="567">
      <c r="A567" s="11"/>
      <c r="B567" s="12"/>
      <c r="C567" s="11"/>
      <c r="D567" s="11"/>
      <c r="E567" s="11"/>
      <c r="F567" s="11"/>
      <c r="G567" s="11"/>
      <c r="H567" s="15"/>
      <c r="I567" s="11"/>
    </row>
    <row r="568">
      <c r="A568" s="11"/>
      <c r="B568" s="12"/>
      <c r="C568" s="11"/>
      <c r="D568" s="11"/>
      <c r="E568" s="11"/>
      <c r="F568" s="11"/>
      <c r="G568" s="11"/>
      <c r="H568" s="15"/>
      <c r="I568" s="11"/>
    </row>
    <row r="569">
      <c r="A569" s="11"/>
      <c r="B569" s="12"/>
      <c r="C569" s="11"/>
      <c r="D569" s="11"/>
      <c r="E569" s="11"/>
      <c r="F569" s="11"/>
      <c r="G569" s="11"/>
      <c r="H569" s="15"/>
      <c r="I569" s="11"/>
    </row>
    <row r="570">
      <c r="A570" s="11"/>
      <c r="B570" s="12"/>
      <c r="C570" s="11"/>
      <c r="D570" s="11"/>
      <c r="E570" s="11"/>
      <c r="F570" s="11"/>
      <c r="G570" s="11"/>
      <c r="H570" s="15"/>
      <c r="I570" s="11"/>
    </row>
    <row r="571">
      <c r="A571" s="11"/>
      <c r="B571" s="12"/>
      <c r="C571" s="11"/>
      <c r="D571" s="11"/>
      <c r="E571" s="11"/>
      <c r="F571" s="11"/>
      <c r="G571" s="11"/>
      <c r="H571" s="15"/>
      <c r="I571" s="11"/>
    </row>
    <row r="572">
      <c r="A572" s="11"/>
      <c r="B572" s="12"/>
      <c r="C572" s="11"/>
      <c r="D572" s="11"/>
      <c r="E572" s="11"/>
      <c r="F572" s="11"/>
      <c r="G572" s="11"/>
      <c r="H572" s="15"/>
      <c r="I572" s="11"/>
    </row>
    <row r="573">
      <c r="A573" s="11"/>
      <c r="B573" s="12"/>
      <c r="C573" s="11"/>
      <c r="D573" s="11"/>
      <c r="E573" s="11"/>
      <c r="F573" s="11"/>
      <c r="G573" s="11"/>
      <c r="H573" s="15"/>
      <c r="I573" s="11"/>
    </row>
    <row r="574">
      <c r="A574" s="11"/>
      <c r="B574" s="12"/>
      <c r="C574" s="11"/>
      <c r="D574" s="11"/>
      <c r="E574" s="11"/>
      <c r="F574" s="11"/>
      <c r="G574" s="11"/>
      <c r="H574" s="15"/>
      <c r="I574" s="11"/>
    </row>
    <row r="575">
      <c r="A575" s="11"/>
      <c r="B575" s="12"/>
      <c r="C575" s="11"/>
      <c r="D575" s="11"/>
      <c r="E575" s="11"/>
      <c r="F575" s="11"/>
      <c r="G575" s="11"/>
      <c r="H575" s="15"/>
      <c r="I575" s="11"/>
    </row>
    <row r="576">
      <c r="A576" s="11"/>
      <c r="B576" s="12"/>
      <c r="C576" s="11"/>
      <c r="D576" s="11"/>
      <c r="E576" s="11"/>
      <c r="F576" s="11"/>
      <c r="G576" s="11"/>
      <c r="H576" s="15"/>
      <c r="I576" s="11"/>
    </row>
    <row r="577">
      <c r="A577" s="11"/>
      <c r="B577" s="12"/>
      <c r="C577" s="11"/>
      <c r="D577" s="11"/>
      <c r="E577" s="11"/>
      <c r="F577" s="11"/>
      <c r="G577" s="11"/>
      <c r="H577" s="15"/>
      <c r="I577" s="11"/>
    </row>
    <row r="578">
      <c r="A578" s="11"/>
      <c r="B578" s="12"/>
      <c r="C578" s="11"/>
      <c r="D578" s="11"/>
      <c r="E578" s="11"/>
      <c r="F578" s="11"/>
      <c r="G578" s="11"/>
      <c r="H578" s="15"/>
      <c r="I578" s="11"/>
    </row>
    <row r="579">
      <c r="A579" s="11"/>
      <c r="B579" s="12"/>
      <c r="C579" s="11"/>
      <c r="D579" s="11"/>
      <c r="E579" s="11"/>
      <c r="F579" s="11"/>
      <c r="G579" s="11"/>
      <c r="H579" s="15"/>
      <c r="I579" s="11"/>
    </row>
    <row r="580">
      <c r="A580" s="11"/>
      <c r="B580" s="12"/>
      <c r="C580" s="11"/>
      <c r="D580" s="11"/>
      <c r="E580" s="11"/>
      <c r="F580" s="11"/>
      <c r="G580" s="11"/>
      <c r="H580" s="15"/>
      <c r="I580" s="11"/>
    </row>
    <row r="581">
      <c r="A581" s="11"/>
      <c r="B581" s="12"/>
      <c r="C581" s="11"/>
      <c r="D581" s="11"/>
      <c r="E581" s="11"/>
      <c r="F581" s="11"/>
      <c r="G581" s="11"/>
      <c r="H581" s="15"/>
      <c r="I581" s="11"/>
    </row>
    <row r="582">
      <c r="A582" s="11"/>
      <c r="B582" s="12"/>
      <c r="C582" s="11"/>
      <c r="D582" s="11"/>
      <c r="E582" s="11"/>
      <c r="F582" s="11"/>
      <c r="G582" s="11"/>
      <c r="H582" s="15"/>
      <c r="I582" s="11"/>
    </row>
    <row r="583">
      <c r="A583" s="11"/>
      <c r="B583" s="12"/>
      <c r="C583" s="11"/>
      <c r="D583" s="11"/>
      <c r="E583" s="11"/>
      <c r="F583" s="11"/>
      <c r="G583" s="11"/>
      <c r="H583" s="15"/>
      <c r="I583" s="11"/>
    </row>
    <row r="584">
      <c r="A584" s="11"/>
      <c r="B584" s="12"/>
      <c r="C584" s="11"/>
      <c r="D584" s="11"/>
      <c r="E584" s="11"/>
      <c r="F584" s="11"/>
      <c r="G584" s="11"/>
      <c r="H584" s="15"/>
      <c r="I584" s="11"/>
    </row>
    <row r="585">
      <c r="A585" s="11"/>
      <c r="B585" s="12"/>
      <c r="C585" s="11"/>
      <c r="D585" s="11"/>
      <c r="E585" s="11"/>
      <c r="F585" s="11"/>
      <c r="G585" s="11"/>
      <c r="H585" s="15"/>
      <c r="I585" s="11"/>
    </row>
    <row r="586">
      <c r="A586" s="11"/>
      <c r="B586" s="12"/>
      <c r="C586" s="11"/>
      <c r="D586" s="11"/>
      <c r="E586" s="11"/>
      <c r="F586" s="11"/>
      <c r="G586" s="11"/>
      <c r="H586" s="15"/>
      <c r="I586" s="11"/>
    </row>
    <row r="587">
      <c r="A587" s="11"/>
      <c r="B587" s="12"/>
      <c r="C587" s="11"/>
      <c r="D587" s="11"/>
      <c r="E587" s="11"/>
      <c r="F587" s="11"/>
      <c r="G587" s="11"/>
      <c r="H587" s="15"/>
      <c r="I587" s="11"/>
    </row>
    <row r="588">
      <c r="A588" s="11"/>
      <c r="B588" s="12"/>
      <c r="C588" s="11"/>
      <c r="D588" s="11"/>
      <c r="E588" s="11"/>
      <c r="F588" s="11"/>
      <c r="G588" s="11"/>
      <c r="H588" s="15"/>
      <c r="I588" s="11"/>
    </row>
    <row r="589">
      <c r="A589" s="11"/>
      <c r="B589" s="12"/>
      <c r="C589" s="11"/>
      <c r="D589" s="11"/>
      <c r="E589" s="11"/>
      <c r="F589" s="11"/>
      <c r="G589" s="11"/>
      <c r="H589" s="15"/>
      <c r="I589" s="11"/>
    </row>
    <row r="590">
      <c r="A590" s="11"/>
      <c r="B590" s="12"/>
      <c r="C590" s="11"/>
      <c r="D590" s="11"/>
      <c r="E590" s="11"/>
      <c r="F590" s="11"/>
      <c r="G590" s="11"/>
      <c r="H590" s="15"/>
      <c r="I590" s="11"/>
    </row>
    <row r="591">
      <c r="A591" s="11"/>
      <c r="B591" s="12"/>
      <c r="C591" s="11"/>
      <c r="D591" s="11"/>
      <c r="E591" s="11"/>
      <c r="F591" s="11"/>
      <c r="G591" s="11"/>
      <c r="H591" s="15"/>
      <c r="I591" s="11"/>
    </row>
    <row r="592">
      <c r="A592" s="11"/>
      <c r="B592" s="12"/>
      <c r="C592" s="11"/>
      <c r="D592" s="11"/>
      <c r="E592" s="11"/>
      <c r="F592" s="11"/>
      <c r="G592" s="11"/>
      <c r="H592" s="15"/>
      <c r="I592" s="11"/>
    </row>
    <row r="593">
      <c r="A593" s="11"/>
      <c r="B593" s="12"/>
      <c r="C593" s="11"/>
      <c r="D593" s="11"/>
      <c r="E593" s="11"/>
      <c r="F593" s="11"/>
      <c r="G593" s="11"/>
      <c r="H593" s="15"/>
      <c r="I593" s="11"/>
    </row>
    <row r="594">
      <c r="A594" s="11"/>
      <c r="B594" s="12"/>
      <c r="C594" s="11"/>
      <c r="D594" s="11"/>
      <c r="E594" s="11"/>
      <c r="F594" s="11"/>
      <c r="G594" s="11"/>
      <c r="H594" s="15"/>
      <c r="I594" s="11"/>
    </row>
    <row r="595">
      <c r="A595" s="11"/>
      <c r="B595" s="12"/>
      <c r="C595" s="11"/>
      <c r="D595" s="11"/>
      <c r="E595" s="11"/>
      <c r="F595" s="11"/>
      <c r="G595" s="11"/>
      <c r="H595" s="15"/>
      <c r="I595" s="11"/>
    </row>
    <row r="596">
      <c r="A596" s="11"/>
      <c r="B596" s="12"/>
      <c r="C596" s="11"/>
      <c r="D596" s="11"/>
      <c r="E596" s="11"/>
      <c r="F596" s="11"/>
      <c r="G596" s="11"/>
      <c r="H596" s="15"/>
      <c r="I596" s="11"/>
    </row>
    <row r="597">
      <c r="A597" s="11"/>
      <c r="B597" s="12"/>
      <c r="C597" s="11"/>
      <c r="D597" s="11"/>
      <c r="E597" s="11"/>
      <c r="F597" s="11"/>
      <c r="G597" s="11"/>
      <c r="H597" s="15"/>
      <c r="I597" s="11"/>
    </row>
    <row r="598">
      <c r="A598" s="11"/>
      <c r="B598" s="12"/>
      <c r="C598" s="11"/>
      <c r="D598" s="11"/>
      <c r="E598" s="11"/>
      <c r="F598" s="11"/>
      <c r="G598" s="11"/>
      <c r="H598" s="15"/>
      <c r="I598" s="11"/>
    </row>
    <row r="599">
      <c r="A599" s="11"/>
      <c r="B599" s="12"/>
      <c r="C599" s="11"/>
      <c r="D599" s="11"/>
      <c r="E599" s="11"/>
      <c r="F599" s="11"/>
      <c r="G599" s="11"/>
      <c r="H599" s="15"/>
      <c r="I599" s="11"/>
    </row>
    <row r="600">
      <c r="A600" s="11"/>
      <c r="B600" s="12"/>
      <c r="C600" s="11"/>
      <c r="D600" s="11"/>
      <c r="E600" s="11"/>
      <c r="F600" s="11"/>
      <c r="G600" s="11"/>
      <c r="H600" s="15"/>
      <c r="I600" s="11"/>
    </row>
    <row r="601">
      <c r="A601" s="11"/>
      <c r="B601" s="12"/>
      <c r="C601" s="11"/>
      <c r="D601" s="11"/>
      <c r="E601" s="11"/>
      <c r="F601" s="11"/>
      <c r="G601" s="11"/>
      <c r="H601" s="15"/>
      <c r="I601" s="11"/>
    </row>
    <row r="602">
      <c r="A602" s="11"/>
      <c r="B602" s="12"/>
      <c r="C602" s="11"/>
      <c r="D602" s="11"/>
      <c r="E602" s="11"/>
      <c r="F602" s="11"/>
      <c r="G602" s="11"/>
      <c r="H602" s="15"/>
      <c r="I602" s="11"/>
    </row>
    <row r="603">
      <c r="A603" s="11"/>
      <c r="B603" s="12"/>
      <c r="C603" s="11"/>
      <c r="D603" s="11"/>
      <c r="E603" s="11"/>
      <c r="F603" s="11"/>
      <c r="G603" s="11"/>
      <c r="H603" s="15"/>
      <c r="I603" s="11"/>
    </row>
    <row r="604">
      <c r="A604" s="11"/>
      <c r="B604" s="12"/>
      <c r="C604" s="11"/>
      <c r="D604" s="11"/>
      <c r="E604" s="11"/>
      <c r="F604" s="11"/>
      <c r="G604" s="11"/>
      <c r="H604" s="15"/>
      <c r="I604" s="11"/>
    </row>
    <row r="605">
      <c r="A605" s="11"/>
      <c r="B605" s="12"/>
      <c r="C605" s="11"/>
      <c r="D605" s="11"/>
      <c r="E605" s="11"/>
      <c r="F605" s="11"/>
      <c r="G605" s="11"/>
      <c r="H605" s="15"/>
      <c r="I605" s="11"/>
    </row>
    <row r="606">
      <c r="A606" s="11"/>
      <c r="B606" s="12"/>
      <c r="C606" s="11"/>
      <c r="D606" s="11"/>
      <c r="E606" s="11"/>
      <c r="F606" s="11"/>
      <c r="G606" s="11"/>
      <c r="H606" s="15"/>
      <c r="I606" s="11"/>
    </row>
    <row r="607">
      <c r="A607" s="11"/>
      <c r="B607" s="12"/>
      <c r="C607" s="11"/>
      <c r="D607" s="11"/>
      <c r="E607" s="11"/>
      <c r="F607" s="11"/>
      <c r="G607" s="11"/>
      <c r="H607" s="15"/>
      <c r="I607" s="11"/>
    </row>
    <row r="608">
      <c r="A608" s="11"/>
      <c r="B608" s="12"/>
      <c r="C608" s="11"/>
      <c r="D608" s="11"/>
      <c r="E608" s="11"/>
      <c r="F608" s="11"/>
      <c r="G608" s="11"/>
      <c r="H608" s="15"/>
      <c r="I608" s="11"/>
    </row>
    <row r="609">
      <c r="A609" s="11"/>
      <c r="B609" s="12"/>
      <c r="C609" s="11"/>
      <c r="D609" s="11"/>
      <c r="E609" s="11"/>
      <c r="F609" s="11"/>
      <c r="G609" s="11"/>
      <c r="H609" s="15"/>
      <c r="I609" s="11"/>
    </row>
    <row r="610">
      <c r="A610" s="11"/>
      <c r="B610" s="12"/>
      <c r="C610" s="11"/>
      <c r="D610" s="11"/>
      <c r="E610" s="11"/>
      <c r="F610" s="11"/>
      <c r="G610" s="11"/>
      <c r="H610" s="15"/>
      <c r="I610" s="11"/>
    </row>
    <row r="611">
      <c r="A611" s="11"/>
      <c r="B611" s="12"/>
      <c r="C611" s="11"/>
      <c r="D611" s="11"/>
      <c r="E611" s="11"/>
      <c r="F611" s="11"/>
      <c r="G611" s="11"/>
      <c r="H611" s="15"/>
      <c r="I611" s="11"/>
    </row>
    <row r="612">
      <c r="A612" s="11"/>
      <c r="B612" s="12"/>
      <c r="C612" s="11"/>
      <c r="D612" s="11"/>
      <c r="E612" s="11"/>
      <c r="F612" s="11"/>
      <c r="G612" s="11"/>
      <c r="H612" s="15"/>
      <c r="I612" s="11"/>
    </row>
    <row r="613">
      <c r="A613" s="11"/>
      <c r="B613" s="12"/>
      <c r="C613" s="11"/>
      <c r="D613" s="11"/>
      <c r="E613" s="11"/>
      <c r="F613" s="11"/>
      <c r="G613" s="11"/>
      <c r="H613" s="15"/>
      <c r="I613" s="11"/>
    </row>
    <row r="614">
      <c r="A614" s="11"/>
      <c r="B614" s="12"/>
      <c r="C614" s="11"/>
      <c r="D614" s="11"/>
      <c r="E614" s="11"/>
      <c r="F614" s="11"/>
      <c r="G614" s="11"/>
      <c r="H614" s="15"/>
      <c r="I614" s="11"/>
    </row>
    <row r="615">
      <c r="A615" s="11"/>
      <c r="B615" s="12"/>
      <c r="C615" s="11"/>
      <c r="D615" s="11"/>
      <c r="E615" s="11"/>
      <c r="F615" s="11"/>
      <c r="G615" s="11"/>
      <c r="H615" s="15"/>
      <c r="I615" s="11"/>
    </row>
    <row r="616">
      <c r="A616" s="11"/>
      <c r="B616" s="12"/>
      <c r="C616" s="11"/>
      <c r="D616" s="11"/>
      <c r="E616" s="11"/>
      <c r="F616" s="11"/>
      <c r="G616" s="11"/>
      <c r="H616" s="15"/>
      <c r="I616" s="11"/>
    </row>
    <row r="617">
      <c r="A617" s="11"/>
      <c r="B617" s="12"/>
      <c r="C617" s="11"/>
      <c r="D617" s="11"/>
      <c r="E617" s="11"/>
      <c r="F617" s="11"/>
      <c r="G617" s="11"/>
      <c r="H617" s="15"/>
      <c r="I617" s="11"/>
    </row>
    <row r="618">
      <c r="A618" s="11"/>
      <c r="B618" s="12"/>
      <c r="C618" s="11"/>
      <c r="D618" s="11"/>
      <c r="E618" s="11"/>
      <c r="F618" s="11"/>
      <c r="G618" s="11"/>
      <c r="H618" s="15"/>
      <c r="I618" s="11"/>
    </row>
    <row r="619">
      <c r="A619" s="11"/>
      <c r="B619" s="12"/>
      <c r="C619" s="11"/>
      <c r="D619" s="11"/>
      <c r="E619" s="11"/>
      <c r="F619" s="11"/>
      <c r="G619" s="11"/>
      <c r="H619" s="15"/>
      <c r="I619" s="11"/>
    </row>
    <row r="620">
      <c r="A620" s="11"/>
      <c r="B620" s="12"/>
      <c r="C620" s="11"/>
      <c r="D620" s="11"/>
      <c r="E620" s="11"/>
      <c r="F620" s="11"/>
      <c r="G620" s="11"/>
      <c r="H620" s="15"/>
      <c r="I620" s="11"/>
    </row>
    <row r="621">
      <c r="A621" s="11"/>
      <c r="B621" s="12"/>
      <c r="C621" s="11"/>
      <c r="D621" s="11"/>
      <c r="E621" s="11"/>
      <c r="F621" s="11"/>
      <c r="G621" s="11"/>
      <c r="H621" s="15"/>
      <c r="I621" s="11"/>
    </row>
    <row r="622">
      <c r="A622" s="11"/>
      <c r="B622" s="12"/>
      <c r="C622" s="11"/>
      <c r="D622" s="11"/>
      <c r="E622" s="11"/>
      <c r="F622" s="11"/>
      <c r="G622" s="11"/>
      <c r="H622" s="15"/>
      <c r="I622" s="11"/>
    </row>
    <row r="623">
      <c r="A623" s="11"/>
      <c r="B623" s="12"/>
      <c r="C623" s="11"/>
      <c r="D623" s="11"/>
      <c r="E623" s="11"/>
      <c r="F623" s="11"/>
      <c r="G623" s="11"/>
      <c r="H623" s="15"/>
      <c r="I623" s="11"/>
    </row>
    <row r="624">
      <c r="A624" s="11"/>
      <c r="B624" s="12"/>
      <c r="C624" s="11"/>
      <c r="D624" s="11"/>
      <c r="E624" s="11"/>
      <c r="F624" s="11"/>
      <c r="G624" s="11"/>
      <c r="H624" s="15"/>
      <c r="I624" s="11"/>
    </row>
    <row r="625">
      <c r="A625" s="11"/>
      <c r="B625" s="12"/>
      <c r="C625" s="11"/>
      <c r="D625" s="11"/>
      <c r="E625" s="11"/>
      <c r="F625" s="11"/>
      <c r="G625" s="11"/>
      <c r="H625" s="15"/>
      <c r="I625" s="11"/>
    </row>
    <row r="626">
      <c r="A626" s="11"/>
      <c r="B626" s="12"/>
      <c r="C626" s="11"/>
      <c r="D626" s="11"/>
      <c r="E626" s="11"/>
      <c r="F626" s="11"/>
      <c r="G626" s="11"/>
      <c r="H626" s="15"/>
      <c r="I626" s="11"/>
    </row>
    <row r="627">
      <c r="A627" s="11"/>
      <c r="B627" s="12"/>
      <c r="C627" s="11"/>
      <c r="D627" s="11"/>
      <c r="E627" s="11"/>
      <c r="F627" s="11"/>
      <c r="G627" s="11"/>
      <c r="H627" s="15"/>
      <c r="I627" s="11"/>
    </row>
    <row r="628">
      <c r="A628" s="11"/>
      <c r="B628" s="12"/>
      <c r="C628" s="11"/>
      <c r="D628" s="11"/>
      <c r="E628" s="11"/>
      <c r="F628" s="11"/>
      <c r="G628" s="11"/>
      <c r="H628" s="15"/>
      <c r="I628" s="11"/>
    </row>
    <row r="629">
      <c r="A629" s="11"/>
      <c r="B629" s="12"/>
      <c r="C629" s="11"/>
      <c r="D629" s="11"/>
      <c r="E629" s="11"/>
      <c r="F629" s="11"/>
      <c r="G629" s="11"/>
      <c r="H629" s="15"/>
      <c r="I629" s="11"/>
    </row>
    <row r="630">
      <c r="A630" s="11"/>
      <c r="B630" s="12"/>
      <c r="C630" s="11"/>
      <c r="D630" s="11"/>
      <c r="E630" s="11"/>
      <c r="F630" s="11"/>
      <c r="G630" s="11"/>
      <c r="H630" s="15"/>
      <c r="I630" s="11"/>
    </row>
    <row r="631">
      <c r="A631" s="11"/>
      <c r="B631" s="12"/>
      <c r="C631" s="11"/>
      <c r="D631" s="11"/>
      <c r="E631" s="11"/>
      <c r="F631" s="11"/>
      <c r="G631" s="11"/>
      <c r="H631" s="15"/>
      <c r="I631" s="11"/>
    </row>
    <row r="632">
      <c r="A632" s="11"/>
      <c r="B632" s="12"/>
      <c r="C632" s="11"/>
      <c r="D632" s="11"/>
      <c r="E632" s="11"/>
      <c r="F632" s="11"/>
      <c r="G632" s="11"/>
      <c r="H632" s="15"/>
      <c r="I632" s="11"/>
    </row>
    <row r="633">
      <c r="A633" s="11"/>
      <c r="B633" s="12"/>
      <c r="C633" s="11"/>
      <c r="D633" s="11"/>
      <c r="E633" s="11"/>
      <c r="F633" s="11"/>
      <c r="G633" s="11"/>
      <c r="H633" s="15"/>
      <c r="I633" s="11"/>
    </row>
    <row r="634">
      <c r="A634" s="11"/>
      <c r="B634" s="12"/>
      <c r="C634" s="11"/>
      <c r="D634" s="11"/>
      <c r="E634" s="11"/>
      <c r="F634" s="11"/>
      <c r="G634" s="11"/>
      <c r="H634" s="15"/>
      <c r="I634" s="11"/>
    </row>
    <row r="635">
      <c r="A635" s="11"/>
      <c r="B635" s="12"/>
      <c r="C635" s="11"/>
      <c r="D635" s="11"/>
      <c r="E635" s="11"/>
      <c r="F635" s="11"/>
      <c r="G635" s="11"/>
      <c r="H635" s="15"/>
      <c r="I635" s="11"/>
    </row>
    <row r="636">
      <c r="A636" s="11"/>
      <c r="B636" s="12"/>
      <c r="C636" s="11"/>
      <c r="D636" s="11"/>
      <c r="E636" s="11"/>
      <c r="F636" s="11"/>
      <c r="G636" s="11"/>
      <c r="H636" s="15"/>
      <c r="I636" s="11"/>
    </row>
    <row r="637">
      <c r="A637" s="11"/>
      <c r="B637" s="12"/>
      <c r="C637" s="11"/>
      <c r="D637" s="11"/>
      <c r="E637" s="11"/>
      <c r="F637" s="11"/>
      <c r="G637" s="11"/>
      <c r="H637" s="15"/>
      <c r="I637" s="11"/>
    </row>
    <row r="638">
      <c r="A638" s="11"/>
      <c r="B638" s="12"/>
      <c r="C638" s="11"/>
      <c r="D638" s="11"/>
      <c r="E638" s="11"/>
      <c r="F638" s="11"/>
      <c r="G638" s="11"/>
      <c r="H638" s="15"/>
      <c r="I638" s="11"/>
    </row>
    <row r="639">
      <c r="A639" s="11"/>
      <c r="B639" s="12"/>
      <c r="C639" s="11"/>
      <c r="D639" s="11"/>
      <c r="E639" s="11"/>
      <c r="F639" s="11"/>
      <c r="G639" s="11"/>
      <c r="H639" s="15"/>
      <c r="I639" s="11"/>
    </row>
    <row r="640">
      <c r="A640" s="11"/>
      <c r="B640" s="12"/>
      <c r="C640" s="11"/>
      <c r="D640" s="11"/>
      <c r="E640" s="11"/>
      <c r="F640" s="11"/>
      <c r="G640" s="11"/>
      <c r="H640" s="15"/>
      <c r="I640" s="11"/>
    </row>
    <row r="641">
      <c r="A641" s="11"/>
      <c r="B641" s="12"/>
      <c r="C641" s="11"/>
      <c r="D641" s="11"/>
      <c r="E641" s="11"/>
      <c r="F641" s="11"/>
      <c r="G641" s="11"/>
      <c r="H641" s="15"/>
      <c r="I641" s="11"/>
    </row>
    <row r="642">
      <c r="A642" s="11"/>
      <c r="B642" s="12"/>
      <c r="C642" s="11"/>
      <c r="D642" s="11"/>
      <c r="E642" s="11"/>
      <c r="F642" s="11"/>
      <c r="G642" s="11"/>
      <c r="H642" s="15"/>
      <c r="I642" s="11"/>
    </row>
    <row r="643">
      <c r="A643" s="11"/>
      <c r="B643" s="12"/>
      <c r="C643" s="11"/>
      <c r="D643" s="11"/>
      <c r="E643" s="11"/>
      <c r="F643" s="11"/>
      <c r="G643" s="11"/>
      <c r="H643" s="15"/>
      <c r="I643" s="11"/>
    </row>
    <row r="644">
      <c r="A644" s="11"/>
      <c r="B644" s="12"/>
      <c r="C644" s="11"/>
      <c r="D644" s="11"/>
      <c r="E644" s="11"/>
      <c r="F644" s="11"/>
      <c r="G644" s="11"/>
      <c r="H644" s="15"/>
      <c r="I644" s="11"/>
    </row>
    <row r="645">
      <c r="A645" s="11"/>
      <c r="B645" s="12"/>
      <c r="C645" s="11"/>
      <c r="D645" s="11"/>
      <c r="E645" s="11"/>
      <c r="F645" s="11"/>
      <c r="G645" s="11"/>
      <c r="H645" s="15"/>
      <c r="I645" s="11"/>
    </row>
    <row r="646">
      <c r="A646" s="11"/>
      <c r="B646" s="12"/>
      <c r="C646" s="11"/>
      <c r="D646" s="11"/>
      <c r="E646" s="11"/>
      <c r="F646" s="11"/>
      <c r="G646" s="11"/>
      <c r="H646" s="15"/>
      <c r="I646" s="11"/>
    </row>
    <row r="647">
      <c r="A647" s="11"/>
      <c r="B647" s="12"/>
      <c r="C647" s="11"/>
      <c r="D647" s="11"/>
      <c r="E647" s="11"/>
      <c r="F647" s="11"/>
      <c r="G647" s="11"/>
      <c r="H647" s="15"/>
      <c r="I647" s="11"/>
    </row>
    <row r="648">
      <c r="A648" s="11"/>
      <c r="B648" s="12"/>
      <c r="C648" s="11"/>
      <c r="D648" s="11"/>
      <c r="E648" s="11"/>
      <c r="F648" s="11"/>
      <c r="G648" s="11"/>
      <c r="H648" s="15"/>
      <c r="I648" s="11"/>
    </row>
    <row r="649">
      <c r="A649" s="11"/>
      <c r="B649" s="12"/>
      <c r="C649" s="11"/>
      <c r="D649" s="11"/>
      <c r="E649" s="11"/>
      <c r="F649" s="11"/>
      <c r="G649" s="11"/>
      <c r="H649" s="15"/>
      <c r="I649" s="11"/>
    </row>
    <row r="650">
      <c r="A650" s="11"/>
      <c r="B650" s="12"/>
      <c r="C650" s="11"/>
      <c r="D650" s="11"/>
      <c r="E650" s="11"/>
      <c r="F650" s="11"/>
      <c r="G650" s="11"/>
      <c r="H650" s="15"/>
      <c r="I650" s="11"/>
    </row>
    <row r="651">
      <c r="A651" s="11"/>
      <c r="B651" s="12"/>
      <c r="C651" s="11"/>
      <c r="D651" s="11"/>
      <c r="E651" s="11"/>
      <c r="F651" s="11"/>
      <c r="G651" s="11"/>
      <c r="H651" s="15"/>
      <c r="I651" s="11"/>
    </row>
    <row r="652">
      <c r="A652" s="11"/>
      <c r="B652" s="12"/>
      <c r="C652" s="11"/>
      <c r="D652" s="11"/>
      <c r="E652" s="11"/>
      <c r="F652" s="11"/>
      <c r="G652" s="11"/>
      <c r="H652" s="15"/>
      <c r="I652" s="11"/>
    </row>
    <row r="653">
      <c r="A653" s="11"/>
      <c r="B653" s="12"/>
      <c r="C653" s="11"/>
      <c r="D653" s="11"/>
      <c r="E653" s="11"/>
      <c r="F653" s="11"/>
      <c r="G653" s="11"/>
      <c r="H653" s="15"/>
      <c r="I653" s="11"/>
    </row>
    <row r="654">
      <c r="A654" s="11"/>
      <c r="B654" s="12"/>
      <c r="C654" s="11"/>
      <c r="D654" s="11"/>
      <c r="E654" s="11"/>
      <c r="F654" s="11"/>
      <c r="G654" s="11"/>
      <c r="H654" s="15"/>
      <c r="I654" s="11"/>
    </row>
    <row r="655">
      <c r="A655" s="11"/>
      <c r="B655" s="12"/>
      <c r="C655" s="11"/>
      <c r="D655" s="11"/>
      <c r="E655" s="11"/>
      <c r="F655" s="11"/>
      <c r="G655" s="11"/>
      <c r="H655" s="15"/>
      <c r="I655" s="11"/>
    </row>
    <row r="656">
      <c r="A656" s="11"/>
      <c r="B656" s="12"/>
      <c r="C656" s="11"/>
      <c r="D656" s="11"/>
      <c r="E656" s="11"/>
      <c r="F656" s="11"/>
      <c r="G656" s="11"/>
      <c r="H656" s="15"/>
      <c r="I656" s="11"/>
    </row>
    <row r="657">
      <c r="A657" s="11"/>
      <c r="B657" s="12"/>
      <c r="C657" s="11"/>
      <c r="D657" s="11"/>
      <c r="E657" s="11"/>
      <c r="F657" s="11"/>
      <c r="G657" s="11"/>
      <c r="H657" s="15"/>
      <c r="I657" s="11"/>
    </row>
    <row r="658">
      <c r="A658" s="11"/>
      <c r="B658" s="12"/>
      <c r="C658" s="11"/>
      <c r="D658" s="11"/>
      <c r="E658" s="11"/>
      <c r="F658" s="11"/>
      <c r="G658" s="11"/>
      <c r="H658" s="15"/>
      <c r="I658" s="11"/>
    </row>
    <row r="659">
      <c r="A659" s="11"/>
      <c r="B659" s="12"/>
      <c r="C659" s="11"/>
      <c r="D659" s="11"/>
      <c r="E659" s="11"/>
      <c r="F659" s="11"/>
      <c r="G659" s="11"/>
      <c r="H659" s="15"/>
      <c r="I659" s="11"/>
    </row>
    <row r="660">
      <c r="A660" s="11"/>
      <c r="B660" s="12"/>
      <c r="C660" s="11"/>
      <c r="D660" s="11"/>
      <c r="E660" s="11"/>
      <c r="F660" s="11"/>
      <c r="G660" s="11"/>
      <c r="H660" s="15"/>
      <c r="I660" s="11"/>
    </row>
    <row r="661">
      <c r="A661" s="11"/>
      <c r="B661" s="12"/>
      <c r="C661" s="11"/>
      <c r="D661" s="11"/>
      <c r="E661" s="11"/>
      <c r="F661" s="11"/>
      <c r="G661" s="11"/>
      <c r="H661" s="15"/>
      <c r="I661" s="11"/>
    </row>
    <row r="662">
      <c r="A662" s="11"/>
      <c r="B662" s="12"/>
      <c r="C662" s="11"/>
      <c r="D662" s="11"/>
      <c r="E662" s="11"/>
      <c r="F662" s="11"/>
      <c r="G662" s="11"/>
      <c r="H662" s="15"/>
      <c r="I662" s="11"/>
    </row>
    <row r="663">
      <c r="A663" s="11"/>
      <c r="B663" s="12"/>
      <c r="C663" s="11"/>
      <c r="D663" s="11"/>
      <c r="E663" s="11"/>
      <c r="F663" s="11"/>
      <c r="G663" s="11"/>
      <c r="H663" s="15"/>
      <c r="I663" s="11"/>
    </row>
    <row r="664">
      <c r="A664" s="11"/>
      <c r="B664" s="12"/>
      <c r="C664" s="11"/>
      <c r="D664" s="11"/>
      <c r="E664" s="11"/>
      <c r="F664" s="11"/>
      <c r="G664" s="11"/>
      <c r="H664" s="15"/>
      <c r="I664" s="11"/>
    </row>
    <row r="665">
      <c r="A665" s="11"/>
      <c r="B665" s="12"/>
      <c r="C665" s="11"/>
      <c r="D665" s="11"/>
      <c r="E665" s="11"/>
      <c r="F665" s="11"/>
      <c r="G665" s="11"/>
      <c r="H665" s="15"/>
      <c r="I665" s="11"/>
    </row>
    <row r="666">
      <c r="A666" s="11"/>
      <c r="B666" s="12"/>
      <c r="C666" s="11"/>
      <c r="D666" s="11"/>
      <c r="E666" s="11"/>
      <c r="F666" s="11"/>
      <c r="G666" s="11"/>
      <c r="H666" s="15"/>
      <c r="I666" s="11"/>
    </row>
    <row r="667">
      <c r="A667" s="11"/>
      <c r="B667" s="12"/>
      <c r="C667" s="11"/>
      <c r="D667" s="11"/>
      <c r="E667" s="11"/>
      <c r="F667" s="11"/>
      <c r="G667" s="11"/>
      <c r="H667" s="15"/>
      <c r="I667" s="11"/>
    </row>
    <row r="668">
      <c r="A668" s="11"/>
      <c r="B668" s="12"/>
      <c r="C668" s="11"/>
      <c r="D668" s="11"/>
      <c r="E668" s="11"/>
      <c r="F668" s="11"/>
      <c r="G668" s="11"/>
      <c r="H668" s="15"/>
      <c r="I668" s="11"/>
    </row>
    <row r="669">
      <c r="A669" s="11"/>
      <c r="B669" s="12"/>
      <c r="C669" s="11"/>
      <c r="D669" s="11"/>
      <c r="E669" s="11"/>
      <c r="F669" s="11"/>
      <c r="G669" s="11"/>
      <c r="H669" s="15"/>
      <c r="I669" s="11"/>
    </row>
    <row r="670">
      <c r="A670" s="11"/>
      <c r="B670" s="12"/>
      <c r="C670" s="11"/>
      <c r="D670" s="11"/>
      <c r="E670" s="11"/>
      <c r="F670" s="11"/>
      <c r="G670" s="11"/>
      <c r="H670" s="15"/>
      <c r="I670" s="11"/>
    </row>
    <row r="671">
      <c r="A671" s="11"/>
      <c r="B671" s="12"/>
      <c r="C671" s="11"/>
      <c r="D671" s="11"/>
      <c r="E671" s="11"/>
      <c r="F671" s="11"/>
      <c r="G671" s="11"/>
      <c r="H671" s="15"/>
      <c r="I671" s="11"/>
    </row>
    <row r="672">
      <c r="A672" s="11"/>
      <c r="B672" s="12"/>
      <c r="C672" s="11"/>
      <c r="D672" s="11"/>
      <c r="E672" s="11"/>
      <c r="F672" s="11"/>
      <c r="G672" s="11"/>
      <c r="H672" s="15"/>
      <c r="I672" s="11"/>
    </row>
    <row r="673">
      <c r="A673" s="11"/>
      <c r="B673" s="12"/>
      <c r="C673" s="11"/>
      <c r="D673" s="11"/>
      <c r="E673" s="11"/>
      <c r="F673" s="11"/>
      <c r="G673" s="11"/>
      <c r="H673" s="15"/>
      <c r="I673" s="11"/>
    </row>
    <row r="674">
      <c r="A674" s="11"/>
      <c r="B674" s="12"/>
      <c r="C674" s="11"/>
      <c r="D674" s="11"/>
      <c r="E674" s="11"/>
      <c r="F674" s="11"/>
      <c r="G674" s="11"/>
      <c r="H674" s="15"/>
      <c r="I674" s="11"/>
    </row>
    <row r="675">
      <c r="A675" s="11"/>
      <c r="B675" s="12"/>
      <c r="C675" s="11"/>
      <c r="D675" s="11"/>
      <c r="E675" s="11"/>
      <c r="F675" s="11"/>
      <c r="G675" s="11"/>
      <c r="H675" s="15"/>
      <c r="I675" s="11"/>
    </row>
    <row r="676">
      <c r="A676" s="11"/>
      <c r="B676" s="12"/>
      <c r="C676" s="11"/>
      <c r="D676" s="11"/>
      <c r="E676" s="11"/>
      <c r="F676" s="11"/>
      <c r="G676" s="11"/>
      <c r="H676" s="15"/>
      <c r="I676" s="11"/>
    </row>
    <row r="677">
      <c r="A677" s="11"/>
      <c r="B677" s="12"/>
      <c r="C677" s="11"/>
      <c r="D677" s="11"/>
      <c r="E677" s="11"/>
      <c r="F677" s="11"/>
      <c r="G677" s="11"/>
      <c r="H677" s="15"/>
      <c r="I677" s="11"/>
    </row>
    <row r="678">
      <c r="A678" s="11"/>
      <c r="B678" s="12"/>
      <c r="C678" s="11"/>
      <c r="D678" s="11"/>
      <c r="E678" s="11"/>
      <c r="F678" s="11"/>
      <c r="G678" s="11"/>
      <c r="H678" s="15"/>
      <c r="I678" s="11"/>
    </row>
    <row r="679">
      <c r="A679" s="11"/>
      <c r="B679" s="12"/>
      <c r="C679" s="11"/>
      <c r="D679" s="11"/>
      <c r="E679" s="11"/>
      <c r="F679" s="11"/>
      <c r="G679" s="11"/>
      <c r="H679" s="15"/>
      <c r="I679" s="11"/>
    </row>
    <row r="680">
      <c r="A680" s="11"/>
      <c r="B680" s="12"/>
      <c r="C680" s="11"/>
      <c r="D680" s="11"/>
      <c r="E680" s="11"/>
      <c r="F680" s="11"/>
      <c r="G680" s="11"/>
      <c r="H680" s="15"/>
      <c r="I680" s="11"/>
    </row>
    <row r="681">
      <c r="A681" s="11"/>
      <c r="B681" s="12"/>
      <c r="C681" s="11"/>
      <c r="D681" s="11"/>
      <c r="E681" s="11"/>
      <c r="F681" s="11"/>
      <c r="G681" s="11"/>
      <c r="H681" s="15"/>
      <c r="I681" s="11"/>
    </row>
    <row r="682">
      <c r="A682" s="11"/>
      <c r="B682" s="12"/>
      <c r="C682" s="11"/>
      <c r="D682" s="11"/>
      <c r="E682" s="11"/>
      <c r="F682" s="11"/>
      <c r="G682" s="11"/>
      <c r="H682" s="15"/>
      <c r="I682" s="11"/>
    </row>
    <row r="683">
      <c r="A683" s="11"/>
      <c r="B683" s="12"/>
      <c r="C683" s="11"/>
      <c r="D683" s="11"/>
      <c r="E683" s="11"/>
      <c r="F683" s="11"/>
      <c r="G683" s="11"/>
      <c r="H683" s="15"/>
      <c r="I683" s="11"/>
    </row>
    <row r="684">
      <c r="A684" s="11"/>
      <c r="B684" s="12"/>
      <c r="C684" s="11"/>
      <c r="D684" s="11"/>
      <c r="E684" s="11"/>
      <c r="F684" s="11"/>
      <c r="G684" s="11"/>
      <c r="H684" s="15"/>
      <c r="I684" s="11"/>
    </row>
    <row r="685">
      <c r="A685" s="11"/>
      <c r="B685" s="12"/>
      <c r="C685" s="11"/>
      <c r="D685" s="11"/>
      <c r="E685" s="11"/>
      <c r="F685" s="11"/>
      <c r="G685" s="11"/>
      <c r="H685" s="15"/>
      <c r="I685" s="11"/>
    </row>
    <row r="686">
      <c r="A686" s="11"/>
      <c r="B686" s="12"/>
      <c r="C686" s="11"/>
      <c r="D686" s="11"/>
      <c r="E686" s="11"/>
      <c r="F686" s="11"/>
      <c r="G686" s="11"/>
      <c r="H686" s="15"/>
      <c r="I686" s="11"/>
    </row>
    <row r="687">
      <c r="A687" s="11"/>
      <c r="B687" s="12"/>
      <c r="C687" s="11"/>
      <c r="D687" s="11"/>
      <c r="E687" s="11"/>
      <c r="F687" s="11"/>
      <c r="G687" s="11"/>
      <c r="H687" s="15"/>
      <c r="I687" s="11"/>
    </row>
    <row r="688">
      <c r="A688" s="11"/>
      <c r="B688" s="12"/>
      <c r="C688" s="11"/>
      <c r="D688" s="11"/>
      <c r="E688" s="11"/>
      <c r="F688" s="11"/>
      <c r="G688" s="11"/>
      <c r="H688" s="15"/>
      <c r="I688" s="11"/>
    </row>
    <row r="689">
      <c r="A689" s="11"/>
      <c r="B689" s="12"/>
      <c r="C689" s="11"/>
      <c r="D689" s="11"/>
      <c r="E689" s="11"/>
      <c r="F689" s="11"/>
      <c r="G689" s="11"/>
      <c r="H689" s="15"/>
      <c r="I689" s="11"/>
    </row>
    <row r="690">
      <c r="A690" s="11"/>
      <c r="B690" s="12"/>
      <c r="C690" s="11"/>
      <c r="D690" s="11"/>
      <c r="E690" s="11"/>
      <c r="F690" s="11"/>
      <c r="G690" s="11"/>
      <c r="H690" s="15"/>
      <c r="I690" s="11"/>
    </row>
    <row r="691">
      <c r="A691" s="11"/>
      <c r="B691" s="12"/>
      <c r="C691" s="11"/>
      <c r="D691" s="11"/>
      <c r="E691" s="11"/>
      <c r="F691" s="11"/>
      <c r="G691" s="11"/>
      <c r="H691" s="15"/>
      <c r="I691" s="11"/>
    </row>
    <row r="692">
      <c r="A692" s="11"/>
      <c r="B692" s="12"/>
      <c r="C692" s="11"/>
      <c r="D692" s="11"/>
      <c r="E692" s="11"/>
      <c r="F692" s="11"/>
      <c r="G692" s="11"/>
      <c r="H692" s="15"/>
      <c r="I692" s="11"/>
    </row>
    <row r="693">
      <c r="A693" s="11"/>
      <c r="B693" s="12"/>
      <c r="C693" s="11"/>
      <c r="D693" s="11"/>
      <c r="E693" s="11"/>
      <c r="F693" s="11"/>
      <c r="G693" s="11"/>
      <c r="H693" s="15"/>
      <c r="I693" s="11"/>
    </row>
    <row r="694">
      <c r="A694" s="11"/>
      <c r="B694" s="12"/>
      <c r="C694" s="11"/>
      <c r="D694" s="11"/>
      <c r="E694" s="11"/>
      <c r="F694" s="11"/>
      <c r="G694" s="11"/>
      <c r="H694" s="15"/>
      <c r="I694" s="11"/>
    </row>
    <row r="695">
      <c r="A695" s="11"/>
      <c r="B695" s="12"/>
      <c r="C695" s="11"/>
      <c r="D695" s="11"/>
      <c r="E695" s="11"/>
      <c r="F695" s="11"/>
      <c r="G695" s="11"/>
      <c r="H695" s="15"/>
      <c r="I695" s="11"/>
    </row>
    <row r="696">
      <c r="A696" s="11"/>
      <c r="B696" s="12"/>
      <c r="C696" s="11"/>
      <c r="D696" s="11"/>
      <c r="E696" s="11"/>
      <c r="F696" s="11"/>
      <c r="G696" s="11"/>
      <c r="H696" s="15"/>
      <c r="I696" s="11"/>
    </row>
    <row r="697">
      <c r="A697" s="11"/>
      <c r="B697" s="12"/>
      <c r="C697" s="11"/>
      <c r="D697" s="11"/>
      <c r="E697" s="11"/>
      <c r="F697" s="11"/>
      <c r="G697" s="11"/>
      <c r="H697" s="15"/>
      <c r="I697" s="11"/>
    </row>
    <row r="698">
      <c r="A698" s="11"/>
      <c r="B698" s="12"/>
      <c r="C698" s="11"/>
      <c r="D698" s="11"/>
      <c r="E698" s="11"/>
      <c r="F698" s="11"/>
      <c r="G698" s="11"/>
      <c r="H698" s="15"/>
      <c r="I698" s="11"/>
    </row>
    <row r="699">
      <c r="A699" s="11"/>
      <c r="B699" s="12"/>
      <c r="C699" s="11"/>
      <c r="D699" s="11"/>
      <c r="E699" s="11"/>
      <c r="F699" s="11"/>
      <c r="G699" s="11"/>
      <c r="H699" s="15"/>
      <c r="I699" s="11"/>
    </row>
    <row r="700">
      <c r="A700" s="11"/>
      <c r="B700" s="12"/>
      <c r="C700" s="11"/>
      <c r="D700" s="11"/>
      <c r="E700" s="11"/>
      <c r="F700" s="11"/>
      <c r="G700" s="11"/>
      <c r="H700" s="15"/>
      <c r="I700" s="11"/>
    </row>
    <row r="701">
      <c r="A701" s="11"/>
      <c r="B701" s="12"/>
      <c r="C701" s="11"/>
      <c r="D701" s="11"/>
      <c r="E701" s="11"/>
      <c r="F701" s="11"/>
      <c r="G701" s="11"/>
      <c r="H701" s="15"/>
      <c r="I701" s="11"/>
    </row>
    <row r="702">
      <c r="A702" s="11"/>
      <c r="B702" s="12"/>
      <c r="C702" s="11"/>
      <c r="D702" s="11"/>
      <c r="E702" s="11"/>
      <c r="F702" s="11"/>
      <c r="G702" s="11"/>
      <c r="H702" s="15"/>
      <c r="I702" s="11"/>
    </row>
    <row r="703">
      <c r="A703" s="11"/>
      <c r="B703" s="12"/>
      <c r="C703" s="11"/>
      <c r="D703" s="11"/>
      <c r="E703" s="11"/>
      <c r="F703" s="11"/>
      <c r="G703" s="11"/>
      <c r="H703" s="15"/>
      <c r="I703" s="11"/>
    </row>
    <row r="704">
      <c r="A704" s="11"/>
      <c r="B704" s="12"/>
      <c r="C704" s="11"/>
      <c r="D704" s="11"/>
      <c r="E704" s="11"/>
      <c r="F704" s="11"/>
      <c r="G704" s="11"/>
      <c r="H704" s="15"/>
      <c r="I704" s="11"/>
    </row>
    <row r="705">
      <c r="A705" s="11"/>
      <c r="B705" s="12"/>
      <c r="C705" s="11"/>
      <c r="D705" s="11"/>
      <c r="E705" s="11"/>
      <c r="F705" s="11"/>
      <c r="G705" s="11"/>
      <c r="H705" s="15"/>
      <c r="I705" s="11"/>
    </row>
    <row r="706">
      <c r="A706" s="11"/>
      <c r="B706" s="12"/>
      <c r="C706" s="11"/>
      <c r="D706" s="11"/>
      <c r="E706" s="11"/>
      <c r="F706" s="11"/>
      <c r="G706" s="11"/>
      <c r="H706" s="15"/>
      <c r="I706" s="11"/>
    </row>
    <row r="707">
      <c r="A707" s="11"/>
      <c r="B707" s="12"/>
      <c r="C707" s="11"/>
      <c r="D707" s="11"/>
      <c r="E707" s="11"/>
      <c r="F707" s="11"/>
      <c r="G707" s="11"/>
      <c r="H707" s="15"/>
      <c r="I707" s="11"/>
    </row>
    <row r="708">
      <c r="A708" s="11"/>
      <c r="B708" s="12"/>
      <c r="C708" s="11"/>
      <c r="D708" s="11"/>
      <c r="E708" s="11"/>
      <c r="F708" s="11"/>
      <c r="G708" s="11"/>
      <c r="H708" s="15"/>
      <c r="I708" s="11"/>
    </row>
    <row r="709">
      <c r="A709" s="11"/>
      <c r="B709" s="12"/>
      <c r="C709" s="11"/>
      <c r="D709" s="11"/>
      <c r="E709" s="11"/>
      <c r="F709" s="11"/>
      <c r="G709" s="11"/>
      <c r="H709" s="15"/>
      <c r="I709" s="11"/>
    </row>
    <row r="710">
      <c r="A710" s="11"/>
      <c r="B710" s="12"/>
      <c r="C710" s="11"/>
      <c r="D710" s="11"/>
      <c r="E710" s="11"/>
      <c r="F710" s="11"/>
      <c r="G710" s="11"/>
      <c r="H710" s="15"/>
      <c r="I710" s="11"/>
    </row>
    <row r="711">
      <c r="A711" s="11"/>
      <c r="B711" s="12"/>
      <c r="C711" s="11"/>
      <c r="D711" s="11"/>
      <c r="E711" s="11"/>
      <c r="F711" s="11"/>
      <c r="G711" s="11"/>
      <c r="H711" s="15"/>
      <c r="I711" s="11"/>
    </row>
    <row r="712">
      <c r="A712" s="11"/>
      <c r="B712" s="12"/>
      <c r="C712" s="11"/>
      <c r="D712" s="11"/>
      <c r="E712" s="11"/>
      <c r="F712" s="11"/>
      <c r="G712" s="11"/>
      <c r="H712" s="15"/>
      <c r="I712" s="11"/>
    </row>
    <row r="713">
      <c r="A713" s="11"/>
      <c r="B713" s="12"/>
      <c r="C713" s="11"/>
      <c r="D713" s="11"/>
      <c r="E713" s="11"/>
      <c r="F713" s="11"/>
      <c r="G713" s="11"/>
      <c r="H713" s="15"/>
      <c r="I713" s="11"/>
    </row>
    <row r="714">
      <c r="A714" s="11"/>
      <c r="B714" s="12"/>
      <c r="C714" s="11"/>
      <c r="D714" s="11"/>
      <c r="E714" s="11"/>
      <c r="F714" s="11"/>
      <c r="G714" s="11"/>
      <c r="H714" s="15"/>
      <c r="I714" s="11"/>
    </row>
    <row r="715">
      <c r="A715" s="11"/>
      <c r="B715" s="12"/>
      <c r="C715" s="11"/>
      <c r="D715" s="11"/>
      <c r="E715" s="11"/>
      <c r="F715" s="11"/>
      <c r="G715" s="11"/>
      <c r="H715" s="15"/>
      <c r="I715" s="11"/>
    </row>
    <row r="716">
      <c r="A716" s="11"/>
      <c r="B716" s="12"/>
      <c r="C716" s="11"/>
      <c r="D716" s="11"/>
      <c r="E716" s="11"/>
      <c r="F716" s="11"/>
      <c r="G716" s="11"/>
      <c r="H716" s="15"/>
      <c r="I716" s="11"/>
    </row>
    <row r="717">
      <c r="A717" s="11"/>
      <c r="B717" s="12"/>
      <c r="C717" s="11"/>
      <c r="D717" s="11"/>
      <c r="E717" s="11"/>
      <c r="F717" s="11"/>
      <c r="G717" s="11"/>
      <c r="H717" s="15"/>
      <c r="I717" s="11"/>
    </row>
    <row r="718">
      <c r="A718" s="11"/>
      <c r="B718" s="12"/>
      <c r="C718" s="11"/>
      <c r="D718" s="11"/>
      <c r="E718" s="11"/>
      <c r="F718" s="11"/>
      <c r="G718" s="11"/>
      <c r="H718" s="15"/>
      <c r="I718" s="11"/>
    </row>
    <row r="719">
      <c r="A719" s="11"/>
      <c r="B719" s="12"/>
      <c r="C719" s="11"/>
      <c r="D719" s="11"/>
      <c r="E719" s="11"/>
      <c r="F719" s="11"/>
      <c r="G719" s="11"/>
      <c r="H719" s="15"/>
      <c r="I719" s="11"/>
    </row>
    <row r="720">
      <c r="A720" s="11"/>
      <c r="B720" s="12"/>
      <c r="C720" s="11"/>
      <c r="D720" s="11"/>
      <c r="E720" s="11"/>
      <c r="F720" s="11"/>
      <c r="G720" s="11"/>
      <c r="H720" s="15"/>
      <c r="I720" s="11"/>
    </row>
    <row r="721">
      <c r="A721" s="11"/>
      <c r="B721" s="12"/>
      <c r="C721" s="11"/>
      <c r="D721" s="11"/>
      <c r="E721" s="11"/>
      <c r="F721" s="11"/>
      <c r="G721" s="11"/>
      <c r="H721" s="15"/>
      <c r="I721" s="11"/>
    </row>
    <row r="722">
      <c r="A722" s="11"/>
      <c r="B722" s="12"/>
      <c r="C722" s="11"/>
      <c r="D722" s="11"/>
      <c r="E722" s="11"/>
      <c r="F722" s="11"/>
      <c r="G722" s="11"/>
      <c r="H722" s="15"/>
      <c r="I722" s="11"/>
    </row>
    <row r="723">
      <c r="A723" s="11"/>
      <c r="B723" s="12"/>
      <c r="C723" s="11"/>
      <c r="D723" s="11"/>
      <c r="E723" s="11"/>
      <c r="F723" s="11"/>
      <c r="G723" s="11"/>
      <c r="H723" s="15"/>
      <c r="I723" s="11"/>
    </row>
    <row r="724">
      <c r="A724" s="11"/>
      <c r="B724" s="12"/>
      <c r="C724" s="11"/>
      <c r="D724" s="11"/>
      <c r="E724" s="11"/>
      <c r="F724" s="11"/>
      <c r="G724" s="11"/>
      <c r="H724" s="15"/>
      <c r="I724" s="11"/>
    </row>
    <row r="725">
      <c r="A725" s="11"/>
      <c r="B725" s="12"/>
      <c r="C725" s="11"/>
      <c r="D725" s="11"/>
      <c r="E725" s="11"/>
      <c r="F725" s="11"/>
      <c r="G725" s="11"/>
      <c r="H725" s="15"/>
      <c r="I725" s="11"/>
    </row>
    <row r="726">
      <c r="A726" s="11"/>
      <c r="B726" s="12"/>
      <c r="C726" s="11"/>
      <c r="D726" s="11"/>
      <c r="E726" s="11"/>
      <c r="F726" s="11"/>
      <c r="G726" s="11"/>
      <c r="H726" s="15"/>
      <c r="I726" s="11"/>
    </row>
    <row r="727">
      <c r="A727" s="11"/>
      <c r="B727" s="12"/>
      <c r="C727" s="11"/>
      <c r="D727" s="11"/>
      <c r="E727" s="11"/>
      <c r="F727" s="11"/>
      <c r="G727" s="11"/>
      <c r="H727" s="15"/>
      <c r="I727" s="11"/>
    </row>
    <row r="728">
      <c r="A728" s="11"/>
      <c r="B728" s="12"/>
      <c r="C728" s="11"/>
      <c r="D728" s="11"/>
      <c r="E728" s="11"/>
      <c r="F728" s="11"/>
      <c r="G728" s="11"/>
      <c r="H728" s="15"/>
      <c r="I728" s="11"/>
    </row>
    <row r="729">
      <c r="A729" s="11"/>
      <c r="B729" s="12"/>
      <c r="C729" s="11"/>
      <c r="D729" s="11"/>
      <c r="E729" s="11"/>
      <c r="F729" s="11"/>
      <c r="G729" s="11"/>
      <c r="H729" s="15"/>
      <c r="I729" s="11"/>
    </row>
    <row r="730">
      <c r="A730" s="11"/>
      <c r="B730" s="12"/>
      <c r="C730" s="11"/>
      <c r="D730" s="11"/>
      <c r="E730" s="11"/>
      <c r="F730" s="11"/>
      <c r="G730" s="11"/>
      <c r="H730" s="15"/>
      <c r="I730" s="11"/>
    </row>
    <row r="731">
      <c r="A731" s="11"/>
      <c r="B731" s="12"/>
      <c r="C731" s="11"/>
      <c r="D731" s="11"/>
      <c r="E731" s="11"/>
      <c r="F731" s="11"/>
      <c r="G731" s="11"/>
      <c r="H731" s="15"/>
      <c r="I731" s="11"/>
    </row>
    <row r="732">
      <c r="A732" s="11"/>
      <c r="B732" s="12"/>
      <c r="C732" s="11"/>
      <c r="D732" s="11"/>
      <c r="E732" s="11"/>
      <c r="F732" s="11"/>
      <c r="G732" s="11"/>
      <c r="H732" s="15"/>
      <c r="I732" s="11"/>
    </row>
    <row r="733">
      <c r="A733" s="11"/>
      <c r="B733" s="12"/>
      <c r="C733" s="11"/>
      <c r="D733" s="11"/>
      <c r="E733" s="11"/>
      <c r="F733" s="11"/>
      <c r="G733" s="11"/>
      <c r="H733" s="15"/>
      <c r="I733" s="11"/>
    </row>
    <row r="734">
      <c r="A734" s="11"/>
      <c r="B734" s="12"/>
      <c r="C734" s="11"/>
      <c r="D734" s="11"/>
      <c r="E734" s="11"/>
      <c r="F734" s="11"/>
      <c r="G734" s="11"/>
      <c r="H734" s="15"/>
      <c r="I734" s="11"/>
    </row>
    <row r="735">
      <c r="A735" s="11"/>
      <c r="B735" s="12"/>
      <c r="C735" s="11"/>
      <c r="D735" s="11"/>
      <c r="E735" s="11"/>
      <c r="F735" s="11"/>
      <c r="G735" s="11"/>
      <c r="H735" s="15"/>
      <c r="I735" s="11"/>
    </row>
    <row r="736">
      <c r="A736" s="11"/>
      <c r="B736" s="12"/>
      <c r="C736" s="11"/>
      <c r="D736" s="11"/>
      <c r="E736" s="11"/>
      <c r="F736" s="11"/>
      <c r="G736" s="11"/>
      <c r="H736" s="15"/>
      <c r="I736" s="11"/>
    </row>
    <row r="737">
      <c r="A737" s="11"/>
      <c r="B737" s="12"/>
      <c r="C737" s="11"/>
      <c r="D737" s="11"/>
      <c r="E737" s="11"/>
      <c r="F737" s="11"/>
      <c r="G737" s="11"/>
      <c r="H737" s="15"/>
      <c r="I737" s="11"/>
    </row>
    <row r="738">
      <c r="A738" s="11"/>
      <c r="B738" s="12"/>
      <c r="C738" s="11"/>
      <c r="D738" s="11"/>
      <c r="E738" s="11"/>
      <c r="F738" s="11"/>
      <c r="G738" s="11"/>
      <c r="H738" s="15"/>
      <c r="I738" s="11"/>
    </row>
    <row r="739">
      <c r="A739" s="11"/>
      <c r="B739" s="12"/>
      <c r="C739" s="11"/>
      <c r="D739" s="11"/>
      <c r="E739" s="11"/>
      <c r="F739" s="11"/>
      <c r="G739" s="11"/>
      <c r="H739" s="15"/>
      <c r="I739" s="11"/>
    </row>
    <row r="740">
      <c r="A740" s="11"/>
      <c r="B740" s="12"/>
      <c r="C740" s="11"/>
      <c r="D740" s="11"/>
      <c r="E740" s="11"/>
      <c r="F740" s="11"/>
      <c r="G740" s="11"/>
      <c r="H740" s="15"/>
      <c r="I740" s="11"/>
    </row>
    <row r="741">
      <c r="A741" s="11"/>
      <c r="B741" s="12"/>
      <c r="C741" s="11"/>
      <c r="D741" s="11"/>
      <c r="E741" s="11"/>
      <c r="F741" s="11"/>
      <c r="G741" s="11"/>
      <c r="H741" s="15"/>
      <c r="I741" s="11"/>
    </row>
    <row r="742">
      <c r="A742" s="11"/>
      <c r="B742" s="12"/>
      <c r="C742" s="11"/>
      <c r="D742" s="11"/>
      <c r="E742" s="11"/>
      <c r="F742" s="11"/>
      <c r="G742" s="11"/>
      <c r="H742" s="15"/>
      <c r="I742" s="11"/>
    </row>
    <row r="743">
      <c r="A743" s="11"/>
      <c r="B743" s="12"/>
      <c r="C743" s="11"/>
      <c r="D743" s="11"/>
      <c r="E743" s="11"/>
      <c r="F743" s="11"/>
      <c r="G743" s="11"/>
      <c r="H743" s="15"/>
      <c r="I743" s="11"/>
    </row>
    <row r="744">
      <c r="A744" s="11"/>
      <c r="B744" s="12"/>
      <c r="C744" s="11"/>
      <c r="D744" s="11"/>
      <c r="E744" s="11"/>
      <c r="F744" s="11"/>
      <c r="G744" s="11"/>
      <c r="H744" s="15"/>
      <c r="I744" s="11"/>
    </row>
    <row r="745">
      <c r="A745" s="11"/>
      <c r="B745" s="12"/>
      <c r="C745" s="11"/>
      <c r="D745" s="11"/>
      <c r="E745" s="11"/>
      <c r="F745" s="11"/>
      <c r="G745" s="11"/>
      <c r="H745" s="15"/>
      <c r="I745" s="11"/>
    </row>
    <row r="746">
      <c r="A746" s="11"/>
      <c r="B746" s="12"/>
      <c r="C746" s="11"/>
      <c r="D746" s="11"/>
      <c r="E746" s="11"/>
      <c r="F746" s="11"/>
      <c r="G746" s="11"/>
      <c r="H746" s="15"/>
      <c r="I746" s="11"/>
    </row>
    <row r="747">
      <c r="A747" s="11"/>
      <c r="B747" s="12"/>
      <c r="C747" s="11"/>
      <c r="D747" s="11"/>
      <c r="E747" s="11"/>
      <c r="F747" s="11"/>
      <c r="G747" s="11"/>
      <c r="H747" s="15"/>
      <c r="I747" s="11"/>
    </row>
    <row r="748">
      <c r="A748" s="11"/>
      <c r="B748" s="12"/>
      <c r="C748" s="11"/>
      <c r="D748" s="11"/>
      <c r="E748" s="11"/>
      <c r="F748" s="11"/>
      <c r="G748" s="11"/>
      <c r="H748" s="15"/>
      <c r="I748" s="11"/>
    </row>
    <row r="749">
      <c r="A749" s="11"/>
      <c r="B749" s="12"/>
      <c r="C749" s="11"/>
      <c r="D749" s="11"/>
      <c r="E749" s="11"/>
      <c r="F749" s="11"/>
      <c r="G749" s="11"/>
      <c r="H749" s="15"/>
      <c r="I749" s="11"/>
    </row>
    <row r="750">
      <c r="A750" s="11"/>
      <c r="B750" s="12"/>
      <c r="C750" s="11"/>
      <c r="D750" s="11"/>
      <c r="E750" s="11"/>
      <c r="F750" s="11"/>
      <c r="G750" s="11"/>
      <c r="H750" s="15"/>
      <c r="I750" s="11"/>
    </row>
    <row r="751">
      <c r="A751" s="11"/>
      <c r="B751" s="12"/>
      <c r="C751" s="11"/>
      <c r="D751" s="11"/>
      <c r="E751" s="11"/>
      <c r="F751" s="11"/>
      <c r="G751" s="11"/>
      <c r="H751" s="15"/>
      <c r="I751" s="11"/>
    </row>
    <row r="752">
      <c r="A752" s="11"/>
      <c r="B752" s="12"/>
      <c r="C752" s="11"/>
      <c r="D752" s="11"/>
      <c r="E752" s="11"/>
      <c r="F752" s="11"/>
      <c r="G752" s="11"/>
      <c r="H752" s="15"/>
      <c r="I752" s="11"/>
    </row>
    <row r="753">
      <c r="A753" s="11"/>
      <c r="B753" s="12"/>
      <c r="C753" s="11"/>
      <c r="D753" s="11"/>
      <c r="E753" s="11"/>
      <c r="F753" s="11"/>
      <c r="G753" s="11"/>
      <c r="H753" s="15"/>
      <c r="I753" s="11"/>
    </row>
    <row r="754">
      <c r="A754" s="11"/>
      <c r="B754" s="12"/>
      <c r="C754" s="11"/>
      <c r="D754" s="11"/>
      <c r="E754" s="11"/>
      <c r="F754" s="11"/>
      <c r="G754" s="11"/>
      <c r="H754" s="15"/>
      <c r="I754" s="11"/>
    </row>
    <row r="755">
      <c r="A755" s="11"/>
      <c r="B755" s="12"/>
      <c r="C755" s="11"/>
      <c r="D755" s="11"/>
      <c r="E755" s="11"/>
      <c r="F755" s="11"/>
      <c r="G755" s="11"/>
      <c r="H755" s="15"/>
      <c r="I755" s="11"/>
    </row>
    <row r="756">
      <c r="A756" s="11"/>
      <c r="B756" s="12"/>
      <c r="C756" s="11"/>
      <c r="D756" s="11"/>
      <c r="E756" s="11"/>
      <c r="F756" s="11"/>
      <c r="G756" s="11"/>
      <c r="H756" s="15"/>
      <c r="I756" s="11"/>
    </row>
    <row r="757">
      <c r="A757" s="11"/>
      <c r="B757" s="12"/>
      <c r="C757" s="11"/>
      <c r="D757" s="11"/>
      <c r="E757" s="11"/>
      <c r="F757" s="11"/>
      <c r="G757" s="11"/>
      <c r="H757" s="15"/>
      <c r="I757" s="11"/>
    </row>
    <row r="758">
      <c r="A758" s="11"/>
      <c r="B758" s="12"/>
      <c r="C758" s="11"/>
      <c r="D758" s="11"/>
      <c r="E758" s="11"/>
      <c r="F758" s="11"/>
      <c r="G758" s="11"/>
      <c r="H758" s="15"/>
      <c r="I758" s="11"/>
    </row>
    <row r="759">
      <c r="A759" s="11"/>
      <c r="B759" s="12"/>
      <c r="C759" s="11"/>
      <c r="D759" s="11"/>
      <c r="E759" s="11"/>
      <c r="F759" s="11"/>
      <c r="G759" s="11"/>
      <c r="H759" s="15"/>
      <c r="I759" s="11"/>
    </row>
    <row r="760">
      <c r="A760" s="11"/>
      <c r="B760" s="12"/>
      <c r="C760" s="11"/>
      <c r="D760" s="11"/>
      <c r="E760" s="11"/>
      <c r="F760" s="11"/>
      <c r="G760" s="11"/>
      <c r="H760" s="15"/>
      <c r="I760" s="11"/>
    </row>
    <row r="761">
      <c r="A761" s="11"/>
      <c r="B761" s="12"/>
      <c r="C761" s="11"/>
      <c r="D761" s="11"/>
      <c r="E761" s="11"/>
      <c r="F761" s="11"/>
      <c r="G761" s="11"/>
      <c r="H761" s="15"/>
      <c r="I761" s="11"/>
    </row>
    <row r="762">
      <c r="A762" s="11"/>
      <c r="B762" s="12"/>
      <c r="C762" s="11"/>
      <c r="D762" s="11"/>
      <c r="E762" s="11"/>
      <c r="F762" s="11"/>
      <c r="G762" s="11"/>
      <c r="H762" s="15"/>
      <c r="I762" s="11"/>
    </row>
    <row r="763">
      <c r="A763" s="11"/>
      <c r="B763" s="12"/>
      <c r="C763" s="11"/>
      <c r="D763" s="11"/>
      <c r="E763" s="11"/>
      <c r="F763" s="11"/>
      <c r="G763" s="11"/>
      <c r="H763" s="15"/>
      <c r="I763" s="11"/>
    </row>
    <row r="764">
      <c r="A764" s="11"/>
      <c r="B764" s="12"/>
      <c r="C764" s="11"/>
      <c r="D764" s="11"/>
      <c r="E764" s="11"/>
      <c r="F764" s="11"/>
      <c r="G764" s="11"/>
      <c r="H764" s="15"/>
      <c r="I764" s="11"/>
    </row>
    <row r="765">
      <c r="A765" s="11"/>
      <c r="B765" s="12"/>
      <c r="C765" s="11"/>
      <c r="D765" s="11"/>
      <c r="E765" s="11"/>
      <c r="F765" s="11"/>
      <c r="G765" s="11"/>
      <c r="H765" s="15"/>
      <c r="I765" s="11"/>
    </row>
    <row r="766">
      <c r="A766" s="11"/>
      <c r="B766" s="12"/>
      <c r="C766" s="11"/>
      <c r="D766" s="11"/>
      <c r="E766" s="11"/>
      <c r="F766" s="11"/>
      <c r="G766" s="11"/>
      <c r="H766" s="15"/>
      <c r="I766" s="11"/>
    </row>
    <row r="767">
      <c r="A767" s="11"/>
      <c r="B767" s="12"/>
      <c r="C767" s="11"/>
      <c r="D767" s="11"/>
      <c r="E767" s="11"/>
      <c r="F767" s="11"/>
      <c r="G767" s="11"/>
      <c r="H767" s="15"/>
      <c r="I767" s="11"/>
    </row>
    <row r="768">
      <c r="A768" s="11"/>
      <c r="B768" s="12"/>
      <c r="C768" s="11"/>
      <c r="D768" s="11"/>
      <c r="E768" s="11"/>
      <c r="F768" s="11"/>
      <c r="G768" s="11"/>
      <c r="H768" s="15"/>
      <c r="I768" s="11"/>
    </row>
    <row r="769">
      <c r="A769" s="11"/>
      <c r="B769" s="12"/>
      <c r="C769" s="11"/>
      <c r="D769" s="11"/>
      <c r="E769" s="11"/>
      <c r="F769" s="11"/>
      <c r="G769" s="11"/>
      <c r="H769" s="15"/>
      <c r="I769" s="11"/>
    </row>
    <row r="770">
      <c r="A770" s="11"/>
      <c r="B770" s="12"/>
      <c r="C770" s="11"/>
      <c r="D770" s="11"/>
      <c r="E770" s="11"/>
      <c r="F770" s="11"/>
      <c r="G770" s="11"/>
      <c r="H770" s="15"/>
      <c r="I770" s="11"/>
    </row>
    <row r="771">
      <c r="A771" s="11"/>
      <c r="B771" s="12"/>
      <c r="C771" s="11"/>
      <c r="D771" s="11"/>
      <c r="E771" s="11"/>
      <c r="F771" s="11"/>
      <c r="G771" s="11"/>
      <c r="H771" s="15"/>
      <c r="I771" s="11"/>
    </row>
    <row r="772">
      <c r="A772" s="11"/>
      <c r="B772" s="12"/>
      <c r="C772" s="11"/>
      <c r="D772" s="11"/>
      <c r="E772" s="11"/>
      <c r="F772" s="11"/>
      <c r="G772" s="11"/>
      <c r="H772" s="15"/>
      <c r="I772" s="11"/>
    </row>
    <row r="773">
      <c r="A773" s="11"/>
      <c r="B773" s="12"/>
      <c r="C773" s="11"/>
      <c r="D773" s="11"/>
      <c r="E773" s="11"/>
      <c r="F773" s="11"/>
      <c r="G773" s="11"/>
      <c r="H773" s="15"/>
      <c r="I773" s="11"/>
    </row>
    <row r="774">
      <c r="A774" s="11"/>
      <c r="B774" s="12"/>
      <c r="C774" s="11"/>
      <c r="D774" s="11"/>
      <c r="E774" s="11"/>
      <c r="F774" s="11"/>
      <c r="G774" s="11"/>
      <c r="H774" s="15"/>
      <c r="I774" s="11"/>
    </row>
    <row r="775">
      <c r="A775" s="11"/>
      <c r="B775" s="12"/>
      <c r="C775" s="11"/>
      <c r="D775" s="11"/>
      <c r="E775" s="11"/>
      <c r="F775" s="11"/>
      <c r="G775" s="11"/>
      <c r="H775" s="15"/>
      <c r="I775" s="11"/>
    </row>
    <row r="776">
      <c r="A776" s="11"/>
      <c r="B776" s="12"/>
      <c r="C776" s="11"/>
      <c r="D776" s="11"/>
      <c r="E776" s="11"/>
      <c r="F776" s="11"/>
      <c r="G776" s="11"/>
      <c r="H776" s="15"/>
      <c r="I776" s="11"/>
    </row>
    <row r="777">
      <c r="A777" s="11"/>
      <c r="B777" s="12"/>
      <c r="C777" s="11"/>
      <c r="D777" s="11"/>
      <c r="E777" s="11"/>
      <c r="F777" s="11"/>
      <c r="G777" s="11"/>
      <c r="H777" s="15"/>
      <c r="I777" s="11"/>
    </row>
    <row r="778">
      <c r="A778" s="11"/>
      <c r="B778" s="12"/>
      <c r="C778" s="11"/>
      <c r="D778" s="11"/>
      <c r="E778" s="11"/>
      <c r="F778" s="11"/>
      <c r="G778" s="11"/>
      <c r="H778" s="15"/>
      <c r="I778" s="11"/>
    </row>
    <row r="779">
      <c r="A779" s="11"/>
      <c r="B779" s="12"/>
      <c r="C779" s="11"/>
      <c r="D779" s="11"/>
      <c r="E779" s="11"/>
      <c r="F779" s="11"/>
      <c r="G779" s="11"/>
      <c r="H779" s="15"/>
      <c r="I779" s="11"/>
    </row>
    <row r="780">
      <c r="A780" s="11"/>
      <c r="B780" s="12"/>
      <c r="C780" s="11"/>
      <c r="D780" s="11"/>
      <c r="E780" s="11"/>
      <c r="F780" s="11"/>
      <c r="G780" s="11"/>
      <c r="H780" s="15"/>
      <c r="I780" s="11"/>
    </row>
    <row r="781">
      <c r="A781" s="11"/>
      <c r="B781" s="12"/>
      <c r="C781" s="11"/>
      <c r="D781" s="11"/>
      <c r="E781" s="11"/>
      <c r="F781" s="11"/>
      <c r="G781" s="11"/>
      <c r="H781" s="15"/>
      <c r="I781" s="11"/>
    </row>
    <row r="782">
      <c r="A782" s="11"/>
      <c r="B782" s="12"/>
      <c r="C782" s="11"/>
      <c r="D782" s="11"/>
      <c r="E782" s="11"/>
      <c r="F782" s="11"/>
      <c r="G782" s="11"/>
      <c r="H782" s="15"/>
      <c r="I782" s="11"/>
    </row>
    <row r="783">
      <c r="A783" s="11"/>
      <c r="B783" s="12"/>
      <c r="C783" s="11"/>
      <c r="D783" s="11"/>
      <c r="E783" s="11"/>
      <c r="F783" s="11"/>
      <c r="G783" s="11"/>
      <c r="H783" s="15"/>
      <c r="I783" s="11"/>
    </row>
    <row r="784">
      <c r="A784" s="11"/>
      <c r="B784" s="12"/>
      <c r="C784" s="11"/>
      <c r="D784" s="11"/>
      <c r="E784" s="11"/>
      <c r="F784" s="11"/>
      <c r="G784" s="11"/>
      <c r="H784" s="15"/>
      <c r="I784" s="11"/>
    </row>
    <row r="785">
      <c r="A785" s="11"/>
      <c r="B785" s="12"/>
      <c r="C785" s="11"/>
      <c r="D785" s="11"/>
      <c r="E785" s="11"/>
      <c r="F785" s="11"/>
      <c r="G785" s="11"/>
      <c r="H785" s="15"/>
      <c r="I785" s="11"/>
    </row>
    <row r="786">
      <c r="A786" s="11"/>
      <c r="B786" s="12"/>
      <c r="C786" s="11"/>
      <c r="D786" s="11"/>
      <c r="E786" s="11"/>
      <c r="F786" s="11"/>
      <c r="G786" s="11"/>
      <c r="H786" s="15"/>
      <c r="I786" s="11"/>
    </row>
    <row r="787">
      <c r="A787" s="11"/>
      <c r="B787" s="12"/>
      <c r="C787" s="11"/>
      <c r="D787" s="11"/>
      <c r="E787" s="11"/>
      <c r="F787" s="11"/>
      <c r="G787" s="11"/>
      <c r="H787" s="15"/>
      <c r="I787" s="11"/>
    </row>
    <row r="788">
      <c r="A788" s="11"/>
      <c r="B788" s="12"/>
      <c r="C788" s="11"/>
      <c r="D788" s="11"/>
      <c r="E788" s="11"/>
      <c r="F788" s="11"/>
      <c r="G788" s="11"/>
      <c r="H788" s="15"/>
      <c r="I788" s="11"/>
    </row>
    <row r="789">
      <c r="A789" s="11"/>
      <c r="B789" s="12"/>
      <c r="C789" s="11"/>
      <c r="D789" s="11"/>
      <c r="E789" s="11"/>
      <c r="F789" s="11"/>
      <c r="G789" s="11"/>
      <c r="H789" s="15"/>
      <c r="I789" s="11"/>
    </row>
    <row r="790">
      <c r="A790" s="11"/>
      <c r="B790" s="12"/>
      <c r="C790" s="11"/>
      <c r="D790" s="11"/>
      <c r="E790" s="11"/>
      <c r="F790" s="11"/>
      <c r="G790" s="11"/>
      <c r="H790" s="15"/>
      <c r="I790" s="11"/>
    </row>
    <row r="791">
      <c r="A791" s="11"/>
      <c r="B791" s="12"/>
      <c r="C791" s="11"/>
      <c r="D791" s="11"/>
      <c r="E791" s="11"/>
      <c r="F791" s="11"/>
      <c r="G791" s="11"/>
      <c r="H791" s="15"/>
      <c r="I791" s="11"/>
    </row>
    <row r="792">
      <c r="A792" s="11"/>
      <c r="B792" s="12"/>
      <c r="C792" s="11"/>
      <c r="D792" s="11"/>
      <c r="E792" s="11"/>
      <c r="F792" s="11"/>
      <c r="G792" s="11"/>
      <c r="H792" s="15"/>
      <c r="I792" s="11"/>
    </row>
    <row r="793">
      <c r="A793" s="11"/>
      <c r="B793" s="12"/>
      <c r="C793" s="11"/>
      <c r="D793" s="11"/>
      <c r="E793" s="11"/>
      <c r="F793" s="11"/>
      <c r="G793" s="11"/>
      <c r="H793" s="15"/>
      <c r="I793" s="11"/>
    </row>
    <row r="794">
      <c r="A794" s="11"/>
      <c r="B794" s="12"/>
      <c r="C794" s="11"/>
      <c r="D794" s="11"/>
      <c r="E794" s="11"/>
      <c r="F794" s="11"/>
      <c r="G794" s="11"/>
      <c r="H794" s="15"/>
      <c r="I794" s="11"/>
    </row>
    <row r="795">
      <c r="A795" s="11"/>
      <c r="B795" s="12"/>
      <c r="C795" s="11"/>
      <c r="D795" s="11"/>
      <c r="E795" s="11"/>
      <c r="F795" s="11"/>
      <c r="G795" s="11"/>
      <c r="H795" s="15"/>
      <c r="I795" s="11"/>
    </row>
    <row r="796">
      <c r="A796" s="11"/>
      <c r="B796" s="12"/>
      <c r="C796" s="11"/>
      <c r="D796" s="11"/>
      <c r="E796" s="11"/>
      <c r="F796" s="11"/>
      <c r="G796" s="11"/>
      <c r="H796" s="15"/>
      <c r="I796" s="11"/>
    </row>
    <row r="797">
      <c r="A797" s="11"/>
      <c r="B797" s="12"/>
      <c r="C797" s="11"/>
      <c r="D797" s="11"/>
      <c r="E797" s="11"/>
      <c r="F797" s="11"/>
      <c r="G797" s="11"/>
      <c r="H797" s="15"/>
      <c r="I797" s="11"/>
    </row>
    <row r="798">
      <c r="A798" s="11"/>
      <c r="B798" s="12"/>
      <c r="C798" s="11"/>
      <c r="D798" s="11"/>
      <c r="E798" s="11"/>
      <c r="F798" s="11"/>
      <c r="G798" s="11"/>
      <c r="H798" s="15"/>
      <c r="I798" s="11"/>
    </row>
    <row r="799">
      <c r="A799" s="11"/>
      <c r="B799" s="12"/>
      <c r="C799" s="11"/>
      <c r="D799" s="11"/>
      <c r="E799" s="11"/>
      <c r="F799" s="11"/>
      <c r="G799" s="11"/>
      <c r="H799" s="15"/>
      <c r="I799" s="11"/>
    </row>
    <row r="800">
      <c r="A800" s="11"/>
      <c r="B800" s="12"/>
      <c r="C800" s="11"/>
      <c r="D800" s="11"/>
      <c r="E800" s="11"/>
      <c r="F800" s="11"/>
      <c r="G800" s="11"/>
      <c r="H800" s="15"/>
      <c r="I800" s="11"/>
    </row>
    <row r="801">
      <c r="A801" s="11"/>
      <c r="B801" s="12"/>
      <c r="C801" s="11"/>
      <c r="D801" s="11"/>
      <c r="E801" s="11"/>
      <c r="F801" s="11"/>
      <c r="G801" s="11"/>
      <c r="H801" s="15"/>
      <c r="I801" s="11"/>
    </row>
    <row r="802">
      <c r="A802" s="11"/>
      <c r="B802" s="12"/>
      <c r="C802" s="11"/>
      <c r="D802" s="11"/>
      <c r="E802" s="11"/>
      <c r="F802" s="11"/>
      <c r="G802" s="11"/>
      <c r="H802" s="15"/>
      <c r="I802" s="11"/>
    </row>
    <row r="803">
      <c r="A803" s="11"/>
      <c r="B803" s="12"/>
      <c r="C803" s="11"/>
      <c r="D803" s="11"/>
      <c r="E803" s="11"/>
      <c r="F803" s="11"/>
      <c r="G803" s="11"/>
      <c r="H803" s="15"/>
      <c r="I803" s="11"/>
    </row>
    <row r="804">
      <c r="A804" s="11"/>
      <c r="B804" s="12"/>
      <c r="C804" s="11"/>
      <c r="D804" s="11"/>
      <c r="E804" s="11"/>
      <c r="F804" s="11"/>
      <c r="G804" s="11"/>
      <c r="H804" s="15"/>
      <c r="I804" s="11"/>
    </row>
    <row r="805">
      <c r="A805" s="11"/>
      <c r="B805" s="12"/>
      <c r="C805" s="11"/>
      <c r="D805" s="11"/>
      <c r="E805" s="11"/>
      <c r="F805" s="11"/>
      <c r="G805" s="11"/>
      <c r="H805" s="15"/>
      <c r="I805" s="11"/>
    </row>
    <row r="806">
      <c r="A806" s="11"/>
      <c r="B806" s="12"/>
      <c r="C806" s="11"/>
      <c r="D806" s="11"/>
      <c r="E806" s="11"/>
      <c r="F806" s="11"/>
      <c r="G806" s="11"/>
      <c r="H806" s="15"/>
      <c r="I806" s="11"/>
    </row>
    <row r="807">
      <c r="A807" s="11"/>
      <c r="B807" s="12"/>
      <c r="C807" s="11"/>
      <c r="D807" s="11"/>
      <c r="E807" s="11"/>
      <c r="F807" s="11"/>
      <c r="G807" s="11"/>
      <c r="H807" s="15"/>
      <c r="I807" s="11"/>
    </row>
    <row r="808">
      <c r="A808" s="11"/>
      <c r="B808" s="12"/>
      <c r="C808" s="11"/>
      <c r="D808" s="11"/>
      <c r="E808" s="11"/>
      <c r="F808" s="11"/>
      <c r="G808" s="11"/>
      <c r="H808" s="15"/>
      <c r="I808" s="11"/>
    </row>
    <row r="809">
      <c r="A809" s="11"/>
      <c r="B809" s="12"/>
      <c r="C809" s="11"/>
      <c r="D809" s="11"/>
      <c r="E809" s="11"/>
      <c r="F809" s="11"/>
      <c r="G809" s="11"/>
      <c r="H809" s="15"/>
      <c r="I809" s="11"/>
    </row>
    <row r="810">
      <c r="A810" s="11"/>
      <c r="B810" s="12"/>
      <c r="C810" s="11"/>
      <c r="D810" s="11"/>
      <c r="E810" s="11"/>
      <c r="F810" s="11"/>
      <c r="G810" s="11"/>
      <c r="H810" s="15"/>
      <c r="I810" s="11"/>
    </row>
    <row r="811">
      <c r="A811" s="11"/>
      <c r="B811" s="12"/>
      <c r="C811" s="11"/>
      <c r="D811" s="11"/>
      <c r="E811" s="11"/>
      <c r="F811" s="11"/>
      <c r="G811" s="11"/>
      <c r="H811" s="15"/>
      <c r="I811" s="11"/>
    </row>
    <row r="812">
      <c r="A812" s="11"/>
      <c r="B812" s="12"/>
      <c r="C812" s="11"/>
      <c r="D812" s="11"/>
      <c r="E812" s="11"/>
      <c r="F812" s="11"/>
      <c r="G812" s="11"/>
      <c r="H812" s="15"/>
      <c r="I812" s="11"/>
    </row>
    <row r="813">
      <c r="A813" s="11"/>
      <c r="B813" s="12"/>
      <c r="C813" s="11"/>
      <c r="D813" s="11"/>
      <c r="E813" s="11"/>
      <c r="F813" s="11"/>
      <c r="G813" s="11"/>
      <c r="H813" s="15"/>
      <c r="I813" s="11"/>
    </row>
    <row r="814">
      <c r="A814" s="11"/>
      <c r="B814" s="12"/>
      <c r="C814" s="11"/>
      <c r="D814" s="11"/>
      <c r="E814" s="11"/>
      <c r="F814" s="11"/>
      <c r="G814" s="11"/>
      <c r="H814" s="15"/>
      <c r="I814" s="11"/>
    </row>
    <row r="815">
      <c r="A815" s="11"/>
      <c r="B815" s="12"/>
      <c r="C815" s="11"/>
      <c r="D815" s="11"/>
      <c r="E815" s="11"/>
      <c r="F815" s="11"/>
      <c r="G815" s="11"/>
      <c r="H815" s="15"/>
      <c r="I815" s="11"/>
    </row>
    <row r="816">
      <c r="A816" s="11"/>
      <c r="B816" s="12"/>
      <c r="C816" s="11"/>
      <c r="D816" s="11"/>
      <c r="E816" s="11"/>
      <c r="F816" s="11"/>
      <c r="G816" s="11"/>
      <c r="H816" s="15"/>
      <c r="I816" s="11"/>
    </row>
    <row r="817">
      <c r="A817" s="11"/>
      <c r="B817" s="12"/>
      <c r="C817" s="11"/>
      <c r="D817" s="11"/>
      <c r="E817" s="11"/>
      <c r="F817" s="11"/>
      <c r="G817" s="11"/>
      <c r="H817" s="15"/>
      <c r="I817" s="11"/>
    </row>
    <row r="818">
      <c r="A818" s="11"/>
      <c r="B818" s="12"/>
      <c r="C818" s="11"/>
      <c r="D818" s="11"/>
      <c r="E818" s="11"/>
      <c r="F818" s="11"/>
      <c r="G818" s="11"/>
      <c r="H818" s="15"/>
      <c r="I818" s="11"/>
    </row>
    <row r="819">
      <c r="A819" s="11"/>
      <c r="B819" s="12"/>
      <c r="C819" s="11"/>
      <c r="D819" s="11"/>
      <c r="E819" s="11"/>
      <c r="F819" s="11"/>
      <c r="G819" s="11"/>
      <c r="H819" s="15"/>
      <c r="I819" s="11"/>
    </row>
    <row r="820">
      <c r="A820" s="11"/>
      <c r="B820" s="12"/>
      <c r="C820" s="11"/>
      <c r="D820" s="11"/>
      <c r="E820" s="11"/>
      <c r="F820" s="11"/>
      <c r="G820" s="11"/>
      <c r="H820" s="15"/>
      <c r="I820" s="11"/>
    </row>
    <row r="821">
      <c r="A821" s="11"/>
      <c r="B821" s="12"/>
      <c r="C821" s="11"/>
      <c r="D821" s="11"/>
      <c r="E821" s="11"/>
      <c r="F821" s="11"/>
      <c r="G821" s="11"/>
      <c r="H821" s="15"/>
      <c r="I821" s="11"/>
    </row>
    <row r="822">
      <c r="A822" s="11"/>
      <c r="B822" s="12"/>
      <c r="C822" s="11"/>
      <c r="D822" s="11"/>
      <c r="E822" s="11"/>
      <c r="F822" s="11"/>
      <c r="G822" s="11"/>
      <c r="H822" s="15"/>
      <c r="I822" s="11"/>
    </row>
    <row r="823">
      <c r="A823" s="11"/>
      <c r="B823" s="12"/>
      <c r="C823" s="11"/>
      <c r="D823" s="11"/>
      <c r="E823" s="11"/>
      <c r="F823" s="11"/>
      <c r="G823" s="11"/>
      <c r="H823" s="15"/>
      <c r="I823" s="11"/>
    </row>
    <row r="824">
      <c r="A824" s="11"/>
      <c r="B824" s="12"/>
      <c r="C824" s="11"/>
      <c r="D824" s="11"/>
      <c r="E824" s="11"/>
      <c r="F824" s="11"/>
      <c r="G824" s="11"/>
      <c r="H824" s="15"/>
      <c r="I824" s="11"/>
    </row>
    <row r="825">
      <c r="A825" s="11"/>
      <c r="B825" s="12"/>
      <c r="C825" s="11"/>
      <c r="D825" s="11"/>
      <c r="E825" s="11"/>
      <c r="F825" s="11"/>
      <c r="G825" s="11"/>
      <c r="H825" s="15"/>
      <c r="I825" s="11"/>
    </row>
    <row r="826">
      <c r="A826" s="11"/>
      <c r="B826" s="12"/>
      <c r="C826" s="11"/>
      <c r="D826" s="11"/>
      <c r="E826" s="11"/>
      <c r="F826" s="11"/>
      <c r="G826" s="11"/>
      <c r="H826" s="15"/>
      <c r="I826" s="11"/>
    </row>
    <row r="827">
      <c r="A827" s="11"/>
      <c r="B827" s="12"/>
      <c r="C827" s="11"/>
      <c r="D827" s="11"/>
      <c r="E827" s="11"/>
      <c r="F827" s="11"/>
      <c r="G827" s="11"/>
      <c r="H827" s="15"/>
      <c r="I827" s="11"/>
    </row>
    <row r="828">
      <c r="A828" s="11"/>
      <c r="B828" s="12"/>
      <c r="C828" s="11"/>
      <c r="D828" s="11"/>
      <c r="E828" s="11"/>
      <c r="F828" s="11"/>
      <c r="G828" s="11"/>
      <c r="H828" s="15"/>
      <c r="I828" s="11"/>
    </row>
    <row r="829">
      <c r="A829" s="11"/>
      <c r="B829" s="12"/>
      <c r="C829" s="11"/>
      <c r="D829" s="11"/>
      <c r="E829" s="11"/>
      <c r="F829" s="11"/>
      <c r="G829" s="11"/>
      <c r="H829" s="15"/>
      <c r="I829" s="11"/>
    </row>
    <row r="830">
      <c r="A830" s="11"/>
      <c r="B830" s="12"/>
      <c r="C830" s="11"/>
      <c r="D830" s="11"/>
      <c r="E830" s="11"/>
      <c r="F830" s="11"/>
      <c r="G830" s="11"/>
      <c r="H830" s="15"/>
      <c r="I830" s="11"/>
    </row>
    <row r="831">
      <c r="A831" s="11"/>
      <c r="B831" s="12"/>
      <c r="C831" s="11"/>
      <c r="D831" s="11"/>
      <c r="E831" s="11"/>
      <c r="F831" s="11"/>
      <c r="G831" s="11"/>
      <c r="H831" s="15"/>
      <c r="I831" s="11"/>
    </row>
    <row r="832">
      <c r="A832" s="11"/>
      <c r="B832" s="12"/>
      <c r="C832" s="11"/>
      <c r="D832" s="11"/>
      <c r="E832" s="11"/>
      <c r="F832" s="11"/>
      <c r="G832" s="11"/>
      <c r="H832" s="15"/>
      <c r="I832" s="11"/>
    </row>
    <row r="833">
      <c r="A833" s="11"/>
      <c r="B833" s="12"/>
      <c r="C833" s="11"/>
      <c r="D833" s="11"/>
      <c r="E833" s="11"/>
      <c r="F833" s="11"/>
      <c r="G833" s="11"/>
      <c r="H833" s="15"/>
      <c r="I833" s="11"/>
    </row>
    <row r="834">
      <c r="A834" s="11"/>
      <c r="B834" s="12"/>
      <c r="C834" s="11"/>
      <c r="D834" s="11"/>
      <c r="E834" s="11"/>
      <c r="F834" s="11"/>
      <c r="G834" s="11"/>
      <c r="H834" s="15"/>
      <c r="I834" s="11"/>
    </row>
    <row r="835">
      <c r="A835" s="11"/>
      <c r="B835" s="12"/>
      <c r="C835" s="11"/>
      <c r="D835" s="11"/>
      <c r="E835" s="11"/>
      <c r="F835" s="11"/>
      <c r="G835" s="11"/>
      <c r="H835" s="15"/>
      <c r="I835" s="11"/>
    </row>
    <row r="836">
      <c r="A836" s="11"/>
      <c r="B836" s="12"/>
      <c r="C836" s="11"/>
      <c r="D836" s="11"/>
      <c r="E836" s="11"/>
      <c r="F836" s="11"/>
      <c r="G836" s="11"/>
      <c r="H836" s="15"/>
      <c r="I836" s="11"/>
    </row>
    <row r="837">
      <c r="A837" s="11"/>
      <c r="B837" s="12"/>
      <c r="C837" s="11"/>
      <c r="D837" s="11"/>
      <c r="E837" s="11"/>
      <c r="F837" s="11"/>
      <c r="G837" s="11"/>
      <c r="H837" s="15"/>
      <c r="I837" s="11"/>
    </row>
    <row r="838">
      <c r="A838" s="11"/>
      <c r="B838" s="12"/>
      <c r="C838" s="11"/>
      <c r="D838" s="11"/>
      <c r="E838" s="11"/>
      <c r="F838" s="11"/>
      <c r="G838" s="11"/>
      <c r="H838" s="15"/>
      <c r="I838" s="11"/>
    </row>
    <row r="839">
      <c r="A839" s="11"/>
      <c r="B839" s="12"/>
      <c r="C839" s="11"/>
      <c r="D839" s="11"/>
      <c r="E839" s="11"/>
      <c r="F839" s="11"/>
      <c r="G839" s="11"/>
      <c r="H839" s="15"/>
      <c r="I839" s="11"/>
    </row>
    <row r="840">
      <c r="A840" s="11"/>
      <c r="B840" s="12"/>
      <c r="C840" s="11"/>
      <c r="D840" s="11"/>
      <c r="E840" s="11"/>
      <c r="F840" s="11"/>
      <c r="G840" s="11"/>
      <c r="H840" s="15"/>
      <c r="I840" s="11"/>
    </row>
    <row r="841">
      <c r="A841" s="11"/>
      <c r="B841" s="12"/>
      <c r="C841" s="11"/>
      <c r="D841" s="11"/>
      <c r="E841" s="11"/>
      <c r="F841" s="11"/>
      <c r="G841" s="11"/>
      <c r="H841" s="15"/>
      <c r="I841" s="11"/>
    </row>
    <row r="842">
      <c r="A842" s="11"/>
      <c r="B842" s="12"/>
      <c r="C842" s="11"/>
      <c r="D842" s="11"/>
      <c r="E842" s="11"/>
      <c r="F842" s="11"/>
      <c r="G842" s="11"/>
      <c r="H842" s="15"/>
      <c r="I842" s="11"/>
    </row>
    <row r="843">
      <c r="A843" s="11"/>
      <c r="B843" s="12"/>
      <c r="C843" s="11"/>
      <c r="D843" s="11"/>
      <c r="E843" s="11"/>
      <c r="F843" s="11"/>
      <c r="G843" s="11"/>
      <c r="H843" s="15"/>
      <c r="I843" s="11"/>
    </row>
    <row r="844">
      <c r="A844" s="11"/>
      <c r="B844" s="12"/>
      <c r="C844" s="11"/>
      <c r="D844" s="11"/>
      <c r="E844" s="11"/>
      <c r="F844" s="11"/>
      <c r="G844" s="11"/>
      <c r="H844" s="15"/>
      <c r="I844" s="11"/>
    </row>
    <row r="845">
      <c r="A845" s="11"/>
      <c r="B845" s="12"/>
      <c r="C845" s="11"/>
      <c r="D845" s="11"/>
      <c r="E845" s="11"/>
      <c r="F845" s="11"/>
      <c r="G845" s="11"/>
      <c r="H845" s="15"/>
      <c r="I845" s="11"/>
    </row>
    <row r="846">
      <c r="A846" s="11"/>
      <c r="B846" s="12"/>
      <c r="C846" s="11"/>
      <c r="D846" s="11"/>
      <c r="E846" s="11"/>
      <c r="F846" s="11"/>
      <c r="G846" s="11"/>
      <c r="H846" s="15"/>
      <c r="I846" s="11"/>
    </row>
    <row r="847">
      <c r="A847" s="11"/>
      <c r="B847" s="12"/>
      <c r="C847" s="11"/>
      <c r="D847" s="11"/>
      <c r="E847" s="11"/>
      <c r="F847" s="11"/>
      <c r="G847" s="11"/>
      <c r="H847" s="15"/>
      <c r="I847" s="11"/>
    </row>
    <row r="848">
      <c r="A848" s="11"/>
      <c r="B848" s="12"/>
      <c r="C848" s="11"/>
      <c r="D848" s="11"/>
      <c r="E848" s="11"/>
      <c r="F848" s="11"/>
      <c r="G848" s="11"/>
      <c r="H848" s="15"/>
      <c r="I848" s="11"/>
    </row>
    <row r="849">
      <c r="A849" s="11"/>
      <c r="B849" s="12"/>
      <c r="C849" s="11"/>
      <c r="D849" s="11"/>
      <c r="E849" s="11"/>
      <c r="F849" s="11"/>
      <c r="G849" s="11"/>
      <c r="H849" s="15"/>
      <c r="I849" s="11"/>
    </row>
    <row r="850">
      <c r="A850" s="11"/>
      <c r="B850" s="12"/>
      <c r="C850" s="11"/>
      <c r="D850" s="11"/>
      <c r="E850" s="11"/>
      <c r="F850" s="11"/>
      <c r="G850" s="11"/>
      <c r="H850" s="15"/>
      <c r="I850" s="11"/>
    </row>
    <row r="851">
      <c r="A851" s="11"/>
      <c r="B851" s="12"/>
      <c r="C851" s="11"/>
      <c r="D851" s="11"/>
      <c r="E851" s="11"/>
      <c r="F851" s="11"/>
      <c r="G851" s="11"/>
      <c r="H851" s="15"/>
      <c r="I851" s="11"/>
    </row>
    <row r="852">
      <c r="A852" s="11"/>
      <c r="B852" s="12"/>
      <c r="C852" s="11"/>
      <c r="D852" s="11"/>
      <c r="E852" s="11"/>
      <c r="F852" s="11"/>
      <c r="G852" s="11"/>
      <c r="H852" s="15"/>
      <c r="I852" s="11"/>
    </row>
    <row r="853">
      <c r="A853" s="11"/>
      <c r="B853" s="12"/>
      <c r="C853" s="11"/>
      <c r="D853" s="11"/>
      <c r="E853" s="11"/>
      <c r="F853" s="11"/>
      <c r="G853" s="11"/>
      <c r="H853" s="15"/>
      <c r="I853" s="11"/>
    </row>
    <row r="854">
      <c r="A854" s="11"/>
      <c r="B854" s="12"/>
      <c r="C854" s="11"/>
      <c r="D854" s="11"/>
      <c r="E854" s="11"/>
      <c r="F854" s="11"/>
      <c r="G854" s="11"/>
      <c r="H854" s="15"/>
      <c r="I854" s="11"/>
    </row>
    <row r="855">
      <c r="A855" s="11"/>
      <c r="B855" s="12"/>
      <c r="C855" s="11"/>
      <c r="D855" s="11"/>
      <c r="E855" s="11"/>
      <c r="F855" s="11"/>
      <c r="G855" s="11"/>
      <c r="H855" s="15"/>
      <c r="I855" s="11"/>
    </row>
    <row r="856">
      <c r="A856" s="11"/>
      <c r="B856" s="12"/>
      <c r="C856" s="11"/>
      <c r="D856" s="11"/>
      <c r="E856" s="11"/>
      <c r="F856" s="11"/>
      <c r="G856" s="11"/>
      <c r="H856" s="15"/>
      <c r="I856" s="11"/>
    </row>
    <row r="857">
      <c r="A857" s="11"/>
      <c r="B857" s="12"/>
      <c r="C857" s="11"/>
      <c r="D857" s="11"/>
      <c r="E857" s="11"/>
      <c r="F857" s="11"/>
      <c r="G857" s="11"/>
      <c r="H857" s="15"/>
      <c r="I857" s="11"/>
    </row>
    <row r="858">
      <c r="A858" s="11"/>
      <c r="B858" s="12"/>
      <c r="C858" s="11"/>
      <c r="D858" s="11"/>
      <c r="E858" s="11"/>
      <c r="F858" s="11"/>
      <c r="G858" s="11"/>
      <c r="H858" s="15"/>
      <c r="I858" s="11"/>
    </row>
    <row r="859">
      <c r="A859" s="11"/>
      <c r="B859" s="12"/>
      <c r="C859" s="11"/>
      <c r="D859" s="11"/>
      <c r="E859" s="11"/>
      <c r="F859" s="11"/>
      <c r="G859" s="11"/>
      <c r="H859" s="15"/>
      <c r="I859" s="11"/>
    </row>
    <row r="860">
      <c r="A860" s="11"/>
      <c r="B860" s="12"/>
      <c r="C860" s="11"/>
      <c r="D860" s="11"/>
      <c r="E860" s="11"/>
      <c r="F860" s="11"/>
      <c r="G860" s="11"/>
      <c r="H860" s="15"/>
      <c r="I860" s="11"/>
    </row>
    <row r="861">
      <c r="A861" s="11"/>
      <c r="B861" s="12"/>
      <c r="C861" s="11"/>
      <c r="D861" s="11"/>
      <c r="E861" s="11"/>
      <c r="F861" s="11"/>
      <c r="G861" s="11"/>
      <c r="H861" s="15"/>
      <c r="I861" s="11"/>
    </row>
    <row r="862">
      <c r="A862" s="11"/>
      <c r="B862" s="12"/>
      <c r="C862" s="11"/>
      <c r="D862" s="11"/>
      <c r="E862" s="11"/>
      <c r="F862" s="11"/>
      <c r="G862" s="11"/>
      <c r="H862" s="15"/>
      <c r="I862" s="11"/>
    </row>
    <row r="863">
      <c r="A863" s="11"/>
      <c r="B863" s="12"/>
      <c r="C863" s="11"/>
      <c r="D863" s="11"/>
      <c r="E863" s="11"/>
      <c r="F863" s="11"/>
      <c r="G863" s="11"/>
      <c r="H863" s="15"/>
      <c r="I863" s="11"/>
    </row>
    <row r="864">
      <c r="A864" s="11"/>
      <c r="B864" s="12"/>
      <c r="C864" s="11"/>
      <c r="D864" s="11"/>
      <c r="E864" s="11"/>
      <c r="F864" s="11"/>
      <c r="G864" s="11"/>
      <c r="H864" s="15"/>
      <c r="I864" s="11"/>
    </row>
    <row r="865">
      <c r="A865" s="11"/>
      <c r="B865" s="12"/>
      <c r="C865" s="11"/>
      <c r="D865" s="11"/>
      <c r="E865" s="11"/>
      <c r="F865" s="11"/>
      <c r="G865" s="11"/>
      <c r="H865" s="15"/>
      <c r="I865" s="11"/>
    </row>
    <row r="866">
      <c r="A866" s="11"/>
      <c r="B866" s="12"/>
      <c r="C866" s="11"/>
      <c r="D866" s="11"/>
      <c r="E866" s="11"/>
      <c r="F866" s="11"/>
      <c r="G866" s="11"/>
      <c r="H866" s="15"/>
      <c r="I866" s="11"/>
    </row>
    <row r="867">
      <c r="A867" s="11"/>
      <c r="B867" s="12"/>
      <c r="C867" s="11"/>
      <c r="D867" s="11"/>
      <c r="E867" s="11"/>
      <c r="F867" s="11"/>
      <c r="G867" s="11"/>
      <c r="H867" s="15"/>
      <c r="I867" s="11"/>
    </row>
    <row r="868">
      <c r="A868" s="11"/>
      <c r="B868" s="12"/>
      <c r="C868" s="11"/>
      <c r="D868" s="11"/>
      <c r="E868" s="11"/>
      <c r="F868" s="11"/>
      <c r="G868" s="11"/>
      <c r="H868" s="15"/>
      <c r="I868" s="11"/>
    </row>
    <row r="869">
      <c r="A869" s="11"/>
      <c r="B869" s="12"/>
      <c r="C869" s="11"/>
      <c r="D869" s="11"/>
      <c r="E869" s="11"/>
      <c r="F869" s="11"/>
      <c r="G869" s="11"/>
      <c r="H869" s="15"/>
      <c r="I869" s="11"/>
    </row>
    <row r="870">
      <c r="A870" s="11"/>
      <c r="B870" s="12"/>
      <c r="C870" s="11"/>
      <c r="D870" s="11"/>
      <c r="E870" s="11"/>
      <c r="F870" s="11"/>
      <c r="G870" s="11"/>
      <c r="H870" s="15"/>
      <c r="I870" s="11"/>
    </row>
    <row r="871">
      <c r="A871" s="11"/>
      <c r="B871" s="12"/>
      <c r="C871" s="11"/>
      <c r="D871" s="11"/>
      <c r="E871" s="11"/>
      <c r="F871" s="11"/>
      <c r="G871" s="11"/>
      <c r="H871" s="15"/>
      <c r="I871" s="11"/>
    </row>
    <row r="872">
      <c r="A872" s="11"/>
      <c r="B872" s="12"/>
      <c r="C872" s="11"/>
      <c r="D872" s="11"/>
      <c r="E872" s="11"/>
      <c r="F872" s="11"/>
      <c r="G872" s="11"/>
      <c r="H872" s="15"/>
      <c r="I872" s="11"/>
    </row>
    <row r="873">
      <c r="A873" s="11"/>
      <c r="B873" s="12"/>
      <c r="C873" s="11"/>
      <c r="D873" s="11"/>
      <c r="E873" s="11"/>
      <c r="F873" s="11"/>
      <c r="G873" s="11"/>
      <c r="H873" s="15"/>
      <c r="I873" s="11"/>
    </row>
    <row r="874">
      <c r="A874" s="11"/>
      <c r="B874" s="12"/>
      <c r="C874" s="11"/>
      <c r="D874" s="11"/>
      <c r="E874" s="11"/>
      <c r="F874" s="11"/>
      <c r="G874" s="11"/>
      <c r="H874" s="15"/>
      <c r="I874" s="11"/>
    </row>
    <row r="875">
      <c r="A875" s="11"/>
      <c r="B875" s="12"/>
      <c r="C875" s="11"/>
      <c r="D875" s="11"/>
      <c r="E875" s="11"/>
      <c r="F875" s="11"/>
      <c r="G875" s="11"/>
      <c r="H875" s="15"/>
      <c r="I875" s="11"/>
    </row>
    <row r="876">
      <c r="A876" s="11"/>
      <c r="B876" s="12"/>
      <c r="C876" s="11"/>
      <c r="D876" s="11"/>
      <c r="E876" s="11"/>
      <c r="F876" s="11"/>
      <c r="G876" s="11"/>
      <c r="H876" s="15"/>
      <c r="I876" s="11"/>
    </row>
    <row r="877">
      <c r="A877" s="11"/>
      <c r="B877" s="12"/>
      <c r="C877" s="11"/>
      <c r="D877" s="11"/>
      <c r="E877" s="11"/>
      <c r="F877" s="11"/>
      <c r="G877" s="11"/>
      <c r="H877" s="15"/>
      <c r="I877" s="11"/>
    </row>
    <row r="878">
      <c r="A878" s="11"/>
      <c r="B878" s="12"/>
      <c r="C878" s="11"/>
      <c r="D878" s="11"/>
      <c r="E878" s="11"/>
      <c r="F878" s="11"/>
      <c r="G878" s="11"/>
      <c r="H878" s="15"/>
      <c r="I878" s="11"/>
    </row>
    <row r="879">
      <c r="A879" s="11"/>
      <c r="B879" s="12"/>
      <c r="C879" s="11"/>
      <c r="D879" s="11"/>
      <c r="E879" s="11"/>
      <c r="F879" s="11"/>
      <c r="G879" s="11"/>
      <c r="H879" s="15"/>
      <c r="I879" s="11"/>
    </row>
    <row r="880">
      <c r="A880" s="11"/>
      <c r="B880" s="12"/>
      <c r="C880" s="11"/>
      <c r="D880" s="11"/>
      <c r="E880" s="11"/>
      <c r="F880" s="11"/>
      <c r="G880" s="11"/>
      <c r="H880" s="15"/>
      <c r="I880" s="11"/>
    </row>
    <row r="881">
      <c r="A881" s="11"/>
      <c r="B881" s="12"/>
      <c r="C881" s="11"/>
      <c r="D881" s="11"/>
      <c r="E881" s="11"/>
      <c r="F881" s="11"/>
      <c r="G881" s="11"/>
      <c r="H881" s="15"/>
      <c r="I881" s="11"/>
    </row>
    <row r="882">
      <c r="A882" s="11"/>
      <c r="B882" s="12"/>
      <c r="C882" s="11"/>
      <c r="D882" s="11"/>
      <c r="E882" s="11"/>
      <c r="F882" s="11"/>
      <c r="G882" s="11"/>
      <c r="H882" s="15"/>
      <c r="I882" s="11"/>
    </row>
    <row r="883">
      <c r="A883" s="11"/>
      <c r="B883" s="12"/>
      <c r="C883" s="11"/>
      <c r="D883" s="11"/>
      <c r="E883" s="11"/>
      <c r="F883" s="11"/>
      <c r="G883" s="11"/>
      <c r="H883" s="15"/>
      <c r="I883" s="11"/>
    </row>
    <row r="884">
      <c r="A884" s="11"/>
      <c r="B884" s="12"/>
      <c r="C884" s="11"/>
      <c r="D884" s="11"/>
      <c r="E884" s="11"/>
      <c r="F884" s="11"/>
      <c r="G884" s="11"/>
      <c r="H884" s="15"/>
      <c r="I884" s="11"/>
    </row>
    <row r="885">
      <c r="A885" s="11"/>
      <c r="B885" s="12"/>
      <c r="C885" s="11"/>
      <c r="D885" s="11"/>
      <c r="E885" s="11"/>
      <c r="F885" s="11"/>
      <c r="G885" s="11"/>
      <c r="H885" s="15"/>
      <c r="I885" s="11"/>
    </row>
    <row r="886">
      <c r="A886" s="11"/>
      <c r="B886" s="12"/>
      <c r="C886" s="11"/>
      <c r="D886" s="11"/>
      <c r="E886" s="11"/>
      <c r="F886" s="11"/>
      <c r="G886" s="11"/>
      <c r="H886" s="15"/>
      <c r="I886" s="11"/>
    </row>
    <row r="887">
      <c r="A887" s="11"/>
      <c r="B887" s="12"/>
      <c r="C887" s="11"/>
      <c r="D887" s="11"/>
      <c r="E887" s="11"/>
      <c r="F887" s="11"/>
      <c r="G887" s="11"/>
      <c r="H887" s="15"/>
      <c r="I887" s="11"/>
    </row>
    <row r="888">
      <c r="A888" s="11"/>
      <c r="B888" s="12"/>
      <c r="C888" s="11"/>
      <c r="D888" s="11"/>
      <c r="E888" s="11"/>
      <c r="F888" s="11"/>
      <c r="G888" s="11"/>
      <c r="H888" s="15"/>
      <c r="I888" s="11"/>
    </row>
    <row r="889">
      <c r="A889" s="11"/>
      <c r="B889" s="12"/>
      <c r="C889" s="11"/>
      <c r="D889" s="11"/>
      <c r="E889" s="11"/>
      <c r="F889" s="11"/>
      <c r="G889" s="11"/>
      <c r="H889" s="15"/>
      <c r="I889" s="11"/>
    </row>
    <row r="890">
      <c r="A890" s="11"/>
      <c r="B890" s="12"/>
      <c r="C890" s="11"/>
      <c r="D890" s="11"/>
      <c r="E890" s="11"/>
      <c r="F890" s="11"/>
      <c r="G890" s="11"/>
      <c r="H890" s="15"/>
      <c r="I890" s="11"/>
    </row>
    <row r="891">
      <c r="A891" s="11"/>
      <c r="B891" s="12"/>
      <c r="C891" s="11"/>
      <c r="D891" s="11"/>
      <c r="E891" s="11"/>
      <c r="F891" s="11"/>
      <c r="G891" s="11"/>
      <c r="H891" s="15"/>
      <c r="I891" s="11"/>
    </row>
    <row r="892">
      <c r="A892" s="11"/>
      <c r="B892" s="12"/>
      <c r="C892" s="11"/>
      <c r="D892" s="11"/>
      <c r="E892" s="11"/>
      <c r="F892" s="11"/>
      <c r="G892" s="11"/>
      <c r="H892" s="15"/>
      <c r="I892" s="11"/>
    </row>
    <row r="893">
      <c r="A893" s="11"/>
      <c r="B893" s="12"/>
      <c r="C893" s="11"/>
      <c r="D893" s="11"/>
      <c r="E893" s="11"/>
      <c r="F893" s="11"/>
      <c r="G893" s="11"/>
      <c r="H893" s="15"/>
      <c r="I893" s="11"/>
    </row>
    <row r="894">
      <c r="A894" s="11"/>
      <c r="B894" s="12"/>
      <c r="C894" s="11"/>
      <c r="D894" s="11"/>
      <c r="E894" s="11"/>
      <c r="F894" s="11"/>
      <c r="G894" s="11"/>
      <c r="H894" s="15"/>
      <c r="I894" s="11"/>
    </row>
    <row r="895">
      <c r="A895" s="11"/>
      <c r="B895" s="12"/>
      <c r="C895" s="11"/>
      <c r="D895" s="11"/>
      <c r="E895" s="11"/>
      <c r="F895" s="11"/>
      <c r="G895" s="11"/>
      <c r="H895" s="15"/>
      <c r="I895" s="11"/>
    </row>
    <row r="896">
      <c r="A896" s="11"/>
      <c r="B896" s="12"/>
      <c r="C896" s="11"/>
      <c r="D896" s="11"/>
      <c r="E896" s="11"/>
      <c r="F896" s="11"/>
      <c r="G896" s="11"/>
      <c r="H896" s="15"/>
      <c r="I896" s="11"/>
    </row>
    <row r="897">
      <c r="A897" s="11"/>
      <c r="B897" s="12"/>
      <c r="C897" s="11"/>
      <c r="D897" s="11"/>
      <c r="E897" s="11"/>
      <c r="F897" s="11"/>
      <c r="G897" s="11"/>
      <c r="H897" s="15"/>
      <c r="I897" s="11"/>
    </row>
    <row r="898">
      <c r="A898" s="11"/>
      <c r="B898" s="12"/>
      <c r="C898" s="11"/>
      <c r="D898" s="11"/>
      <c r="E898" s="11"/>
      <c r="F898" s="11"/>
      <c r="G898" s="11"/>
      <c r="H898" s="15"/>
      <c r="I898" s="11"/>
    </row>
    <row r="899">
      <c r="A899" s="11"/>
      <c r="B899" s="12"/>
      <c r="C899" s="11"/>
      <c r="D899" s="11"/>
      <c r="E899" s="11"/>
      <c r="F899" s="11"/>
      <c r="G899" s="11"/>
      <c r="H899" s="15"/>
      <c r="I899" s="11"/>
    </row>
    <row r="900">
      <c r="A900" s="11"/>
      <c r="B900" s="12"/>
      <c r="C900" s="11"/>
      <c r="D900" s="11"/>
      <c r="E900" s="11"/>
      <c r="F900" s="11"/>
      <c r="G900" s="11"/>
      <c r="H900" s="15"/>
      <c r="I900" s="11"/>
    </row>
    <row r="901">
      <c r="A901" s="11"/>
      <c r="B901" s="12"/>
      <c r="C901" s="11"/>
      <c r="D901" s="11"/>
      <c r="E901" s="11"/>
      <c r="F901" s="11"/>
      <c r="G901" s="11"/>
      <c r="H901" s="15"/>
      <c r="I901" s="11"/>
    </row>
    <row r="902">
      <c r="A902" s="11"/>
      <c r="B902" s="12"/>
      <c r="C902" s="11"/>
      <c r="D902" s="11"/>
      <c r="E902" s="11"/>
      <c r="F902" s="11"/>
      <c r="G902" s="11"/>
      <c r="H902" s="15"/>
      <c r="I902" s="11"/>
    </row>
    <row r="903">
      <c r="A903" s="11"/>
      <c r="B903" s="12"/>
      <c r="C903" s="11"/>
      <c r="D903" s="11"/>
      <c r="E903" s="11"/>
      <c r="F903" s="11"/>
      <c r="G903" s="11"/>
      <c r="H903" s="15"/>
      <c r="I903" s="11"/>
    </row>
    <row r="904">
      <c r="A904" s="11"/>
      <c r="B904" s="12"/>
      <c r="C904" s="11"/>
      <c r="D904" s="11"/>
      <c r="E904" s="11"/>
      <c r="F904" s="11"/>
      <c r="G904" s="11"/>
      <c r="H904" s="15"/>
      <c r="I904" s="11"/>
    </row>
    <row r="905">
      <c r="A905" s="11"/>
      <c r="B905" s="12"/>
      <c r="C905" s="11"/>
      <c r="D905" s="11"/>
      <c r="E905" s="11"/>
      <c r="F905" s="11"/>
      <c r="G905" s="11"/>
      <c r="H905" s="15"/>
      <c r="I905" s="11"/>
    </row>
    <row r="906">
      <c r="A906" s="11"/>
      <c r="B906" s="12"/>
      <c r="C906" s="11"/>
      <c r="D906" s="11"/>
      <c r="E906" s="11"/>
      <c r="F906" s="11"/>
      <c r="G906" s="11"/>
      <c r="H906" s="15"/>
      <c r="I906" s="11"/>
    </row>
    <row r="907">
      <c r="A907" s="11"/>
      <c r="B907" s="12"/>
      <c r="C907" s="11"/>
      <c r="D907" s="11"/>
      <c r="E907" s="11"/>
      <c r="F907" s="11"/>
      <c r="G907" s="11"/>
      <c r="H907" s="15"/>
      <c r="I907" s="11"/>
    </row>
    <row r="908">
      <c r="A908" s="11"/>
      <c r="B908" s="12"/>
      <c r="C908" s="11"/>
      <c r="D908" s="11"/>
      <c r="E908" s="11"/>
      <c r="F908" s="11"/>
      <c r="G908" s="11"/>
      <c r="H908" s="15"/>
      <c r="I908" s="11"/>
    </row>
    <row r="909">
      <c r="A909" s="11"/>
      <c r="B909" s="12"/>
      <c r="C909" s="11"/>
      <c r="D909" s="11"/>
      <c r="E909" s="11"/>
      <c r="F909" s="11"/>
      <c r="G909" s="11"/>
      <c r="H909" s="15"/>
      <c r="I909" s="11"/>
    </row>
    <row r="910">
      <c r="A910" s="11"/>
      <c r="B910" s="12"/>
      <c r="C910" s="11"/>
      <c r="D910" s="11"/>
      <c r="E910" s="11"/>
      <c r="F910" s="11"/>
      <c r="G910" s="11"/>
      <c r="H910" s="15"/>
      <c r="I910" s="11"/>
    </row>
    <row r="911">
      <c r="A911" s="11"/>
      <c r="B911" s="12"/>
      <c r="C911" s="11"/>
      <c r="D911" s="11"/>
      <c r="E911" s="11"/>
      <c r="F911" s="11"/>
      <c r="G911" s="11"/>
      <c r="H911" s="15"/>
      <c r="I911" s="11"/>
    </row>
    <row r="912">
      <c r="A912" s="11"/>
      <c r="B912" s="12"/>
      <c r="C912" s="11"/>
      <c r="D912" s="11"/>
      <c r="E912" s="11"/>
      <c r="F912" s="11"/>
      <c r="G912" s="11"/>
      <c r="H912" s="15"/>
      <c r="I912" s="11"/>
    </row>
    <row r="913">
      <c r="A913" s="11"/>
      <c r="B913" s="12"/>
      <c r="C913" s="11"/>
      <c r="D913" s="11"/>
      <c r="E913" s="11"/>
      <c r="F913" s="11"/>
      <c r="G913" s="11"/>
      <c r="H913" s="15"/>
      <c r="I913" s="11"/>
    </row>
    <row r="914">
      <c r="A914" s="11"/>
      <c r="B914" s="12"/>
      <c r="C914" s="11"/>
      <c r="D914" s="11"/>
      <c r="E914" s="11"/>
      <c r="F914" s="11"/>
      <c r="G914" s="11"/>
      <c r="H914" s="15"/>
      <c r="I914" s="11"/>
    </row>
    <row r="915">
      <c r="A915" s="11"/>
      <c r="B915" s="12"/>
      <c r="C915" s="11"/>
      <c r="D915" s="11"/>
      <c r="E915" s="11"/>
      <c r="F915" s="11"/>
      <c r="G915" s="11"/>
      <c r="H915" s="15"/>
      <c r="I915" s="11"/>
    </row>
    <row r="916">
      <c r="A916" s="11"/>
      <c r="B916" s="12"/>
      <c r="C916" s="11"/>
      <c r="D916" s="11"/>
      <c r="E916" s="11"/>
      <c r="F916" s="11"/>
      <c r="G916" s="11"/>
      <c r="H916" s="15"/>
      <c r="I916" s="11"/>
    </row>
    <row r="917">
      <c r="A917" s="11"/>
      <c r="B917" s="12"/>
      <c r="C917" s="11"/>
      <c r="D917" s="11"/>
      <c r="E917" s="11"/>
      <c r="F917" s="11"/>
      <c r="G917" s="11"/>
      <c r="H917" s="15"/>
      <c r="I917" s="11"/>
    </row>
    <row r="918">
      <c r="A918" s="11"/>
      <c r="B918" s="12"/>
      <c r="C918" s="11"/>
      <c r="D918" s="11"/>
      <c r="E918" s="11"/>
      <c r="F918" s="11"/>
      <c r="G918" s="11"/>
      <c r="H918" s="15"/>
      <c r="I918" s="11"/>
    </row>
    <row r="919">
      <c r="A919" s="11"/>
      <c r="B919" s="12"/>
      <c r="C919" s="11"/>
      <c r="D919" s="11"/>
      <c r="E919" s="11"/>
      <c r="F919" s="11"/>
      <c r="G919" s="11"/>
      <c r="H919" s="15"/>
      <c r="I919" s="11"/>
    </row>
    <row r="920">
      <c r="A920" s="11"/>
      <c r="B920" s="12"/>
      <c r="C920" s="11"/>
      <c r="D920" s="11"/>
      <c r="E920" s="11"/>
      <c r="F920" s="11"/>
      <c r="G920" s="11"/>
      <c r="H920" s="15"/>
      <c r="I920" s="11"/>
    </row>
    <row r="921">
      <c r="A921" s="11"/>
      <c r="B921" s="12"/>
      <c r="C921" s="11"/>
      <c r="D921" s="11"/>
      <c r="E921" s="11"/>
      <c r="F921" s="11"/>
      <c r="G921" s="11"/>
      <c r="H921" s="15"/>
      <c r="I921" s="11"/>
    </row>
    <row r="922">
      <c r="A922" s="11"/>
      <c r="B922" s="12"/>
      <c r="C922" s="11"/>
      <c r="D922" s="11"/>
      <c r="E922" s="11"/>
      <c r="F922" s="11"/>
      <c r="G922" s="11"/>
      <c r="H922" s="15"/>
      <c r="I922" s="11"/>
    </row>
    <row r="923">
      <c r="A923" s="11"/>
      <c r="B923" s="12"/>
      <c r="C923" s="11"/>
      <c r="D923" s="11"/>
      <c r="E923" s="11"/>
      <c r="F923" s="11"/>
      <c r="G923" s="11"/>
      <c r="H923" s="15"/>
      <c r="I923" s="11"/>
    </row>
    <row r="924">
      <c r="A924" s="11"/>
      <c r="B924" s="12"/>
      <c r="C924" s="11"/>
      <c r="D924" s="11"/>
      <c r="E924" s="11"/>
      <c r="F924" s="11"/>
      <c r="G924" s="11"/>
      <c r="H924" s="15"/>
      <c r="I924" s="11"/>
    </row>
    <row r="925">
      <c r="A925" s="11"/>
      <c r="B925" s="12"/>
      <c r="C925" s="11"/>
      <c r="D925" s="11"/>
      <c r="E925" s="11"/>
      <c r="F925" s="11"/>
      <c r="G925" s="11"/>
      <c r="H925" s="15"/>
      <c r="I925" s="11"/>
    </row>
    <row r="926">
      <c r="A926" s="11"/>
      <c r="B926" s="12"/>
      <c r="C926" s="11"/>
      <c r="D926" s="11"/>
      <c r="E926" s="11"/>
      <c r="F926" s="11"/>
      <c r="G926" s="11"/>
      <c r="H926" s="15"/>
      <c r="I926" s="11"/>
    </row>
    <row r="927">
      <c r="A927" s="11"/>
      <c r="B927" s="12"/>
      <c r="C927" s="11"/>
      <c r="D927" s="11"/>
      <c r="E927" s="11"/>
      <c r="F927" s="11"/>
      <c r="G927" s="11"/>
      <c r="H927" s="15"/>
      <c r="I927" s="11"/>
    </row>
    <row r="928">
      <c r="A928" s="11"/>
      <c r="B928" s="12"/>
      <c r="C928" s="11"/>
      <c r="D928" s="11"/>
      <c r="E928" s="11"/>
      <c r="F928" s="11"/>
      <c r="G928" s="11"/>
      <c r="H928" s="15"/>
      <c r="I928" s="11"/>
    </row>
    <row r="929">
      <c r="A929" s="11"/>
      <c r="B929" s="12"/>
      <c r="C929" s="11"/>
      <c r="D929" s="11"/>
      <c r="E929" s="11"/>
      <c r="F929" s="11"/>
      <c r="G929" s="11"/>
      <c r="H929" s="15"/>
      <c r="I929" s="11"/>
    </row>
    <row r="930">
      <c r="A930" s="11"/>
      <c r="B930" s="12"/>
      <c r="C930" s="11"/>
      <c r="D930" s="11"/>
      <c r="E930" s="11"/>
      <c r="F930" s="11"/>
      <c r="G930" s="11"/>
      <c r="H930" s="15"/>
      <c r="I930" s="11"/>
    </row>
    <row r="931">
      <c r="A931" s="11"/>
      <c r="B931" s="12"/>
      <c r="C931" s="11"/>
      <c r="D931" s="11"/>
      <c r="E931" s="11"/>
      <c r="F931" s="11"/>
      <c r="G931" s="11"/>
      <c r="H931" s="15"/>
      <c r="I931" s="11"/>
    </row>
    <row r="932">
      <c r="A932" s="11"/>
      <c r="B932" s="12"/>
      <c r="C932" s="11"/>
      <c r="D932" s="11"/>
      <c r="E932" s="11"/>
      <c r="F932" s="11"/>
      <c r="G932" s="11"/>
      <c r="H932" s="15"/>
      <c r="I932" s="11"/>
    </row>
    <row r="933">
      <c r="A933" s="11"/>
      <c r="B933" s="12"/>
      <c r="C933" s="11"/>
      <c r="D933" s="11"/>
      <c r="E933" s="11"/>
      <c r="F933" s="11"/>
      <c r="G933" s="11"/>
      <c r="H933" s="15"/>
      <c r="I933" s="11"/>
    </row>
    <row r="934">
      <c r="A934" s="11"/>
      <c r="B934" s="12"/>
      <c r="C934" s="11"/>
      <c r="D934" s="11"/>
      <c r="E934" s="11"/>
      <c r="F934" s="11"/>
      <c r="G934" s="11"/>
      <c r="H934" s="15"/>
      <c r="I934" s="11"/>
    </row>
    <row r="935">
      <c r="A935" s="11"/>
      <c r="B935" s="12"/>
      <c r="C935" s="11"/>
      <c r="D935" s="11"/>
      <c r="E935" s="11"/>
      <c r="F935" s="11"/>
      <c r="G935" s="11"/>
      <c r="H935" s="15"/>
      <c r="I935" s="11"/>
    </row>
    <row r="936">
      <c r="A936" s="11"/>
      <c r="B936" s="12"/>
      <c r="C936" s="11"/>
      <c r="D936" s="11"/>
      <c r="E936" s="11"/>
      <c r="F936" s="11"/>
      <c r="G936" s="11"/>
      <c r="H936" s="15"/>
      <c r="I936" s="11"/>
    </row>
    <row r="937">
      <c r="A937" s="11"/>
      <c r="B937" s="12"/>
      <c r="C937" s="11"/>
      <c r="D937" s="11"/>
      <c r="E937" s="11"/>
      <c r="F937" s="11"/>
      <c r="G937" s="11"/>
      <c r="H937" s="15"/>
      <c r="I937" s="11"/>
    </row>
    <row r="938">
      <c r="A938" s="11"/>
      <c r="B938" s="12"/>
      <c r="C938" s="11"/>
      <c r="D938" s="11"/>
      <c r="E938" s="11"/>
      <c r="F938" s="11"/>
      <c r="G938" s="11"/>
      <c r="H938" s="15"/>
      <c r="I938" s="11"/>
    </row>
    <row r="939">
      <c r="A939" s="11"/>
      <c r="B939" s="12"/>
      <c r="C939" s="11"/>
      <c r="D939" s="11"/>
      <c r="E939" s="11"/>
      <c r="F939" s="11"/>
      <c r="G939" s="11"/>
      <c r="H939" s="15"/>
      <c r="I939" s="11"/>
    </row>
    <row r="940">
      <c r="A940" s="11"/>
      <c r="B940" s="12"/>
      <c r="C940" s="11"/>
      <c r="D940" s="11"/>
      <c r="E940" s="11"/>
      <c r="F940" s="11"/>
      <c r="G940" s="11"/>
      <c r="H940" s="15"/>
      <c r="I940" s="11"/>
    </row>
    <row r="941">
      <c r="A941" s="11"/>
      <c r="B941" s="12"/>
      <c r="C941" s="11"/>
      <c r="D941" s="11"/>
      <c r="E941" s="11"/>
      <c r="F941" s="11"/>
      <c r="G941" s="11"/>
      <c r="H941" s="15"/>
      <c r="I941" s="11"/>
    </row>
    <row r="942">
      <c r="A942" s="11"/>
      <c r="B942" s="12"/>
      <c r="C942" s="11"/>
      <c r="D942" s="11"/>
      <c r="E942" s="11"/>
      <c r="F942" s="11"/>
      <c r="G942" s="11"/>
      <c r="H942" s="15"/>
      <c r="I942" s="11"/>
    </row>
    <row r="943">
      <c r="A943" s="11"/>
      <c r="B943" s="12"/>
      <c r="C943" s="11"/>
      <c r="D943" s="11"/>
      <c r="E943" s="11"/>
      <c r="F943" s="11"/>
      <c r="G943" s="11"/>
      <c r="H943" s="15"/>
      <c r="I943" s="11"/>
    </row>
    <row r="944">
      <c r="A944" s="11"/>
      <c r="B944" s="12"/>
      <c r="C944" s="11"/>
      <c r="D944" s="11"/>
      <c r="E944" s="11"/>
      <c r="F944" s="11"/>
      <c r="G944" s="11"/>
      <c r="H944" s="15"/>
      <c r="I944" s="11"/>
    </row>
    <row r="945">
      <c r="A945" s="11"/>
      <c r="B945" s="12"/>
      <c r="C945" s="11"/>
      <c r="D945" s="11"/>
      <c r="E945" s="11"/>
      <c r="F945" s="11"/>
      <c r="G945" s="11"/>
      <c r="H945" s="15"/>
      <c r="I945" s="11"/>
    </row>
    <row r="946">
      <c r="A946" s="11"/>
      <c r="B946" s="12"/>
      <c r="C946" s="11"/>
      <c r="D946" s="11"/>
      <c r="E946" s="11"/>
      <c r="F946" s="11"/>
      <c r="G946" s="11"/>
      <c r="H946" s="15"/>
      <c r="I946" s="11"/>
    </row>
    <row r="947">
      <c r="A947" s="11"/>
      <c r="B947" s="12"/>
      <c r="C947" s="11"/>
      <c r="D947" s="11"/>
      <c r="E947" s="11"/>
      <c r="F947" s="11"/>
      <c r="G947" s="11"/>
      <c r="H947" s="15"/>
      <c r="I947" s="11"/>
    </row>
    <row r="948">
      <c r="A948" s="11"/>
      <c r="B948" s="12"/>
      <c r="C948" s="11"/>
      <c r="D948" s="11"/>
      <c r="E948" s="11"/>
      <c r="F948" s="11"/>
      <c r="G948" s="11"/>
      <c r="H948" s="15"/>
      <c r="I948" s="11"/>
    </row>
    <row r="949">
      <c r="A949" s="11"/>
      <c r="B949" s="12"/>
      <c r="C949" s="11"/>
      <c r="D949" s="11"/>
      <c r="E949" s="11"/>
      <c r="F949" s="11"/>
      <c r="G949" s="11"/>
      <c r="H949" s="15"/>
      <c r="I949" s="11"/>
    </row>
    <row r="950">
      <c r="A950" s="11"/>
      <c r="B950" s="12"/>
      <c r="C950" s="11"/>
      <c r="D950" s="11"/>
      <c r="E950" s="11"/>
      <c r="F950" s="11"/>
      <c r="G950" s="11"/>
      <c r="H950" s="15"/>
      <c r="I950" s="11"/>
    </row>
    <row r="951">
      <c r="A951" s="11"/>
      <c r="B951" s="12"/>
      <c r="C951" s="11"/>
      <c r="D951" s="11"/>
      <c r="E951" s="11"/>
      <c r="F951" s="11"/>
      <c r="G951" s="11"/>
      <c r="H951" s="15"/>
      <c r="I951" s="11"/>
    </row>
    <row r="952">
      <c r="A952" s="11"/>
      <c r="B952" s="12"/>
      <c r="C952" s="11"/>
      <c r="D952" s="11"/>
      <c r="E952" s="11"/>
      <c r="F952" s="11"/>
      <c r="G952" s="11"/>
      <c r="H952" s="15"/>
      <c r="I952" s="11"/>
    </row>
    <row r="953">
      <c r="A953" s="11"/>
      <c r="B953" s="12"/>
      <c r="C953" s="11"/>
      <c r="D953" s="11"/>
      <c r="E953" s="11"/>
      <c r="F953" s="11"/>
      <c r="G953" s="11"/>
      <c r="H953" s="15"/>
      <c r="I953" s="11"/>
    </row>
    <row r="954">
      <c r="A954" s="11"/>
      <c r="B954" s="12"/>
      <c r="C954" s="11"/>
      <c r="D954" s="11"/>
      <c r="E954" s="11"/>
      <c r="F954" s="11"/>
      <c r="G954" s="11"/>
      <c r="H954" s="15"/>
      <c r="I954" s="11"/>
    </row>
    <row r="955">
      <c r="A955" s="11"/>
      <c r="B955" s="12"/>
      <c r="C955" s="11"/>
      <c r="D955" s="11"/>
      <c r="E955" s="11"/>
      <c r="F955" s="11"/>
      <c r="G955" s="11"/>
      <c r="H955" s="15"/>
      <c r="I955" s="11"/>
    </row>
    <row r="956">
      <c r="A956" s="11"/>
      <c r="B956" s="12"/>
      <c r="C956" s="11"/>
      <c r="D956" s="11"/>
      <c r="E956" s="11"/>
      <c r="F956" s="11"/>
      <c r="G956" s="11"/>
      <c r="H956" s="15"/>
      <c r="I956" s="11"/>
    </row>
    <row r="957">
      <c r="A957" s="11"/>
      <c r="B957" s="12"/>
      <c r="C957" s="11"/>
      <c r="D957" s="11"/>
      <c r="E957" s="11"/>
      <c r="F957" s="11"/>
      <c r="G957" s="11"/>
      <c r="H957" s="15"/>
      <c r="I957" s="11"/>
    </row>
    <row r="958">
      <c r="A958" s="11"/>
      <c r="B958" s="12"/>
      <c r="C958" s="11"/>
      <c r="D958" s="11"/>
      <c r="E958" s="11"/>
      <c r="F958" s="11"/>
      <c r="G958" s="11"/>
      <c r="H958" s="15"/>
      <c r="I958" s="11"/>
    </row>
    <row r="959">
      <c r="A959" s="11"/>
      <c r="B959" s="12"/>
      <c r="C959" s="11"/>
      <c r="D959" s="11"/>
      <c r="E959" s="11"/>
      <c r="F959" s="11"/>
      <c r="G959" s="11"/>
      <c r="H959" s="15"/>
      <c r="I959" s="11"/>
    </row>
    <row r="960">
      <c r="A960" s="11"/>
      <c r="B960" s="12"/>
      <c r="C960" s="11"/>
      <c r="D960" s="11"/>
      <c r="E960" s="11"/>
      <c r="F960" s="11"/>
      <c r="G960" s="11"/>
      <c r="H960" s="15"/>
      <c r="I960" s="11"/>
    </row>
    <row r="961">
      <c r="A961" s="11"/>
      <c r="B961" s="12"/>
      <c r="C961" s="11"/>
      <c r="D961" s="11"/>
      <c r="E961" s="11"/>
      <c r="F961" s="11"/>
      <c r="G961" s="11"/>
      <c r="H961" s="15"/>
      <c r="I961" s="11"/>
    </row>
    <row r="962">
      <c r="A962" s="11"/>
      <c r="B962" s="12"/>
      <c r="C962" s="11"/>
      <c r="D962" s="11"/>
      <c r="E962" s="11"/>
      <c r="F962" s="11"/>
      <c r="G962" s="11"/>
      <c r="H962" s="15"/>
      <c r="I962" s="11"/>
    </row>
    <row r="963">
      <c r="A963" s="11"/>
      <c r="B963" s="12"/>
      <c r="C963" s="11"/>
      <c r="D963" s="11"/>
      <c r="E963" s="11"/>
      <c r="F963" s="11"/>
      <c r="G963" s="11"/>
      <c r="H963" s="15"/>
      <c r="I963" s="11"/>
    </row>
    <row r="964">
      <c r="A964" s="11"/>
      <c r="B964" s="12"/>
      <c r="C964" s="11"/>
      <c r="D964" s="11"/>
      <c r="E964" s="11"/>
      <c r="F964" s="11"/>
      <c r="G964" s="11"/>
      <c r="H964" s="15"/>
      <c r="I964" s="11"/>
    </row>
    <row r="965">
      <c r="A965" s="11"/>
      <c r="B965" s="12"/>
      <c r="C965" s="11"/>
      <c r="D965" s="11"/>
      <c r="E965" s="11"/>
      <c r="F965" s="11"/>
      <c r="G965" s="11"/>
      <c r="H965" s="15"/>
      <c r="I965" s="11"/>
    </row>
    <row r="966">
      <c r="A966" s="11"/>
      <c r="B966" s="12"/>
      <c r="C966" s="11"/>
      <c r="D966" s="11"/>
      <c r="E966" s="11"/>
      <c r="F966" s="11"/>
      <c r="G966" s="11"/>
      <c r="H966" s="15"/>
      <c r="I966" s="11"/>
    </row>
    <row r="967">
      <c r="A967" s="11"/>
      <c r="B967" s="12"/>
      <c r="C967" s="11"/>
      <c r="D967" s="11"/>
      <c r="E967" s="11"/>
      <c r="F967" s="11"/>
      <c r="G967" s="11"/>
      <c r="H967" s="15"/>
      <c r="I967" s="11"/>
    </row>
    <row r="968">
      <c r="A968" s="11"/>
      <c r="B968" s="12"/>
      <c r="C968" s="11"/>
      <c r="D968" s="11"/>
      <c r="E968" s="11"/>
      <c r="F968" s="11"/>
      <c r="G968" s="11"/>
      <c r="H968" s="15"/>
      <c r="I968" s="11"/>
    </row>
    <row r="969">
      <c r="A969" s="11"/>
      <c r="B969" s="12"/>
      <c r="C969" s="11"/>
      <c r="D969" s="11"/>
      <c r="E969" s="11"/>
      <c r="F969" s="11"/>
      <c r="G969" s="11"/>
      <c r="H969" s="15"/>
      <c r="I969" s="11"/>
    </row>
    <row r="970">
      <c r="A970" s="11"/>
      <c r="B970" s="12"/>
      <c r="C970" s="11"/>
      <c r="D970" s="11"/>
      <c r="E970" s="11"/>
      <c r="F970" s="11"/>
      <c r="G970" s="11"/>
      <c r="H970" s="15"/>
      <c r="I970" s="11"/>
    </row>
    <row r="971">
      <c r="A971" s="11"/>
      <c r="B971" s="12"/>
      <c r="C971" s="11"/>
      <c r="D971" s="11"/>
      <c r="E971" s="11"/>
      <c r="F971" s="11"/>
      <c r="G971" s="11"/>
      <c r="H971" s="15"/>
      <c r="I971" s="11"/>
    </row>
    <row r="972">
      <c r="A972" s="11"/>
      <c r="B972" s="12"/>
      <c r="C972" s="11"/>
      <c r="D972" s="11"/>
      <c r="E972" s="11"/>
      <c r="F972" s="11"/>
      <c r="G972" s="11"/>
      <c r="H972" s="15"/>
      <c r="I972" s="11"/>
    </row>
    <row r="973">
      <c r="A973" s="11"/>
      <c r="B973" s="12"/>
      <c r="C973" s="11"/>
      <c r="D973" s="11"/>
      <c r="E973" s="11"/>
      <c r="F973" s="11"/>
      <c r="G973" s="11"/>
      <c r="H973" s="15"/>
      <c r="I973" s="11"/>
    </row>
    <row r="974">
      <c r="A974" s="11"/>
      <c r="B974" s="12"/>
      <c r="C974" s="11"/>
      <c r="D974" s="11"/>
      <c r="E974" s="11"/>
      <c r="F974" s="11"/>
      <c r="G974" s="11"/>
      <c r="H974" s="15"/>
      <c r="I974" s="11"/>
    </row>
    <row r="975">
      <c r="A975" s="11"/>
      <c r="B975" s="12"/>
      <c r="C975" s="11"/>
      <c r="D975" s="11"/>
      <c r="E975" s="11"/>
      <c r="F975" s="11"/>
      <c r="G975" s="11"/>
      <c r="H975" s="15"/>
      <c r="I975" s="11"/>
    </row>
    <row r="976">
      <c r="A976" s="11"/>
      <c r="B976" s="12"/>
      <c r="C976" s="11"/>
      <c r="D976" s="11"/>
      <c r="E976" s="11"/>
      <c r="F976" s="11"/>
      <c r="G976" s="11"/>
      <c r="H976" s="15"/>
      <c r="I976" s="11"/>
    </row>
    <row r="977">
      <c r="A977" s="11"/>
      <c r="B977" s="12"/>
      <c r="C977" s="11"/>
      <c r="D977" s="11"/>
      <c r="E977" s="11"/>
      <c r="F977" s="11"/>
      <c r="G977" s="11"/>
      <c r="H977" s="15"/>
      <c r="I977" s="11"/>
    </row>
    <row r="978">
      <c r="A978" s="11"/>
      <c r="B978" s="12"/>
      <c r="C978" s="11"/>
      <c r="D978" s="11"/>
      <c r="E978" s="11"/>
      <c r="F978" s="11"/>
      <c r="G978" s="11"/>
      <c r="H978" s="15"/>
      <c r="I978" s="11"/>
    </row>
    <row r="979">
      <c r="A979" s="11"/>
      <c r="B979" s="12"/>
      <c r="C979" s="11"/>
      <c r="D979" s="11"/>
      <c r="E979" s="11"/>
      <c r="F979" s="11"/>
      <c r="G979" s="11"/>
      <c r="H979" s="15"/>
      <c r="I979" s="11"/>
    </row>
    <row r="980">
      <c r="A980" s="11"/>
      <c r="B980" s="12"/>
      <c r="C980" s="11"/>
      <c r="D980" s="11"/>
      <c r="E980" s="11"/>
      <c r="F980" s="11"/>
      <c r="G980" s="11"/>
      <c r="H980" s="15"/>
      <c r="I980" s="11"/>
    </row>
    <row r="981">
      <c r="A981" s="11"/>
      <c r="B981" s="12"/>
      <c r="C981" s="11"/>
      <c r="D981" s="11"/>
      <c r="E981" s="11"/>
      <c r="F981" s="11"/>
      <c r="G981" s="11"/>
      <c r="H981" s="15"/>
      <c r="I981" s="11"/>
    </row>
    <row r="982">
      <c r="A982" s="11"/>
      <c r="B982" s="12"/>
      <c r="C982" s="11"/>
      <c r="D982" s="11"/>
      <c r="E982" s="11"/>
      <c r="F982" s="11"/>
      <c r="G982" s="11"/>
      <c r="H982" s="15"/>
      <c r="I982" s="11"/>
    </row>
    <row r="983">
      <c r="A983" s="11"/>
      <c r="B983" s="12"/>
      <c r="C983" s="11"/>
      <c r="D983" s="11"/>
      <c r="E983" s="11"/>
      <c r="F983" s="11"/>
      <c r="G983" s="11"/>
      <c r="H983" s="15"/>
      <c r="I983" s="11"/>
    </row>
    <row r="984">
      <c r="A984" s="11"/>
      <c r="B984" s="12"/>
      <c r="C984" s="11"/>
      <c r="D984" s="11"/>
      <c r="E984" s="11"/>
      <c r="F984" s="11"/>
      <c r="G984" s="11"/>
      <c r="H984" s="15"/>
      <c r="I984" s="11"/>
    </row>
    <row r="985">
      <c r="A985" s="11"/>
      <c r="B985" s="12"/>
      <c r="C985" s="11"/>
      <c r="D985" s="11"/>
      <c r="E985" s="11"/>
      <c r="F985" s="11"/>
      <c r="G985" s="11"/>
      <c r="H985" s="15"/>
      <c r="I985" s="11"/>
    </row>
    <row r="986">
      <c r="A986" s="11"/>
      <c r="B986" s="12"/>
      <c r="C986" s="11"/>
      <c r="D986" s="11"/>
      <c r="E986" s="11"/>
      <c r="F986" s="11"/>
      <c r="G986" s="11"/>
      <c r="H986" s="15"/>
      <c r="I986" s="11"/>
    </row>
    <row r="987">
      <c r="A987" s="11"/>
      <c r="B987" s="12"/>
      <c r="C987" s="11"/>
      <c r="D987" s="11"/>
      <c r="E987" s="11"/>
      <c r="F987" s="11"/>
      <c r="G987" s="11"/>
      <c r="H987" s="15"/>
      <c r="I987" s="11"/>
    </row>
    <row r="988">
      <c r="A988" s="11"/>
      <c r="B988" s="12"/>
      <c r="C988" s="11"/>
      <c r="D988" s="11"/>
      <c r="E988" s="11"/>
      <c r="F988" s="11"/>
      <c r="G988" s="11"/>
      <c r="H988" s="15"/>
      <c r="I988" s="11"/>
    </row>
    <row r="989">
      <c r="A989" s="11"/>
      <c r="B989" s="12"/>
      <c r="C989" s="11"/>
      <c r="D989" s="11"/>
      <c r="E989" s="11"/>
      <c r="F989" s="11"/>
      <c r="G989" s="11"/>
      <c r="H989" s="15"/>
      <c r="I989" s="11"/>
    </row>
    <row r="990">
      <c r="A990" s="11"/>
      <c r="B990" s="12"/>
      <c r="C990" s="11"/>
      <c r="D990" s="11"/>
      <c r="E990" s="11"/>
      <c r="F990" s="11"/>
      <c r="G990" s="11"/>
      <c r="H990" s="15"/>
      <c r="I990" s="11"/>
    </row>
    <row r="991">
      <c r="A991" s="11"/>
      <c r="B991" s="12"/>
      <c r="C991" s="11"/>
      <c r="D991" s="11"/>
      <c r="E991" s="11"/>
      <c r="F991" s="11"/>
      <c r="G991" s="11"/>
      <c r="H991" s="15"/>
      <c r="I991" s="11"/>
    </row>
    <row r="992">
      <c r="A992" s="11"/>
      <c r="B992" s="12"/>
      <c r="C992" s="11"/>
      <c r="D992" s="11"/>
      <c r="E992" s="11"/>
      <c r="F992" s="11"/>
      <c r="G992" s="11"/>
      <c r="H992" s="15"/>
      <c r="I992" s="11"/>
    </row>
    <row r="993">
      <c r="A993" s="11"/>
      <c r="B993" s="12"/>
      <c r="C993" s="11"/>
      <c r="D993" s="11"/>
      <c r="E993" s="11"/>
      <c r="F993" s="11"/>
      <c r="G993" s="11"/>
      <c r="H993" s="15"/>
      <c r="I993" s="11"/>
    </row>
    <row r="994">
      <c r="A994" s="11"/>
      <c r="B994" s="12"/>
      <c r="C994" s="11"/>
      <c r="D994" s="11"/>
      <c r="E994" s="11"/>
      <c r="F994" s="11"/>
      <c r="G994" s="11"/>
      <c r="H994" s="15"/>
      <c r="I994" s="11"/>
    </row>
    <row r="995">
      <c r="A995" s="11"/>
      <c r="B995" s="12"/>
      <c r="C995" s="11"/>
      <c r="D995" s="11"/>
      <c r="E995" s="11"/>
      <c r="F995" s="11"/>
      <c r="G995" s="11"/>
      <c r="H995" s="15"/>
      <c r="I995" s="11"/>
    </row>
    <row r="996">
      <c r="A996" s="11"/>
      <c r="B996" s="12"/>
      <c r="C996" s="11"/>
      <c r="D996" s="11"/>
      <c r="E996" s="11"/>
      <c r="F996" s="11"/>
      <c r="G996" s="11"/>
      <c r="H996" s="15"/>
      <c r="I996" s="11"/>
    </row>
    <row r="997">
      <c r="A997" s="11"/>
      <c r="B997" s="12"/>
      <c r="C997" s="11"/>
      <c r="D997" s="11"/>
      <c r="E997" s="11"/>
      <c r="F997" s="11"/>
      <c r="G997" s="11"/>
      <c r="H997" s="15"/>
      <c r="I997" s="11"/>
    </row>
    <row r="998">
      <c r="A998" s="11"/>
      <c r="B998" s="12"/>
      <c r="C998" s="11"/>
      <c r="D998" s="11"/>
      <c r="E998" s="11"/>
      <c r="F998" s="11"/>
      <c r="G998" s="11"/>
      <c r="H998" s="15"/>
      <c r="I998" s="11"/>
    </row>
    <row r="999">
      <c r="A999" s="11"/>
      <c r="B999" s="12"/>
      <c r="C999" s="11"/>
      <c r="D999" s="11"/>
      <c r="E999" s="11"/>
      <c r="F999" s="11"/>
      <c r="G999" s="11"/>
      <c r="H999" s="15"/>
      <c r="I999" s="11"/>
    </row>
    <row r="1000">
      <c r="A1000" s="11"/>
      <c r="B1000" s="12"/>
      <c r="C1000" s="11"/>
      <c r="D1000" s="11"/>
      <c r="E1000" s="11"/>
      <c r="F1000" s="11"/>
      <c r="G1000" s="11"/>
      <c r="H1000" s="15"/>
      <c r="I1000" s="11"/>
    </row>
    <row r="1001">
      <c r="A1001" s="11"/>
      <c r="B1001" s="12"/>
      <c r="C1001" s="11"/>
      <c r="D1001" s="11"/>
      <c r="E1001" s="11"/>
      <c r="F1001" s="11"/>
      <c r="G1001" s="11"/>
      <c r="H1001" s="15"/>
      <c r="I1001" s="11"/>
    </row>
  </sheetData>
  <autoFilter ref="$A$2:$H$129"/>
  <hyperlinks>
    <hyperlink r:id="rId1" ref="H3"/>
    <hyperlink r:id="rId2" ref="H4"/>
    <hyperlink r:id="rId3" location="gid=0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</hyperlinks>
  <drawing r:id="rId8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6.57"/>
    <col customWidth="1" min="6" max="6" width="19.57"/>
    <col hidden="1" min="9" max="9" width="14.43"/>
    <col customWidth="1" hidden="1" min="10" max="10" width="15.43"/>
    <col customWidth="1" hidden="1" min="11" max="11" width="19.57"/>
    <col hidden="1" min="12" max="19" width="14.43"/>
    <col customWidth="1" hidden="1" min="20" max="20" width="16.57"/>
    <col customWidth="1" hidden="1" min="21" max="21" width="28.43"/>
    <col hidden="1" min="22" max="22" width="14.43"/>
    <col customWidth="1" min="30" max="30" width="18.29"/>
  </cols>
  <sheetData>
    <row r="1">
      <c r="A1" s="16" t="s">
        <v>17</v>
      </c>
      <c r="Q1" s="17" t="s">
        <v>18</v>
      </c>
    </row>
    <row r="2">
      <c r="A2" s="18" t="s">
        <v>19</v>
      </c>
      <c r="B2" s="19">
        <f>COUNTIF($B$5:$B1001,"NSHIP")</f>
        <v>0</v>
      </c>
      <c r="D2" s="20" t="s">
        <v>20</v>
      </c>
      <c r="E2" s="21"/>
      <c r="F2" s="22" t="s">
        <v>21</v>
      </c>
      <c r="G2" s="21"/>
      <c r="H2" s="23"/>
      <c r="I2" s="20" t="s">
        <v>20</v>
      </c>
      <c r="J2" s="21"/>
      <c r="K2" s="22" t="s">
        <v>22</v>
      </c>
      <c r="L2" s="21"/>
      <c r="M2" s="21"/>
      <c r="N2" s="21"/>
      <c r="O2" s="23"/>
      <c r="Q2" s="24" t="s">
        <v>23</v>
      </c>
      <c r="R2" s="24" t="s">
        <v>24</v>
      </c>
      <c r="S2" s="25" t="s">
        <v>25</v>
      </c>
      <c r="T2" s="24" t="s">
        <v>15</v>
      </c>
      <c r="U2" s="24" t="s">
        <v>26</v>
      </c>
      <c r="X2" s="26"/>
    </row>
    <row r="3">
      <c r="A3" s="10" t="s">
        <v>27</v>
      </c>
      <c r="B3" s="27" t="s">
        <v>8</v>
      </c>
      <c r="C3" s="28" t="s">
        <v>28</v>
      </c>
      <c r="D3" s="9" t="s">
        <v>9</v>
      </c>
      <c r="E3" s="8" t="s">
        <v>10</v>
      </c>
      <c r="F3" s="8" t="s">
        <v>11</v>
      </c>
      <c r="G3" s="5" t="s">
        <v>29</v>
      </c>
      <c r="H3" s="10" t="s">
        <v>30</v>
      </c>
      <c r="I3" s="9" t="s">
        <v>9</v>
      </c>
      <c r="J3" s="8" t="s">
        <v>10</v>
      </c>
      <c r="K3" s="8" t="s">
        <v>11</v>
      </c>
      <c r="L3" s="5" t="s">
        <v>29</v>
      </c>
      <c r="M3" s="28" t="s">
        <v>31</v>
      </c>
      <c r="N3" s="28" t="s">
        <v>30</v>
      </c>
      <c r="O3" s="10" t="s">
        <v>32</v>
      </c>
      <c r="Q3" s="29" t="s">
        <v>33</v>
      </c>
      <c r="R3" s="30">
        <f t="shared" ref="R3:R14" si="1">IF(S3&gt;100%,0,100%-S3)</f>
        <v>1</v>
      </c>
      <c r="S3" s="31">
        <f t="shared" ref="S3:S14" si="2">IFERROR(U3/T3,0)</f>
        <v>0</v>
      </c>
      <c r="T3" s="32">
        <f>SUMIFS('MASTER MANIFEST'!$H$3:$H$151,'MASTER MANIFEST'!$B$3:$B$151,"&gt;=01/01/2021",'MASTER MANIFEST'!$B$3:$B$151,"&lt;=01/31/2021")</f>
        <v>0</v>
      </c>
      <c r="U3" s="32">
        <f>-SUMIFS('MASTER MANIFEST'!$G$3:$G$151,'MASTER MANIFEST'!$B$3:$B$151,"&gt;=01/01/2021",'MASTER MANIFEST'!$B$3:$B$151,"&lt;=01/31/2021")+T3</f>
        <v>0</v>
      </c>
      <c r="X3" s="33" t="s">
        <v>34</v>
      </c>
      <c r="AA3" s="34" t="s">
        <v>35</v>
      </c>
      <c r="AB3" s="35" t="s">
        <v>36</v>
      </c>
      <c r="AC3" s="36">
        <f>SUM(AC4:AC7)</f>
        <v>1241.246061</v>
      </c>
      <c r="AD3" s="37" t="s">
        <v>37</v>
      </c>
      <c r="AE3" s="27" t="s">
        <v>8</v>
      </c>
      <c r="AF3" s="37" t="s">
        <v>38</v>
      </c>
    </row>
    <row r="4">
      <c r="A4" s="38" t="str">
        <f>IFERROR(__xludf.DUMMYFUNCTION("SORT(UNIQUE(QUERY(DETAIL!J4:J1001)))"),"BOX")</f>
        <v>BOX</v>
      </c>
      <c r="B4" s="39"/>
      <c r="C4" s="40"/>
      <c r="D4" s="41"/>
      <c r="E4" s="38"/>
      <c r="F4" s="38"/>
      <c r="G4" s="38"/>
      <c r="H4" s="38"/>
      <c r="I4" s="41"/>
      <c r="J4" s="38"/>
      <c r="K4" s="38"/>
      <c r="L4" s="40"/>
      <c r="M4" s="40"/>
      <c r="N4" s="40"/>
      <c r="O4" s="38"/>
      <c r="Q4" s="29" t="s">
        <v>39</v>
      </c>
      <c r="R4" s="30">
        <f t="shared" si="1"/>
        <v>1</v>
      </c>
      <c r="S4" s="31">
        <f t="shared" si="2"/>
        <v>0</v>
      </c>
      <c r="T4" s="32">
        <f>SUMIFS('MASTER MANIFEST'!$H$3:$H$151,'MASTER MANIFEST'!$B$3:$B$151,"&gt;=02/01/2021",'MASTER MANIFEST'!$B$3:$B$151,"&lt;=02/28/2021")</f>
        <v>0</v>
      </c>
      <c r="U4" s="32">
        <f>-SUMIFS('MASTER MANIFEST'!$G$3:$G$151,'MASTER MANIFEST'!$B$3:$B$151,"&gt;=02/01/2021",'MASTER MANIFEST'!$B$3:$B$151,"&lt;=02/28/2021")+T4</f>
        <v>0</v>
      </c>
      <c r="X4" s="26"/>
      <c r="AA4" s="42" t="s">
        <v>40</v>
      </c>
      <c r="AC4" s="43">
        <v>431.8181818181819</v>
      </c>
      <c r="AD4" s="37" t="s">
        <v>41</v>
      </c>
      <c r="AE4" s="37" t="s">
        <v>42</v>
      </c>
      <c r="AF4" s="37" t="s">
        <v>43</v>
      </c>
    </row>
    <row r="5">
      <c r="A5" s="42" t="str">
        <f>IFERROR(__xludf.DUMMYFUNCTION("""COMPUTED_VALUE"""),"CC18401")</f>
        <v>CC18401</v>
      </c>
      <c r="B5" s="44" t="s">
        <v>42</v>
      </c>
      <c r="C5" s="43">
        <f>IFERROR(VLOOKUP($A5,DETAIL!$C$4:$M1001,11,FALSE),0)</f>
        <v>431.8181818</v>
      </c>
      <c r="D5" s="45">
        <v>44482.0</v>
      </c>
      <c r="E5" s="35" t="s">
        <v>36</v>
      </c>
      <c r="F5" s="42" t="str">
        <f t="array" ref="F5">INDEX('MASTER MANIFEST'!$D$3:$D1001,MATCH(1,($D5='MASTER MANIFEST'!$B$3:$B1001)*($E5='MASTER MANIFEST'!$C$3:$C1001),0))</f>
        <v>Andrew Novelties LLC (SFBA)</v>
      </c>
      <c r="G5" s="46">
        <f t="array" ref="G5">INDEX('MASTER MANIFEST'!$G$3:$G1001,MATCH(1,($D5='MASTER MANIFEST'!$B$3:$B1001)*($E5='MASTER MANIFEST'!$C$3:$C1001),0))</f>
        <v>1200</v>
      </c>
      <c r="H5" s="46">
        <f t="shared" ref="H5:H160" si="3">G5-C5</f>
        <v>768.1818182</v>
      </c>
      <c r="I5" s="45"/>
      <c r="J5" s="35"/>
      <c r="K5" s="42" t="str">
        <f t="array" ref="K5">INDEX('MASTER MANIFEST'!$D$3:$D1001,MATCH(1,($I5='MASTER MANIFEST'!$B$3:$B1001)*($J5='MASTER MANIFEST'!$C$3:$C1001),0))</f>
        <v/>
      </c>
      <c r="L5" s="43" t="str">
        <f t="array" ref="L5">INDEX('MASTER MANIFEST'!$G$3:$G1001,MATCH(1,($I5='MASTER MANIFEST'!$B$3:$B1001)*($J5='MASTER MANIFEST'!$C$3:$C1001),0))</f>
        <v/>
      </c>
      <c r="M5" s="43">
        <f t="shared" ref="M5:M160" si="4">SUMIFS($C$5:$C1001,$D$5:$D1001,$I5,$E$5:$E1001,$J5)</f>
        <v>0</v>
      </c>
      <c r="N5" s="43">
        <f t="shared" ref="N5:N160" si="5">L5-M5</f>
        <v>0</v>
      </c>
      <c r="O5" s="42">
        <f t="shared" ref="O5:O160" si="6">COUNTIFS($D$5:$D1001,$I5,$E$5:$E1001,$J5)</f>
        <v>0</v>
      </c>
      <c r="Q5" s="29" t="s">
        <v>44</v>
      </c>
      <c r="R5" s="30">
        <f t="shared" si="1"/>
        <v>1</v>
      </c>
      <c r="S5" s="31">
        <f t="shared" si="2"/>
        <v>0</v>
      </c>
      <c r="T5" s="32">
        <f>SUMIFS('MASTER MANIFEST'!$H$3:$H$151,'MASTER MANIFEST'!$B$3:$B$151,"&gt;=03/01/2021",'MASTER MANIFEST'!$B$3:$B$151,"&lt;=03/31/2021")</f>
        <v>0</v>
      </c>
      <c r="U5" s="32">
        <f>-SUMIFS('MASTER MANIFEST'!$G$3:$G$151,'MASTER MANIFEST'!$B$3:$B$151,"&gt;=03/01/2021",'MASTER MANIFEST'!$B$3:$B$151,"&lt;=03/31/2021")+T5</f>
        <v>0</v>
      </c>
      <c r="W5" s="47">
        <f>G5-C5-C6-C8-C11-C12</f>
        <v>-314.5627273</v>
      </c>
      <c r="X5" s="42" t="s">
        <v>36</v>
      </c>
      <c r="AA5" s="42" t="s">
        <v>45</v>
      </c>
      <c r="AC5" s="43">
        <v>312.1212121212121</v>
      </c>
      <c r="AD5" s="37" t="s">
        <v>46</v>
      </c>
      <c r="AE5" s="37" t="s">
        <v>47</v>
      </c>
      <c r="AF5" s="37" t="s">
        <v>43</v>
      </c>
    </row>
    <row r="6">
      <c r="A6" s="42" t="str">
        <f>IFERROR(__xludf.DUMMYFUNCTION("""COMPUTED_VALUE"""),"CC18402")</f>
        <v>CC18402</v>
      </c>
      <c r="B6" s="44" t="s">
        <v>48</v>
      </c>
      <c r="C6" s="43">
        <f>IFERROR(VLOOKUP($A6,DETAIL!$C$4:$M1001,11,FALSE),0)</f>
        <v>312.1212121</v>
      </c>
      <c r="D6" s="45">
        <v>44482.0</v>
      </c>
      <c r="E6" s="35" t="s">
        <v>36</v>
      </c>
      <c r="F6" s="42" t="str">
        <f t="array" ref="F6">INDEX('MASTER MANIFEST'!$D$3:$D1001,MATCH(1,($D6='MASTER MANIFEST'!$B$3:$B1001)*($E6='MASTER MANIFEST'!$C$3:$C1001),0))</f>
        <v>Andrew Novelties LLC (SFBA)</v>
      </c>
      <c r="G6" s="46">
        <f t="array" ref="G6">INDEX('MASTER MANIFEST'!$G$3:$G1001,MATCH(1,($D6='MASTER MANIFEST'!$B$3:$B1001)*($E6='MASTER MANIFEST'!$C$3:$C1001),0))</f>
        <v>1200</v>
      </c>
      <c r="H6" s="46">
        <f t="shared" si="3"/>
        <v>887.8787879</v>
      </c>
      <c r="I6" s="45"/>
      <c r="J6" s="35"/>
      <c r="K6" s="42" t="str">
        <f t="array" ref="K6">INDEX('MASTER MANIFEST'!$D$3:$D1001,MATCH(1,($I6='MASTER MANIFEST'!$B$3:$B1001)*($J6='MASTER MANIFEST'!$C$3:$C1001),0))</f>
        <v/>
      </c>
      <c r="L6" s="43" t="str">
        <f t="array" ref="L6">INDEX('MASTER MANIFEST'!$G$3:$G1001,MATCH(1,($I6='MASTER MANIFEST'!$B$3:$B1001)*($J6='MASTER MANIFEST'!$C$3:$C1001),0))</f>
        <v/>
      </c>
      <c r="M6" s="43">
        <f t="shared" si="4"/>
        <v>0</v>
      </c>
      <c r="N6" s="43">
        <f t="shared" si="5"/>
        <v>0</v>
      </c>
      <c r="O6" s="42">
        <f t="shared" si="6"/>
        <v>0</v>
      </c>
      <c r="Q6" s="29" t="s">
        <v>49</v>
      </c>
      <c r="R6" s="30">
        <f t="shared" si="1"/>
        <v>1</v>
      </c>
      <c r="S6" s="31">
        <f t="shared" si="2"/>
        <v>0</v>
      </c>
      <c r="T6" s="32">
        <f>SUMIFS('MASTER MANIFEST'!$H$3:$H$151,'MASTER MANIFEST'!$B$3:$B$151,"&gt;=04/01/2021",'MASTER MANIFEST'!$B$3:$B$151,"&lt;=04/30/2021")</f>
        <v>0</v>
      </c>
      <c r="U6" s="32">
        <f>-SUMIFS('MASTER MANIFEST'!$G$3:$G$151,'MASTER MANIFEST'!$B$3:$B$151,"&gt;=04/01/2021",'MASTER MANIFEST'!$B$3:$B$151,"&lt;=04/30/2021")+T6</f>
        <v>0</v>
      </c>
      <c r="W6" s="37" t="s">
        <v>47</v>
      </c>
      <c r="X6" s="33"/>
      <c r="Y6" s="37" t="s">
        <v>50</v>
      </c>
      <c r="AA6" s="42" t="s">
        <v>51</v>
      </c>
      <c r="AC6" s="43">
        <v>437.3066666666667</v>
      </c>
      <c r="AD6" s="37" t="s">
        <v>46</v>
      </c>
      <c r="AE6" s="37" t="s">
        <v>47</v>
      </c>
      <c r="AF6" s="37" t="s">
        <v>43</v>
      </c>
    </row>
    <row r="7">
      <c r="A7" s="42" t="str">
        <f>IFERROR(__xludf.DUMMYFUNCTION("""COMPUTED_VALUE"""),"CC18403")</f>
        <v>CC18403</v>
      </c>
      <c r="B7" s="44" t="s">
        <v>48</v>
      </c>
      <c r="C7" s="43">
        <f>IFERROR(VLOOKUP($A7,DETAIL!$C$4:$M1001,11,FALSE),0)</f>
        <v>936.030303</v>
      </c>
      <c r="D7" s="45"/>
      <c r="E7" s="35"/>
      <c r="F7" s="42" t="str">
        <f t="array" ref="F7">INDEX('MASTER MANIFEST'!$D$3:$D1001,MATCH(1,($D7='MASTER MANIFEST'!$B$3:$B1001)*($E7='MASTER MANIFEST'!$C$3:$C1001),0))</f>
        <v/>
      </c>
      <c r="G7" s="42" t="str">
        <f t="array" ref="G7">INDEX('MASTER MANIFEST'!$G$3:$G1001,MATCH(1,($D7='MASTER MANIFEST'!$B$3:$B1001)*($E7='MASTER MANIFEST'!$C$3:$C1001),0))</f>
        <v/>
      </c>
      <c r="H7" s="43">
        <f t="shared" si="3"/>
        <v>-936.030303</v>
      </c>
      <c r="I7" s="45"/>
      <c r="J7" s="35"/>
      <c r="K7" s="42" t="str">
        <f t="array" ref="K7">INDEX('MASTER MANIFEST'!$D$3:$D1001,MATCH(1,($I7='MASTER MANIFEST'!$B$3:$B1001)*($J7='MASTER MANIFEST'!$C$3:$C1001),0))</f>
        <v/>
      </c>
      <c r="L7" s="43" t="str">
        <f t="array" ref="L7">INDEX('MASTER MANIFEST'!$G$3:$G1001,MATCH(1,($I7='MASTER MANIFEST'!$B$3:$B1001)*($J7='MASTER MANIFEST'!$C$3:$C1001),0))</f>
        <v/>
      </c>
      <c r="M7" s="43">
        <f t="shared" si="4"/>
        <v>0</v>
      </c>
      <c r="N7" s="43">
        <f t="shared" si="5"/>
        <v>0</v>
      </c>
      <c r="O7" s="42">
        <f t="shared" si="6"/>
        <v>0</v>
      </c>
      <c r="Q7" s="29" t="s">
        <v>52</v>
      </c>
      <c r="R7" s="30">
        <f t="shared" si="1"/>
        <v>1</v>
      </c>
      <c r="S7" s="31">
        <f t="shared" si="2"/>
        <v>0</v>
      </c>
      <c r="T7" s="32">
        <f>SUMIFS('MASTER MANIFEST'!$H$3:$H$151,'MASTER MANIFEST'!$B$3:$B$151,"&gt;=05/01/2021",'MASTER MANIFEST'!$B$3:$B$151,"&lt;=05/31/2021")</f>
        <v>0</v>
      </c>
      <c r="U7" s="32">
        <f>-SUMIFS('MASTER MANIFEST'!$G$3:$G$151,'MASTER MANIFEST'!$B$3:$B$151,"&gt;=05/01/2021",'MASTER MANIFEST'!$B$3:$B$151,"&lt;=05/31/2021")+T7</f>
        <v>0</v>
      </c>
      <c r="X7" s="26"/>
      <c r="AA7" s="42" t="s">
        <v>53</v>
      </c>
      <c r="AC7" s="43">
        <v>60.0</v>
      </c>
      <c r="AD7" s="37" t="s">
        <v>46</v>
      </c>
      <c r="AE7" s="37" t="s">
        <v>47</v>
      </c>
      <c r="AF7" s="37" t="s">
        <v>43</v>
      </c>
    </row>
    <row r="8">
      <c r="A8" s="42" t="str">
        <f>IFERROR(__xludf.DUMMYFUNCTION("""COMPUTED_VALUE"""),"CL18268")</f>
        <v>CL18268</v>
      </c>
      <c r="B8" s="44" t="s">
        <v>48</v>
      </c>
      <c r="C8" s="43">
        <f>IFERROR(VLOOKUP($A8,DETAIL!$C$4:$M1001,11,FALSE),0)</f>
        <v>437.3066667</v>
      </c>
      <c r="D8" s="45">
        <v>44482.0</v>
      </c>
      <c r="E8" s="35" t="s">
        <v>36</v>
      </c>
      <c r="F8" s="42" t="str">
        <f t="array" ref="F8">INDEX('MASTER MANIFEST'!$D$3:$D1001,MATCH(1,($D8='MASTER MANIFEST'!$B$3:$B1001)*($E8='MASTER MANIFEST'!$C$3:$C1001),0))</f>
        <v>Andrew Novelties LLC (SFBA)</v>
      </c>
      <c r="G8" s="46">
        <f t="array" ref="G8">INDEX('MASTER MANIFEST'!$G$3:$G1001,MATCH(1,($D8='MASTER MANIFEST'!$B$3:$B1001)*($E8='MASTER MANIFEST'!$C$3:$C1001),0))</f>
        <v>1200</v>
      </c>
      <c r="H8" s="46">
        <f t="shared" si="3"/>
        <v>762.6933333</v>
      </c>
      <c r="I8" s="45"/>
      <c r="J8" s="35"/>
      <c r="K8" s="42" t="str">
        <f t="array" ref="K8">INDEX('MASTER MANIFEST'!$D$3:$D1001,MATCH(1,($I8='MASTER MANIFEST'!$B$3:$B1001)*($J8='MASTER MANIFEST'!$C$3:$C1001),0))</f>
        <v/>
      </c>
      <c r="L8" s="43" t="str">
        <f t="array" ref="L8">INDEX('MASTER MANIFEST'!$G$3:$G1001,MATCH(1,($I8='MASTER MANIFEST'!$B$3:$B1001)*($J8='MASTER MANIFEST'!$C$3:$C1001),0))</f>
        <v/>
      </c>
      <c r="M8" s="43">
        <f t="shared" si="4"/>
        <v>0</v>
      </c>
      <c r="N8" s="43">
        <f t="shared" si="5"/>
        <v>0</v>
      </c>
      <c r="O8" s="42">
        <f t="shared" si="6"/>
        <v>0</v>
      </c>
      <c r="Q8" s="29" t="s">
        <v>54</v>
      </c>
      <c r="R8" s="30">
        <f t="shared" si="1"/>
        <v>1</v>
      </c>
      <c r="S8" s="31">
        <f t="shared" si="2"/>
        <v>0</v>
      </c>
      <c r="T8" s="32">
        <f>SUMIFS('MASTER MANIFEST'!$H$3:$H$151,'MASTER MANIFEST'!$B$3:$B$151,"&gt;=06/01/2021",'MASTER MANIFEST'!$B$3:$B$151,"&lt;=06/30/2021")</f>
        <v>0</v>
      </c>
      <c r="U8" s="32">
        <f>-SUMIFS('MASTER MANIFEST'!$G$3:$G$151,'MASTER MANIFEST'!$B$3:$B$151,"&gt;=06/01/2021",'MASTER MANIFEST'!$B$3:$B$151,"&lt;=06/30/2021")+T8</f>
        <v>0</v>
      </c>
      <c r="W8" s="37" t="s">
        <v>47</v>
      </c>
      <c r="X8" s="33"/>
      <c r="Y8" s="37" t="s">
        <v>50</v>
      </c>
    </row>
    <row r="9">
      <c r="A9" s="42" t="str">
        <f>IFERROR(__xludf.DUMMYFUNCTION("""COMPUTED_VALUE"""),"CL18269")</f>
        <v>CL18269</v>
      </c>
      <c r="B9" s="44" t="s">
        <v>48</v>
      </c>
      <c r="C9" s="43">
        <f>IFERROR(VLOOKUP($A9,DETAIL!$C$4:$M1001,11,FALSE),0)</f>
        <v>237.99</v>
      </c>
      <c r="D9" s="45"/>
      <c r="E9" s="35"/>
      <c r="F9" s="42" t="str">
        <f t="array" ref="F9">INDEX('MASTER MANIFEST'!$D$3:$D1001,MATCH(1,($D9='MASTER MANIFEST'!$B$3:$B1001)*($E9='MASTER MANIFEST'!$C$3:$C1001),0))</f>
        <v/>
      </c>
      <c r="G9" s="42" t="str">
        <f t="array" ref="G9">INDEX('MASTER MANIFEST'!$G$3:$G1001,MATCH(1,($D9='MASTER MANIFEST'!$B$3:$B1001)*($E9='MASTER MANIFEST'!$C$3:$C1001),0))</f>
        <v/>
      </c>
      <c r="H9" s="43">
        <f t="shared" si="3"/>
        <v>-237.99</v>
      </c>
      <c r="I9" s="45"/>
      <c r="J9" s="35"/>
      <c r="K9" s="42" t="str">
        <f t="array" ref="K9">INDEX('MASTER MANIFEST'!$D$3:$D1001,MATCH(1,($I9='MASTER MANIFEST'!$B$3:$B1001)*($J9='MASTER MANIFEST'!$C$3:$C1001),0))</f>
        <v/>
      </c>
      <c r="L9" s="43" t="str">
        <f t="array" ref="L9">INDEX('MASTER MANIFEST'!$G$3:$G1001,MATCH(1,($I9='MASTER MANIFEST'!$B$3:$B1001)*($J9='MASTER MANIFEST'!$C$3:$C1001),0))</f>
        <v/>
      </c>
      <c r="M9" s="43">
        <f t="shared" si="4"/>
        <v>0</v>
      </c>
      <c r="N9" s="43">
        <f t="shared" si="5"/>
        <v>0</v>
      </c>
      <c r="O9" s="42">
        <f t="shared" si="6"/>
        <v>0</v>
      </c>
      <c r="Q9" s="29" t="s">
        <v>55</v>
      </c>
      <c r="R9" s="30">
        <f t="shared" si="1"/>
        <v>1</v>
      </c>
      <c r="S9" s="48">
        <f t="shared" si="2"/>
        <v>0</v>
      </c>
      <c r="T9" s="32">
        <f>SUMIFS('MASTER MANIFEST'!$H$3:$H$151,'MASTER MANIFEST'!$B$3:$B$151,"&gt;=07/01/2021",'MASTER MANIFEST'!$B$3:$B$151,"&lt;=07/31/2021")</f>
        <v>0</v>
      </c>
      <c r="U9" s="32">
        <f>-SUMIFS('MASTER MANIFEST'!$G$3:$G$151,'MASTER MANIFEST'!$B$3:$B$151,"&gt;=07/01/2021",'MASTER MANIFEST'!$B$3:$B$151,"&lt;=07/31/2021")+T9</f>
        <v>0</v>
      </c>
      <c r="X9" s="26"/>
      <c r="Z9" s="37" t="s">
        <v>56</v>
      </c>
    </row>
    <row r="10">
      <c r="A10" s="42" t="str">
        <f>IFERROR(__xludf.DUMMYFUNCTION("""COMPUTED_VALUE"""),"CL18270")</f>
        <v>CL18270</v>
      </c>
      <c r="B10" s="44" t="s">
        <v>48</v>
      </c>
      <c r="C10" s="43">
        <f>IFERROR(VLOOKUP($A10,DETAIL!$C$4:$M1001,11,FALSE),0)</f>
        <v>469.7766667</v>
      </c>
      <c r="D10" s="45"/>
      <c r="E10" s="35"/>
      <c r="F10" s="42" t="str">
        <f t="array" ref="F10">INDEX('MASTER MANIFEST'!$D$3:$D1001,MATCH(1,($D10='MASTER MANIFEST'!$B$3:$B1001)*($E10='MASTER MANIFEST'!$C$3:$C1001),0))</f>
        <v/>
      </c>
      <c r="G10" s="42" t="str">
        <f t="array" ref="G10">INDEX('MASTER MANIFEST'!$G$3:$G1001,MATCH(1,($D10='MASTER MANIFEST'!$B$3:$B1001)*($E10='MASTER MANIFEST'!$C$3:$C1001),0))</f>
        <v/>
      </c>
      <c r="H10" s="43">
        <f t="shared" si="3"/>
        <v>-469.7766667</v>
      </c>
      <c r="I10" s="45"/>
      <c r="J10" s="35"/>
      <c r="K10" s="42" t="str">
        <f t="array" ref="K10">INDEX('MASTER MANIFEST'!$D$3:$D1001,MATCH(1,($I10='MASTER MANIFEST'!$B$3:$B1001)*($J10='MASTER MANIFEST'!$C$3:$C1001),0))</f>
        <v/>
      </c>
      <c r="L10" s="43" t="str">
        <f t="array" ref="L10">INDEX('MASTER MANIFEST'!$G$3:$G1001,MATCH(1,($I10='MASTER MANIFEST'!$B$3:$B1001)*($J10='MASTER MANIFEST'!$C$3:$C1001),0))</f>
        <v/>
      </c>
      <c r="M10" s="43">
        <f t="shared" si="4"/>
        <v>0</v>
      </c>
      <c r="N10" s="43">
        <f t="shared" si="5"/>
        <v>0</v>
      </c>
      <c r="O10" s="42">
        <f t="shared" si="6"/>
        <v>0</v>
      </c>
      <c r="Q10" s="29" t="s">
        <v>57</v>
      </c>
      <c r="R10" s="30">
        <f t="shared" si="1"/>
        <v>1</v>
      </c>
      <c r="S10" s="49">
        <f t="shared" si="2"/>
        <v>0</v>
      </c>
      <c r="T10" s="32">
        <f>SUMIFS('MASTER MANIFEST'!$H$3:$H$151,'MASTER MANIFEST'!$B$3:$B$151,"&gt;=08/01/2021",'MASTER MANIFEST'!$B$3:$B$151,"&lt;=08/31/2021")</f>
        <v>0</v>
      </c>
      <c r="U10" s="32">
        <f>-SUMIFS('MASTER MANIFEST'!$G$3:$G$151,'MASTER MANIFEST'!$B$3:$B$151,"&gt;=08/01/2021",'MASTER MANIFEST'!$B$3:$B$151,"&lt;=08/31/2021")+T10</f>
        <v>0</v>
      </c>
      <c r="X10" s="26"/>
    </row>
    <row r="11">
      <c r="A11" s="42" t="str">
        <f>IFERROR(__xludf.DUMMYFUNCTION("""COMPUTED_VALUE"""),"CL18271")</f>
        <v>CL18271</v>
      </c>
      <c r="B11" s="44" t="s">
        <v>48</v>
      </c>
      <c r="C11" s="43">
        <f>IFERROR(VLOOKUP($A11,DETAIL!$C$4:$M1001,11,FALSE),0)</f>
        <v>60</v>
      </c>
      <c r="D11" s="45">
        <v>44482.0</v>
      </c>
      <c r="E11" s="35" t="s">
        <v>36</v>
      </c>
      <c r="F11" s="42" t="str">
        <f t="array" ref="F11">INDEX('MASTER MANIFEST'!$D$3:$D1001,MATCH(1,($D11='MASTER MANIFEST'!$B$3:$B1001)*($E11='MASTER MANIFEST'!$C$3:$C1001),0))</f>
        <v>Andrew Novelties LLC (SFBA)</v>
      </c>
      <c r="G11" s="46">
        <f t="array" ref="G11">INDEX('MASTER MANIFEST'!$G$3:$G1001,MATCH(1,($D11='MASTER MANIFEST'!$B$3:$B1001)*($E11='MASTER MANIFEST'!$C$3:$C1001),0))</f>
        <v>1200</v>
      </c>
      <c r="H11" s="46">
        <f t="shared" si="3"/>
        <v>1140</v>
      </c>
      <c r="I11" s="45"/>
      <c r="J11" s="35"/>
      <c r="K11" s="42" t="str">
        <f t="array" ref="K11">INDEX('MASTER MANIFEST'!$D$3:$D1001,MATCH(1,($I11='MASTER MANIFEST'!$B$3:$B1001)*($J11='MASTER MANIFEST'!$C$3:$C1001),0))</f>
        <v/>
      </c>
      <c r="L11" s="43" t="str">
        <f t="array" ref="L11">INDEX('MASTER MANIFEST'!$G$3:$G1001,MATCH(1,($I11='MASTER MANIFEST'!$B$3:$B1001)*($J11='MASTER MANIFEST'!$C$3:$C1001),0))</f>
        <v/>
      </c>
      <c r="M11" s="43">
        <f t="shared" si="4"/>
        <v>0</v>
      </c>
      <c r="N11" s="43">
        <f t="shared" si="5"/>
        <v>0</v>
      </c>
      <c r="O11" s="42">
        <f t="shared" si="6"/>
        <v>0</v>
      </c>
      <c r="Q11" s="29" t="s">
        <v>58</v>
      </c>
      <c r="R11" s="30">
        <f t="shared" si="1"/>
        <v>1</v>
      </c>
      <c r="S11" s="49">
        <f t="shared" si="2"/>
        <v>0</v>
      </c>
      <c r="T11" s="32">
        <f>SUMIFS('MASTER MANIFEST'!$H$3:$H$151,'MASTER MANIFEST'!$B$3:$B$151,"&gt;=09/01/2021",'MASTER MANIFEST'!$B$3:$B$151,"&lt;=09/30/2021")</f>
        <v>0</v>
      </c>
      <c r="U11" s="32">
        <f>-SUMIFS('MASTER MANIFEST'!$G$3:$G$151,'MASTER MANIFEST'!$B$3:$B$151,"&gt;=09/01/2021",'MASTER MANIFEST'!$B$3:$B$151,"&lt;=09/30/2021")+T11</f>
        <v>-26500</v>
      </c>
      <c r="W11" s="37" t="s">
        <v>47</v>
      </c>
      <c r="X11" s="33"/>
      <c r="Y11" s="37" t="s">
        <v>50</v>
      </c>
    </row>
    <row r="12">
      <c r="A12" s="42" t="str">
        <f>IFERROR(__xludf.DUMMYFUNCTION("""COMPUTED_VALUE"""),"CL18272")</f>
        <v>CL18272</v>
      </c>
      <c r="B12" s="44" t="s">
        <v>48</v>
      </c>
      <c r="C12" s="43">
        <f>IFERROR(VLOOKUP($A12,DETAIL!$C$4:$M1001,11,FALSE),0)</f>
        <v>273.3166667</v>
      </c>
      <c r="D12" s="45">
        <v>44482.0</v>
      </c>
      <c r="E12" s="35" t="s">
        <v>36</v>
      </c>
      <c r="F12" s="42" t="str">
        <f t="array" ref="F12">INDEX('MASTER MANIFEST'!$D$3:$D1001,MATCH(1,($D12='MASTER MANIFEST'!$B$3:$B1001)*($E12='MASTER MANIFEST'!$C$3:$C1001),0))</f>
        <v>Andrew Novelties LLC (SFBA)</v>
      </c>
      <c r="G12" s="46">
        <f t="array" ref="G12">INDEX('MASTER MANIFEST'!$G$3:$G1001,MATCH(1,($D12='MASTER MANIFEST'!$B$3:$B1001)*($E12='MASTER MANIFEST'!$C$3:$C1001),0))</f>
        <v>1200</v>
      </c>
      <c r="H12" s="46">
        <f t="shared" si="3"/>
        <v>926.6833333</v>
      </c>
      <c r="I12" s="45"/>
      <c r="J12" s="35"/>
      <c r="K12" s="42" t="str">
        <f t="array" ref="K12">INDEX('MASTER MANIFEST'!$D$3:$D1001,MATCH(1,($I12='MASTER MANIFEST'!$B$3:$B1001)*($J12='MASTER MANIFEST'!$C$3:$C1001),0))</f>
        <v/>
      </c>
      <c r="L12" s="43" t="str">
        <f t="array" ref="L12">INDEX('MASTER MANIFEST'!$G$3:$G1001,MATCH(1,($I12='MASTER MANIFEST'!$B$3:$B1001)*($J12='MASTER MANIFEST'!$C$3:$C1001),0))</f>
        <v/>
      </c>
      <c r="M12" s="43">
        <f t="shared" si="4"/>
        <v>0</v>
      </c>
      <c r="N12" s="43">
        <f t="shared" si="5"/>
        <v>0</v>
      </c>
      <c r="O12" s="42">
        <f t="shared" si="6"/>
        <v>0</v>
      </c>
      <c r="Q12" s="29" t="s">
        <v>59</v>
      </c>
      <c r="R12" s="30">
        <f t="shared" si="1"/>
        <v>1</v>
      </c>
      <c r="S12" s="49">
        <f t="shared" si="2"/>
        <v>0</v>
      </c>
      <c r="T12" s="32">
        <f>SUMIFS('MASTER MANIFEST'!$H$3:$H$151,'MASTER MANIFEST'!$B$3:$B$151,"&gt;=10/01/2021",'MASTER MANIFEST'!$B$3:$B$151,"&lt;=10/31/2021")</f>
        <v>0</v>
      </c>
      <c r="U12" s="32">
        <f>-SUMIFS('MASTER MANIFEST'!$G$3:$G$151,'MASTER MANIFEST'!$B$3:$B$151,"&gt;=10/01/2021",'MASTER MANIFEST'!$B$3:$B$151,"&lt;=10/31/2021")+T12</f>
        <v>-223185.3</v>
      </c>
      <c r="W12" s="37" t="s">
        <v>47</v>
      </c>
      <c r="X12" s="33"/>
      <c r="Y12" s="37" t="s">
        <v>50</v>
      </c>
    </row>
    <row r="13">
      <c r="A13" s="42" t="str">
        <f>IFERROR(__xludf.DUMMYFUNCTION("""COMPUTED_VALUE"""),"CL18273")</f>
        <v>CL18273</v>
      </c>
      <c r="B13" s="44" t="s">
        <v>48</v>
      </c>
      <c r="C13" s="43">
        <f>IFERROR(VLOOKUP($A13,DETAIL!$C$4:$M1001,11,FALSE),0)</f>
        <v>363.98</v>
      </c>
      <c r="D13" s="45"/>
      <c r="E13" s="35"/>
      <c r="F13" s="42" t="str">
        <f t="array" ref="F13">INDEX('MASTER MANIFEST'!$D$3:$D1001,MATCH(1,($D13='MASTER MANIFEST'!$B$3:$B1001)*($E13='MASTER MANIFEST'!$C$3:$C1001),0))</f>
        <v/>
      </c>
      <c r="G13" s="42" t="str">
        <f t="array" ref="G13">INDEX('MASTER MANIFEST'!$G$3:$G1001,MATCH(1,($D13='MASTER MANIFEST'!$B$3:$B1001)*($E13='MASTER MANIFEST'!$C$3:$C1001),0))</f>
        <v/>
      </c>
      <c r="H13" s="43">
        <f t="shared" si="3"/>
        <v>-363.98</v>
      </c>
      <c r="I13" s="45"/>
      <c r="J13" s="35"/>
      <c r="K13" s="42" t="str">
        <f t="array" ref="K13">INDEX('MASTER MANIFEST'!$D$3:$D1001,MATCH(1,($I13='MASTER MANIFEST'!$B$3:$B1001)*($J13='MASTER MANIFEST'!$C$3:$C1001),0))</f>
        <v/>
      </c>
      <c r="L13" s="43" t="str">
        <f t="array" ref="L13">INDEX('MASTER MANIFEST'!$G$3:$G1001,MATCH(1,($I13='MASTER MANIFEST'!$B$3:$B1001)*($J13='MASTER MANIFEST'!$C$3:$C1001),0))</f>
        <v/>
      </c>
      <c r="M13" s="43">
        <f t="shared" si="4"/>
        <v>0</v>
      </c>
      <c r="N13" s="43">
        <f t="shared" si="5"/>
        <v>0</v>
      </c>
      <c r="O13" s="42">
        <f t="shared" si="6"/>
        <v>0</v>
      </c>
      <c r="Q13" s="29" t="s">
        <v>60</v>
      </c>
      <c r="R13" s="30">
        <f t="shared" si="1"/>
        <v>1</v>
      </c>
      <c r="S13" s="49">
        <f t="shared" si="2"/>
        <v>0</v>
      </c>
      <c r="T13" s="32">
        <f>SUMIFS('MASTER MANIFEST'!$H$3:$H$151,'MASTER MANIFEST'!$B$3:$B$151,"&gt;=11/01/2021",'MASTER MANIFEST'!$B$3:$B$151,"&lt;=11/30/2021")</f>
        <v>0</v>
      </c>
      <c r="U13" s="32">
        <f>-SUMIFS('MASTER MANIFEST'!$G$3:$G$151,'MASTER MANIFEST'!$B$3:$B$151,"&gt;=11/01/2021",'MASTER MANIFEST'!$B$3:$B$151,"&lt;=11/30/2021")+T13</f>
        <v>-278336</v>
      </c>
      <c r="X13" s="26"/>
    </row>
    <row r="14">
      <c r="A14" s="42" t="str">
        <f>IFERROR(__xludf.DUMMYFUNCTION("""COMPUTED_VALUE"""),"CL18274")</f>
        <v>CL18274</v>
      </c>
      <c r="B14" s="44" t="s">
        <v>42</v>
      </c>
      <c r="C14" s="43">
        <f>IFERROR(VLOOKUP($A14,DETAIL!$C$4:$M1001,11,FALSE),0)</f>
        <v>324.99</v>
      </c>
      <c r="D14" s="45"/>
      <c r="E14" s="35"/>
      <c r="F14" s="42" t="str">
        <f t="array" ref="F14">INDEX('MASTER MANIFEST'!$D$3:$D1001,MATCH(1,($D14='MASTER MANIFEST'!$B$3:$B1001)*($E14='MASTER MANIFEST'!$C$3:$C1001),0))</f>
        <v/>
      </c>
      <c r="G14" s="42" t="str">
        <f t="array" ref="G14">INDEX('MASTER MANIFEST'!$G$3:$G1001,MATCH(1,($D14='MASTER MANIFEST'!$B$3:$B1001)*($E14='MASTER MANIFEST'!$C$3:$C1001),0))</f>
        <v/>
      </c>
      <c r="H14" s="43">
        <f t="shared" si="3"/>
        <v>-324.99</v>
      </c>
      <c r="I14" s="45"/>
      <c r="J14" s="35"/>
      <c r="K14" s="42" t="str">
        <f t="array" ref="K14">INDEX('MASTER MANIFEST'!$D$3:$D1001,MATCH(1,($I14='MASTER MANIFEST'!$B$3:$B1001)*($J14='MASTER MANIFEST'!$C$3:$C1001),0))</f>
        <v/>
      </c>
      <c r="L14" s="43" t="str">
        <f t="array" ref="L14">INDEX('MASTER MANIFEST'!$G$3:$G1001,MATCH(1,($I14='MASTER MANIFEST'!$B$3:$B1001)*($J14='MASTER MANIFEST'!$C$3:$C1001),0))</f>
        <v/>
      </c>
      <c r="M14" s="43">
        <f t="shared" si="4"/>
        <v>0</v>
      </c>
      <c r="N14" s="43">
        <f t="shared" si="5"/>
        <v>0</v>
      </c>
      <c r="O14" s="42">
        <f t="shared" si="6"/>
        <v>0</v>
      </c>
      <c r="Q14" s="29" t="s">
        <v>61</v>
      </c>
      <c r="R14" s="30">
        <f t="shared" si="1"/>
        <v>1</v>
      </c>
      <c r="S14" s="49">
        <f t="shared" si="2"/>
        <v>0</v>
      </c>
      <c r="T14" s="32">
        <f>SUMIFS('MASTER MANIFEST'!$H$3:$H$151,'MASTER MANIFEST'!$B$3:$B$151,"&gt;=12/01/2021",'MASTER MANIFEST'!$B$3:$B$151,"&lt;=12/31/2021")</f>
        <v>0</v>
      </c>
      <c r="U14" s="32">
        <f>-SUMIFS('MASTER MANIFEST'!$G$3:$G$151,'MASTER MANIFEST'!$B$3:$B$151,"&gt;=12/01/2021",'MASTER MANIFEST'!$B$3:$B$151,"&lt;=12/31/2021")+T14</f>
        <v>-172930</v>
      </c>
      <c r="W14" s="37" t="s">
        <v>62</v>
      </c>
      <c r="X14" s="26"/>
      <c r="AB14" s="37" t="s">
        <v>63</v>
      </c>
      <c r="AC14" s="37" t="s">
        <v>64</v>
      </c>
    </row>
    <row r="15">
      <c r="A15" s="42" t="str">
        <f>IFERROR(__xludf.DUMMYFUNCTION("""COMPUTED_VALUE"""),"CL18710")</f>
        <v>CL18710</v>
      </c>
      <c r="B15" s="44" t="s">
        <v>48</v>
      </c>
      <c r="C15" s="43">
        <f>IFERROR(VLOOKUP($A15,DETAIL!$C$4:$M1001,11,FALSE),0)</f>
        <v>25</v>
      </c>
      <c r="D15" s="45"/>
      <c r="E15" s="35"/>
      <c r="F15" s="42" t="str">
        <f t="array" ref="F15">INDEX('MASTER MANIFEST'!$D$3:$D1001,MATCH(1,($D15='MASTER MANIFEST'!$B$3:$B1001)*($E15='MASTER MANIFEST'!$C$3:$C1001),0))</f>
        <v/>
      </c>
      <c r="G15" s="42" t="str">
        <f t="array" ref="G15">INDEX('MASTER MANIFEST'!$G$3:$G1001,MATCH(1,($D15='MASTER MANIFEST'!$B$3:$B1001)*($E15='MASTER MANIFEST'!$C$3:$C1001),0))</f>
        <v/>
      </c>
      <c r="H15" s="43">
        <f t="shared" si="3"/>
        <v>-25</v>
      </c>
      <c r="I15" s="45"/>
      <c r="J15" s="35"/>
      <c r="K15" s="42" t="str">
        <f t="array" ref="K15">INDEX('MASTER MANIFEST'!$D$3:$D1001,MATCH(1,($I15='MASTER MANIFEST'!$B$3:$B1001)*($J15='MASTER MANIFEST'!$C$3:$C1001),0))</f>
        <v/>
      </c>
      <c r="L15" s="43" t="str">
        <f t="array" ref="L15">INDEX('MASTER MANIFEST'!$G$3:$G1001,MATCH(1,($I15='MASTER MANIFEST'!$B$3:$B1001)*($J15='MASTER MANIFEST'!$C$3:$C1001),0))</f>
        <v/>
      </c>
      <c r="M15" s="43">
        <f t="shared" si="4"/>
        <v>0</v>
      </c>
      <c r="N15" s="43">
        <f t="shared" si="5"/>
        <v>0</v>
      </c>
      <c r="O15" s="42">
        <f t="shared" si="6"/>
        <v>0</v>
      </c>
      <c r="T15" s="50">
        <f t="shared" ref="T15:U15" si="7">SUM(T3:T14)</f>
        <v>0</v>
      </c>
      <c r="U15" s="50">
        <f t="shared" si="7"/>
        <v>-700951.3</v>
      </c>
      <c r="X15" s="26"/>
      <c r="AB15" s="37" t="s">
        <v>65</v>
      </c>
      <c r="AC15" s="37" t="s">
        <v>64</v>
      </c>
    </row>
    <row r="16">
      <c r="A16" s="42" t="str">
        <f>IFERROR(__xludf.DUMMYFUNCTION("""COMPUTED_VALUE"""),"CL187101")</f>
        <v>CL187101</v>
      </c>
      <c r="B16" s="44" t="s">
        <v>48</v>
      </c>
      <c r="C16" s="43">
        <f>IFERROR(VLOOKUP($A16,DETAIL!$C$4:$M1001,11,FALSE),0)</f>
        <v>359.66</v>
      </c>
      <c r="D16" s="45"/>
      <c r="E16" s="35"/>
      <c r="F16" s="42" t="str">
        <f t="array" ref="F16">INDEX('MASTER MANIFEST'!$D$3:$D1001,MATCH(1,($D16='MASTER MANIFEST'!$B$3:$B1001)*($E16='MASTER MANIFEST'!$C$3:$C1001),0))</f>
        <v/>
      </c>
      <c r="G16" s="42" t="str">
        <f t="array" ref="G16">INDEX('MASTER MANIFEST'!$G$3:$G1001,MATCH(1,($D16='MASTER MANIFEST'!$B$3:$B1001)*($E16='MASTER MANIFEST'!$C$3:$C1001),0))</f>
        <v/>
      </c>
      <c r="H16" s="43">
        <f t="shared" si="3"/>
        <v>-359.66</v>
      </c>
      <c r="I16" s="45"/>
      <c r="J16" s="35"/>
      <c r="K16" s="42" t="str">
        <f t="array" ref="K16">INDEX('MASTER MANIFEST'!$D$3:$D1001,MATCH(1,($I16='MASTER MANIFEST'!$B$3:$B1001)*($J16='MASTER MANIFEST'!$C$3:$C1001),0))</f>
        <v/>
      </c>
      <c r="L16" s="43" t="str">
        <f t="array" ref="L16">INDEX('MASTER MANIFEST'!$G$3:$G1001,MATCH(1,($I16='MASTER MANIFEST'!$B$3:$B1001)*($J16='MASTER MANIFEST'!$C$3:$C1001),0))</f>
        <v/>
      </c>
      <c r="M16" s="43">
        <f t="shared" si="4"/>
        <v>0</v>
      </c>
      <c r="N16" s="43">
        <f t="shared" si="5"/>
        <v>0</v>
      </c>
      <c r="O16" s="42">
        <f t="shared" si="6"/>
        <v>0</v>
      </c>
      <c r="X16" s="26"/>
      <c r="AB16" s="37" t="s">
        <v>66</v>
      </c>
      <c r="AC16" s="37" t="s">
        <v>64</v>
      </c>
    </row>
    <row r="17">
      <c r="A17" s="42" t="str">
        <f>IFERROR(__xludf.DUMMYFUNCTION("""COMPUTED_VALUE"""),"CL18770")</f>
        <v>CL18770</v>
      </c>
      <c r="B17" s="44" t="s">
        <v>48</v>
      </c>
      <c r="C17" s="43">
        <f>IFERROR(VLOOKUP($A17,DETAIL!$C$4:$M1001,11,FALSE),0)</f>
        <v>278.9966667</v>
      </c>
      <c r="D17" s="45"/>
      <c r="E17" s="35"/>
      <c r="F17" s="42" t="str">
        <f t="array" ref="F17">INDEX('MASTER MANIFEST'!$D$3:$D1001,MATCH(1,($D17='MASTER MANIFEST'!$B$3:$B1001)*($E17='MASTER MANIFEST'!$C$3:$C1001),0))</f>
        <v/>
      </c>
      <c r="G17" s="42" t="str">
        <f t="array" ref="G17">INDEX('MASTER MANIFEST'!$G$3:$G1001,MATCH(1,($D17='MASTER MANIFEST'!$B$3:$B1001)*($E17='MASTER MANIFEST'!$C$3:$C1001),0))</f>
        <v/>
      </c>
      <c r="H17" s="43">
        <f t="shared" si="3"/>
        <v>-278.9966667</v>
      </c>
      <c r="I17" s="45"/>
      <c r="J17" s="35"/>
      <c r="K17" s="42" t="str">
        <f t="array" ref="K17">INDEX('MASTER MANIFEST'!$D$3:$D1001,MATCH(1,($I17='MASTER MANIFEST'!$B$3:$B1001)*($J17='MASTER MANIFEST'!$C$3:$C1001),0))</f>
        <v/>
      </c>
      <c r="L17" s="43" t="str">
        <f t="array" ref="L17">INDEX('MASTER MANIFEST'!$G$3:$G1001,MATCH(1,($I17='MASTER MANIFEST'!$B$3:$B1001)*($J17='MASTER MANIFEST'!$C$3:$C1001),0))</f>
        <v/>
      </c>
      <c r="M17" s="43">
        <f t="shared" si="4"/>
        <v>0</v>
      </c>
      <c r="N17" s="43">
        <f t="shared" si="5"/>
        <v>0</v>
      </c>
      <c r="O17" s="42">
        <f t="shared" si="6"/>
        <v>0</v>
      </c>
      <c r="Q17" s="51" t="s">
        <v>67</v>
      </c>
      <c r="X17" s="26"/>
    </row>
    <row r="18">
      <c r="A18" s="42" t="str">
        <f>IFERROR(__xludf.DUMMYFUNCTION("""COMPUTED_VALUE"""),"CL18771")</f>
        <v>CL18771</v>
      </c>
      <c r="B18" s="44" t="s">
        <v>48</v>
      </c>
      <c r="C18" s="43">
        <f>IFERROR(VLOOKUP($A18,DETAIL!$C$4:$M1001,11,FALSE),0)</f>
        <v>380.6666667</v>
      </c>
      <c r="D18" s="45"/>
      <c r="E18" s="35"/>
      <c r="F18" s="42" t="str">
        <f t="array" ref="F18">INDEX('MASTER MANIFEST'!$D$3:$D1001,MATCH(1,($D18='MASTER MANIFEST'!$B$3:$B1001)*($E18='MASTER MANIFEST'!$C$3:$C1001),0))</f>
        <v/>
      </c>
      <c r="G18" s="42" t="str">
        <f t="array" ref="G18">INDEX('MASTER MANIFEST'!$G$3:$G1001,MATCH(1,($D18='MASTER MANIFEST'!$B$3:$B1001)*($E18='MASTER MANIFEST'!$C$3:$C1001),0))</f>
        <v/>
      </c>
      <c r="H18" s="43">
        <f t="shared" si="3"/>
        <v>-380.6666667</v>
      </c>
      <c r="I18" s="45"/>
      <c r="J18" s="35"/>
      <c r="K18" s="42" t="str">
        <f t="array" ref="K18">INDEX('MASTER MANIFEST'!$D$3:$D1001,MATCH(1,($I18='MASTER MANIFEST'!$B$3:$B1001)*($J18='MASTER MANIFEST'!$C$3:$C1001),0))</f>
        <v/>
      </c>
      <c r="L18" s="43" t="str">
        <f t="array" ref="L18">INDEX('MASTER MANIFEST'!$G$3:$G1001,MATCH(1,($I18='MASTER MANIFEST'!$B$3:$B1001)*($J18='MASTER MANIFEST'!$C$3:$C1001),0))</f>
        <v/>
      </c>
      <c r="M18" s="43">
        <f t="shared" si="4"/>
        <v>0</v>
      </c>
      <c r="N18" s="43">
        <f t="shared" si="5"/>
        <v>0</v>
      </c>
      <c r="O18" s="42">
        <f t="shared" si="6"/>
        <v>0</v>
      </c>
      <c r="Q18" s="24" t="s">
        <v>23</v>
      </c>
      <c r="R18" s="24" t="s">
        <v>24</v>
      </c>
      <c r="S18" s="25" t="s">
        <v>25</v>
      </c>
      <c r="T18" s="24" t="s">
        <v>15</v>
      </c>
      <c r="U18" s="24" t="s">
        <v>26</v>
      </c>
      <c r="V18" s="24" t="s">
        <v>68</v>
      </c>
      <c r="X18" s="26"/>
    </row>
    <row r="19">
      <c r="A19" s="42" t="str">
        <f>IFERROR(__xludf.DUMMYFUNCTION("""COMPUTED_VALUE"""),"CL18772")</f>
        <v>CL18772</v>
      </c>
      <c r="B19" s="44" t="s">
        <v>48</v>
      </c>
      <c r="C19" s="43">
        <f>IFERROR(VLOOKUP($A19,DETAIL!$C$4:$M1001,11,FALSE),0)</f>
        <v>59</v>
      </c>
      <c r="D19" s="45"/>
      <c r="E19" s="35"/>
      <c r="F19" s="42" t="str">
        <f t="array" ref="F19">INDEX('MASTER MANIFEST'!$D$3:$D1001,MATCH(1,($D19='MASTER MANIFEST'!$B$3:$B1001)*($E19='MASTER MANIFEST'!$C$3:$C1001),0))</f>
        <v/>
      </c>
      <c r="G19" s="42" t="str">
        <f t="array" ref="G19">INDEX('MASTER MANIFEST'!$G$3:$G1001,MATCH(1,($D19='MASTER MANIFEST'!$B$3:$B1001)*($E19='MASTER MANIFEST'!$C$3:$C1001),0))</f>
        <v/>
      </c>
      <c r="H19" s="43">
        <f t="shared" si="3"/>
        <v>-59</v>
      </c>
      <c r="I19" s="45"/>
      <c r="J19" s="35"/>
      <c r="K19" s="42" t="str">
        <f t="array" ref="K19">INDEX('MASTER MANIFEST'!$D$3:$D1001,MATCH(1,($I19='MASTER MANIFEST'!$B$3:$B1001)*($J19='MASTER MANIFEST'!$C$3:$C1001),0))</f>
        <v/>
      </c>
      <c r="L19" s="43" t="str">
        <f t="array" ref="L19">INDEX('MASTER MANIFEST'!$G$3:$G1001,MATCH(1,($I19='MASTER MANIFEST'!$B$3:$B1001)*($J19='MASTER MANIFEST'!$C$3:$C1001),0))</f>
        <v/>
      </c>
      <c r="M19" s="43">
        <f t="shared" si="4"/>
        <v>0</v>
      </c>
      <c r="N19" s="43">
        <f t="shared" si="5"/>
        <v>0</v>
      </c>
      <c r="O19" s="42">
        <f t="shared" si="6"/>
        <v>0</v>
      </c>
      <c r="Q19" s="29" t="s">
        <v>33</v>
      </c>
      <c r="R19" s="30">
        <f t="shared" ref="R19:R30" si="8">IF(S19&gt;100%,0,100%-S19)</f>
        <v>1</v>
      </c>
      <c r="S19" s="31">
        <f t="shared" ref="S19:S30" si="9">IFERROR(U19/T19,0)</f>
        <v>0</v>
      </c>
      <c r="T19" s="32">
        <f>SUMIFS('MASTER MANIFEST'!$H$3:$H$151,'MASTER MANIFEST'!$B$3:$B$151,"&gt;=01/01/2021",'MASTER MANIFEST'!$B$3:$B$151,"&lt;=01/31/2021")</f>
        <v>0</v>
      </c>
      <c r="U19" s="32">
        <f>SUMIFS($C$5:$C$500,$D$5:$D$500,"&gt;=01/01/2021",$D$5:$D$500,"&lt;=01/31/2021")+U3</f>
        <v>0</v>
      </c>
      <c r="V19" s="52">
        <f t="shared" ref="V19:V30" si="10">R19-R3</f>
        <v>0</v>
      </c>
      <c r="X19" s="26"/>
    </row>
    <row r="20">
      <c r="A20" s="42" t="str">
        <f>IFERROR(__xludf.DUMMYFUNCTION("""COMPUTED_VALUE"""),"CL18773")</f>
        <v>CL18773</v>
      </c>
      <c r="B20" s="44" t="s">
        <v>48</v>
      </c>
      <c r="C20" s="43">
        <f>IFERROR(VLOOKUP($A20,DETAIL!$C$4:$M1001,11,FALSE),0)</f>
        <v>631.6633333</v>
      </c>
      <c r="D20" s="45"/>
      <c r="E20" s="35"/>
      <c r="F20" s="42" t="str">
        <f t="array" ref="F20">INDEX('MASTER MANIFEST'!$D$3:$D1001,MATCH(1,($D20='MASTER MANIFEST'!$B$3:$B1001)*($E20='MASTER MANIFEST'!$C$3:$C1001),0))</f>
        <v/>
      </c>
      <c r="G20" s="42" t="str">
        <f t="array" ref="G20">INDEX('MASTER MANIFEST'!$G$3:$G1001,MATCH(1,($D20='MASTER MANIFEST'!$B$3:$B1001)*($E20='MASTER MANIFEST'!$C$3:$C1001),0))</f>
        <v/>
      </c>
      <c r="H20" s="43">
        <f t="shared" si="3"/>
        <v>-631.6633333</v>
      </c>
      <c r="I20" s="45"/>
      <c r="J20" s="35"/>
      <c r="K20" s="42" t="str">
        <f t="array" ref="K20">INDEX('MASTER MANIFEST'!$D$3:$D1001,MATCH(1,($I20='MASTER MANIFEST'!$B$3:$B1001)*($J20='MASTER MANIFEST'!$C$3:$C1001),0))</f>
        <v/>
      </c>
      <c r="L20" s="43" t="str">
        <f t="array" ref="L20">INDEX('MASTER MANIFEST'!$G$3:$G1001,MATCH(1,($I20='MASTER MANIFEST'!$B$3:$B1001)*($J20='MASTER MANIFEST'!$C$3:$C1001),0))</f>
        <v/>
      </c>
      <c r="M20" s="43">
        <f t="shared" si="4"/>
        <v>0</v>
      </c>
      <c r="N20" s="43">
        <f t="shared" si="5"/>
        <v>0</v>
      </c>
      <c r="O20" s="42">
        <f t="shared" si="6"/>
        <v>0</v>
      </c>
      <c r="Q20" s="29" t="s">
        <v>39</v>
      </c>
      <c r="R20" s="30">
        <f t="shared" si="8"/>
        <v>1</v>
      </c>
      <c r="S20" s="31">
        <f t="shared" si="9"/>
        <v>0</v>
      </c>
      <c r="T20" s="32">
        <f>SUMIFS('MASTER MANIFEST'!$H$3:$H$151,'MASTER MANIFEST'!$B$3:$B$151,"&gt;=02/01/2021",'MASTER MANIFEST'!$B$3:$B$151,"&lt;=02/28/2021")</f>
        <v>0</v>
      </c>
      <c r="U20" s="32">
        <f>SUMIFS($C$5:$C$500,$D$5:$D$500,"&gt;=02/01/2021",$D$5:$D$500,"&lt;=02/28/2021")+U4</f>
        <v>0</v>
      </c>
      <c r="V20" s="52">
        <f t="shared" si="10"/>
        <v>0</v>
      </c>
      <c r="X20" s="26"/>
    </row>
    <row r="21">
      <c r="A21" s="42" t="str">
        <f>IFERROR(__xludf.DUMMYFUNCTION("""COMPUTED_VALUE"""),"CL18774")</f>
        <v>CL18774</v>
      </c>
      <c r="B21" s="44" t="s">
        <v>48</v>
      </c>
      <c r="C21" s="43">
        <f>IFERROR(VLOOKUP($A21,DETAIL!$C$4:$M1001,11,FALSE),0)</f>
        <v>362.3333333</v>
      </c>
      <c r="D21" s="45"/>
      <c r="E21" s="35"/>
      <c r="F21" s="42" t="str">
        <f t="array" ref="F21">INDEX('MASTER MANIFEST'!$D$3:$D1001,MATCH(1,($D21='MASTER MANIFEST'!$B$3:$B1001)*($E21='MASTER MANIFEST'!$C$3:$C1001),0))</f>
        <v/>
      </c>
      <c r="G21" s="42" t="str">
        <f t="array" ref="G21">INDEX('MASTER MANIFEST'!$G$3:$G1001,MATCH(1,($D21='MASTER MANIFEST'!$B$3:$B1001)*($E21='MASTER MANIFEST'!$C$3:$C1001),0))</f>
        <v/>
      </c>
      <c r="H21" s="43">
        <f t="shared" si="3"/>
        <v>-362.3333333</v>
      </c>
      <c r="I21" s="45"/>
      <c r="J21" s="35"/>
      <c r="K21" s="42" t="str">
        <f t="array" ref="K21">INDEX('MASTER MANIFEST'!$D$3:$D1001,MATCH(1,($I21='MASTER MANIFEST'!$B$3:$B1001)*($J21='MASTER MANIFEST'!$C$3:$C1001),0))</f>
        <v/>
      </c>
      <c r="L21" s="43" t="str">
        <f t="array" ref="L21">INDEX('MASTER MANIFEST'!$G$3:$G1001,MATCH(1,($I21='MASTER MANIFEST'!$B$3:$B1001)*($J21='MASTER MANIFEST'!$C$3:$C1001),0))</f>
        <v/>
      </c>
      <c r="M21" s="43">
        <f t="shared" si="4"/>
        <v>0</v>
      </c>
      <c r="N21" s="43">
        <f t="shared" si="5"/>
        <v>0</v>
      </c>
      <c r="O21" s="42">
        <f t="shared" si="6"/>
        <v>0</v>
      </c>
      <c r="Q21" s="29" t="s">
        <v>44</v>
      </c>
      <c r="R21" s="30">
        <f t="shared" si="8"/>
        <v>1</v>
      </c>
      <c r="S21" s="31">
        <f t="shared" si="9"/>
        <v>0</v>
      </c>
      <c r="T21" s="32">
        <f>SUMIFS('MASTER MANIFEST'!$H$3:$H$151,'MASTER MANIFEST'!$B$3:$B$151,"&gt;=03/01/2021",'MASTER MANIFEST'!$B$3:$B$151,"&lt;=03/31/2021")</f>
        <v>0</v>
      </c>
      <c r="U21" s="32">
        <f>SUMIFS($C$5:$C$500,$D$5:$D$500,"&gt;=03/01/2021",$D$5:$D$500,"&lt;=03/31/2021")+U5</f>
        <v>0</v>
      </c>
      <c r="V21" s="52">
        <f t="shared" si="10"/>
        <v>0</v>
      </c>
      <c r="X21" s="26"/>
    </row>
    <row r="22">
      <c r="A22" s="42" t="str">
        <f>IFERROR(__xludf.DUMMYFUNCTION("""COMPUTED_VALUE"""),"CL18775")</f>
        <v>CL18775</v>
      </c>
      <c r="B22" s="44" t="s">
        <v>48</v>
      </c>
      <c r="C22" s="43">
        <f>IFERROR(VLOOKUP($A22,DETAIL!$C$4:$M1001,11,FALSE),0)</f>
        <v>277.6666667</v>
      </c>
      <c r="D22" s="45"/>
      <c r="E22" s="35"/>
      <c r="F22" s="42" t="str">
        <f t="array" ref="F22">INDEX('MASTER MANIFEST'!$D$3:$D1001,MATCH(1,($D22='MASTER MANIFEST'!$B$3:$B1001)*($E22='MASTER MANIFEST'!$C$3:$C1001),0))</f>
        <v/>
      </c>
      <c r="G22" s="42" t="str">
        <f t="array" ref="G22">INDEX('MASTER MANIFEST'!$G$3:$G1001,MATCH(1,($D22='MASTER MANIFEST'!$B$3:$B1001)*($E22='MASTER MANIFEST'!$C$3:$C1001),0))</f>
        <v/>
      </c>
      <c r="H22" s="43">
        <f t="shared" si="3"/>
        <v>-277.6666667</v>
      </c>
      <c r="I22" s="45"/>
      <c r="J22" s="35"/>
      <c r="K22" s="42" t="str">
        <f t="array" ref="K22">INDEX('MASTER MANIFEST'!$D$3:$D1001,MATCH(1,($I22='MASTER MANIFEST'!$B$3:$B1001)*($J22='MASTER MANIFEST'!$C$3:$C1001),0))</f>
        <v/>
      </c>
      <c r="L22" s="43" t="str">
        <f t="array" ref="L22">INDEX('MASTER MANIFEST'!$G$3:$G1001,MATCH(1,($I22='MASTER MANIFEST'!$B$3:$B1001)*($J22='MASTER MANIFEST'!$C$3:$C1001),0))</f>
        <v/>
      </c>
      <c r="M22" s="43">
        <f t="shared" si="4"/>
        <v>0</v>
      </c>
      <c r="N22" s="43">
        <f t="shared" si="5"/>
        <v>0</v>
      </c>
      <c r="O22" s="42">
        <f t="shared" si="6"/>
        <v>0</v>
      </c>
      <c r="Q22" s="29" t="s">
        <v>49</v>
      </c>
      <c r="R22" s="30">
        <f t="shared" si="8"/>
        <v>1</v>
      </c>
      <c r="S22" s="31">
        <f t="shared" si="9"/>
        <v>0</v>
      </c>
      <c r="T22" s="32">
        <f>SUMIFS('MASTER MANIFEST'!$H$3:$H$151,'MASTER MANIFEST'!$B$3:$B$151,"&gt;=04/01/2021",'MASTER MANIFEST'!$B$3:$B$151,"&lt;=04/30/2021")</f>
        <v>0</v>
      </c>
      <c r="U22" s="32">
        <f>SUMIFS($C$5:$C$500,$D$5:$D$500,"&gt;=04/01/2021",$D$5:$D$500,"&lt;=04/30/2021")+U6</f>
        <v>0</v>
      </c>
      <c r="V22" s="52">
        <f t="shared" si="10"/>
        <v>0</v>
      </c>
      <c r="X22" s="26"/>
    </row>
    <row r="23">
      <c r="A23" s="42" t="str">
        <f>IFERROR(__xludf.DUMMYFUNCTION("""COMPUTED_VALUE"""),"CL18776")</f>
        <v>CL18776</v>
      </c>
      <c r="B23" s="44" t="s">
        <v>48</v>
      </c>
      <c r="C23" s="43">
        <f>IFERROR(VLOOKUP($A23,DETAIL!$C$4:$M1001,11,FALSE),0)</f>
        <v>168.9333333</v>
      </c>
      <c r="D23" s="45"/>
      <c r="E23" s="35"/>
      <c r="F23" s="42" t="str">
        <f t="array" ref="F23">INDEX('MASTER MANIFEST'!$D$3:$D1001,MATCH(1,($D23='MASTER MANIFEST'!$B$3:$B1001)*($E23='MASTER MANIFEST'!$C$3:$C1001),0))</f>
        <v/>
      </c>
      <c r="G23" s="42" t="str">
        <f t="array" ref="G23">INDEX('MASTER MANIFEST'!$G$3:$G1001,MATCH(1,($D23='MASTER MANIFEST'!$B$3:$B1001)*($E23='MASTER MANIFEST'!$C$3:$C1001),0))</f>
        <v/>
      </c>
      <c r="H23" s="43">
        <f t="shared" si="3"/>
        <v>-168.9333333</v>
      </c>
      <c r="I23" s="45"/>
      <c r="J23" s="35"/>
      <c r="K23" s="42" t="str">
        <f t="array" ref="K23">INDEX('MASTER MANIFEST'!$D$3:$D1001,MATCH(1,($I23='MASTER MANIFEST'!$B$3:$B1001)*($J23='MASTER MANIFEST'!$C$3:$C1001),0))</f>
        <v/>
      </c>
      <c r="L23" s="43" t="str">
        <f t="array" ref="L23">INDEX('MASTER MANIFEST'!$G$3:$G1001,MATCH(1,($I23='MASTER MANIFEST'!$B$3:$B1001)*($J23='MASTER MANIFEST'!$C$3:$C1001),0))</f>
        <v/>
      </c>
      <c r="M23" s="43">
        <f t="shared" si="4"/>
        <v>0</v>
      </c>
      <c r="N23" s="43">
        <f t="shared" si="5"/>
        <v>0</v>
      </c>
      <c r="O23" s="42">
        <f t="shared" si="6"/>
        <v>0</v>
      </c>
      <c r="Q23" s="29" t="s">
        <v>52</v>
      </c>
      <c r="R23" s="30">
        <f t="shared" si="8"/>
        <v>1</v>
      </c>
      <c r="S23" s="31">
        <f t="shared" si="9"/>
        <v>0</v>
      </c>
      <c r="T23" s="32">
        <f>SUMIFS('MASTER MANIFEST'!$H$3:$H$151,'MASTER MANIFEST'!$B$3:$B$151,"&gt;=05/01/2021",'MASTER MANIFEST'!$B$3:$B$151,"&lt;=05/31/2021")</f>
        <v>0</v>
      </c>
      <c r="U23" s="32">
        <f>SUMIFS($C$5:$C$500,$D$5:$D$500,"&gt;=05/01/2021",$D$5:$D$500,"&lt;=05/31/2021")+U7</f>
        <v>0</v>
      </c>
      <c r="V23" s="52">
        <f t="shared" si="10"/>
        <v>0</v>
      </c>
      <c r="X23" s="26"/>
    </row>
    <row r="24">
      <c r="A24" s="42" t="str">
        <f>IFERROR(__xludf.DUMMYFUNCTION("""COMPUTED_VALUE"""),"CL18777")</f>
        <v>CL18777</v>
      </c>
      <c r="B24" s="44" t="s">
        <v>48</v>
      </c>
      <c r="C24" s="43">
        <f>IFERROR(VLOOKUP($A24,DETAIL!$C$4:$M1001,11,FALSE),0)</f>
        <v>126.6666667</v>
      </c>
      <c r="D24" s="45"/>
      <c r="E24" s="35"/>
      <c r="F24" s="42" t="str">
        <f t="array" ref="F24">INDEX('MASTER MANIFEST'!$D$3:$D1001,MATCH(1,($D24='MASTER MANIFEST'!$B$3:$B1001)*($E24='MASTER MANIFEST'!$C$3:$C1001),0))</f>
        <v/>
      </c>
      <c r="G24" s="42" t="str">
        <f t="array" ref="G24">INDEX('MASTER MANIFEST'!$G$3:$G1001,MATCH(1,($D24='MASTER MANIFEST'!$B$3:$B1001)*($E24='MASTER MANIFEST'!$C$3:$C1001),0))</f>
        <v/>
      </c>
      <c r="H24" s="43">
        <f t="shared" si="3"/>
        <v>-126.6666667</v>
      </c>
      <c r="I24" s="45"/>
      <c r="J24" s="35"/>
      <c r="K24" s="42" t="str">
        <f t="array" ref="K24">INDEX('MASTER MANIFEST'!$D$3:$D1001,MATCH(1,($I24='MASTER MANIFEST'!$B$3:$B1001)*($J24='MASTER MANIFEST'!$C$3:$C1001),0))</f>
        <v/>
      </c>
      <c r="L24" s="43" t="str">
        <f t="array" ref="L24">INDEX('MASTER MANIFEST'!$G$3:$G1001,MATCH(1,($I24='MASTER MANIFEST'!$B$3:$B1001)*($J24='MASTER MANIFEST'!$C$3:$C1001),0))</f>
        <v/>
      </c>
      <c r="M24" s="43">
        <f t="shared" si="4"/>
        <v>0</v>
      </c>
      <c r="N24" s="43">
        <f t="shared" si="5"/>
        <v>0</v>
      </c>
      <c r="O24" s="42">
        <f t="shared" si="6"/>
        <v>0</v>
      </c>
      <c r="Q24" s="29" t="s">
        <v>54</v>
      </c>
      <c r="R24" s="30">
        <f t="shared" si="8"/>
        <v>1</v>
      </c>
      <c r="S24" s="31">
        <f t="shared" si="9"/>
        <v>0</v>
      </c>
      <c r="T24" s="32">
        <f>SUMIFS('MASTER MANIFEST'!$H$3:$H$151,'MASTER MANIFEST'!$B$3:$B$151,"&gt;=06/01/2021",'MASTER MANIFEST'!$B$3:$B$151,"&lt;=06/30/2021")</f>
        <v>0</v>
      </c>
      <c r="U24" s="32">
        <f>SUMIFS($C$5:$C$500,$D$5:$D$500,"&gt;=06/01/2021",$D$5:$D$500,"&lt;=06/30/2021")+U8</f>
        <v>0</v>
      </c>
      <c r="V24" s="52">
        <f t="shared" si="10"/>
        <v>0</v>
      </c>
      <c r="X24" s="26"/>
    </row>
    <row r="25">
      <c r="A25" s="42" t="str">
        <f>IFERROR(__xludf.DUMMYFUNCTION("""COMPUTED_VALUE"""),"CL18778")</f>
        <v>CL18778</v>
      </c>
      <c r="B25" s="44" t="s">
        <v>48</v>
      </c>
      <c r="C25" s="43">
        <f>IFERROR(VLOOKUP($A25,DETAIL!$C$4:$M1001,11,FALSE),0)</f>
        <v>359.4333333</v>
      </c>
      <c r="D25" s="45"/>
      <c r="E25" s="35"/>
      <c r="F25" s="42" t="str">
        <f t="array" ref="F25">INDEX('MASTER MANIFEST'!$D$3:$D1001,MATCH(1,($D25='MASTER MANIFEST'!$B$3:$B1001)*($E25='MASTER MANIFEST'!$C$3:$C1001),0))</f>
        <v/>
      </c>
      <c r="G25" s="42" t="str">
        <f t="array" ref="G25">INDEX('MASTER MANIFEST'!$G$3:$G1001,MATCH(1,($D25='MASTER MANIFEST'!$B$3:$B1001)*($E25='MASTER MANIFEST'!$C$3:$C1001),0))</f>
        <v/>
      </c>
      <c r="H25" s="43">
        <f t="shared" si="3"/>
        <v>-359.4333333</v>
      </c>
      <c r="I25" s="45"/>
      <c r="J25" s="35"/>
      <c r="K25" s="42" t="str">
        <f t="array" ref="K25">INDEX('MASTER MANIFEST'!$D$3:$D1001,MATCH(1,($I25='MASTER MANIFEST'!$B$3:$B1001)*($J25='MASTER MANIFEST'!$C$3:$C1001),0))</f>
        <v/>
      </c>
      <c r="L25" s="43" t="str">
        <f t="array" ref="L25">INDEX('MASTER MANIFEST'!$G$3:$G1001,MATCH(1,($I25='MASTER MANIFEST'!$B$3:$B1001)*($J25='MASTER MANIFEST'!$C$3:$C1001),0))</f>
        <v/>
      </c>
      <c r="M25" s="43">
        <f t="shared" si="4"/>
        <v>0</v>
      </c>
      <c r="N25" s="43">
        <f t="shared" si="5"/>
        <v>0</v>
      </c>
      <c r="O25" s="42">
        <f t="shared" si="6"/>
        <v>0</v>
      </c>
      <c r="Q25" s="29" t="s">
        <v>55</v>
      </c>
      <c r="R25" s="30">
        <f t="shared" si="8"/>
        <v>1</v>
      </c>
      <c r="S25" s="48">
        <f t="shared" si="9"/>
        <v>0</v>
      </c>
      <c r="T25" s="32">
        <f>SUMIFS('MASTER MANIFEST'!$H$3:$H$151,'MASTER MANIFEST'!$B$3:$B$151,"&gt;=07/01/2021",'MASTER MANIFEST'!$B$3:$B$151,"&lt;=07/31/2021")</f>
        <v>0</v>
      </c>
      <c r="U25" s="32">
        <f>SUMIFS($C$5:$C$500,$D$5:$D$500,"&gt;=07/01/2021",$D$5:$D$500,"&lt;=07/31/2021")+U9</f>
        <v>0</v>
      </c>
      <c r="V25" s="52">
        <f t="shared" si="10"/>
        <v>0</v>
      </c>
      <c r="X25" s="26"/>
    </row>
    <row r="26">
      <c r="A26" s="42" t="str">
        <f>IFERROR(__xludf.DUMMYFUNCTION("""COMPUTED_VALUE"""),"CL18779")</f>
        <v>CL18779</v>
      </c>
      <c r="B26" s="44" t="s">
        <v>48</v>
      </c>
      <c r="C26" s="43">
        <f>IFERROR(VLOOKUP($A26,DETAIL!$C$4:$M1001,11,FALSE),0)</f>
        <v>130.3333333</v>
      </c>
      <c r="D26" s="45"/>
      <c r="E26" s="35"/>
      <c r="F26" s="42" t="str">
        <f t="array" ref="F26">INDEX('MASTER MANIFEST'!$D$3:$D1001,MATCH(1,($D26='MASTER MANIFEST'!$B$3:$B1001)*($E26='MASTER MANIFEST'!$C$3:$C1001),0))</f>
        <v/>
      </c>
      <c r="G26" s="42" t="str">
        <f t="array" ref="G26">INDEX('MASTER MANIFEST'!$G$3:$G1001,MATCH(1,($D26='MASTER MANIFEST'!$B$3:$B1001)*($E26='MASTER MANIFEST'!$C$3:$C1001),0))</f>
        <v/>
      </c>
      <c r="H26" s="43">
        <f t="shared" si="3"/>
        <v>-130.3333333</v>
      </c>
      <c r="I26" s="45"/>
      <c r="J26" s="35"/>
      <c r="K26" s="42" t="str">
        <f t="array" ref="K26">INDEX('MASTER MANIFEST'!$D$3:$D1001,MATCH(1,($I26='MASTER MANIFEST'!$B$3:$B1001)*($J26='MASTER MANIFEST'!$C$3:$C1001),0))</f>
        <v/>
      </c>
      <c r="L26" s="43" t="str">
        <f t="array" ref="L26">INDEX('MASTER MANIFEST'!$G$3:$G1001,MATCH(1,($I26='MASTER MANIFEST'!$B$3:$B1001)*($J26='MASTER MANIFEST'!$C$3:$C1001),0))</f>
        <v/>
      </c>
      <c r="M26" s="43">
        <f t="shared" si="4"/>
        <v>0</v>
      </c>
      <c r="N26" s="43">
        <f t="shared" si="5"/>
        <v>0</v>
      </c>
      <c r="O26" s="42">
        <f t="shared" si="6"/>
        <v>0</v>
      </c>
      <c r="Q26" s="29" t="s">
        <v>57</v>
      </c>
      <c r="R26" s="30">
        <f t="shared" si="8"/>
        <v>1</v>
      </c>
      <c r="S26" s="49">
        <f t="shared" si="9"/>
        <v>0</v>
      </c>
      <c r="T26" s="32">
        <f>SUMIFS('MASTER MANIFEST'!$H$3:$H$151,'MASTER MANIFEST'!$B$3:$B$151,"&gt;=08/01/2021",'MASTER MANIFEST'!$B$3:$B$151,"&lt;=08/31/2021")</f>
        <v>0</v>
      </c>
      <c r="U26" s="32">
        <f>SUMIFS($C$5:$C$500,$D$5:$D$500,"&gt;=08/01/2021",$D$5:$D$500,"&lt;=08/31/2021")+U10</f>
        <v>0</v>
      </c>
      <c r="V26" s="52">
        <f t="shared" si="10"/>
        <v>0</v>
      </c>
      <c r="X26" s="26"/>
    </row>
    <row r="27">
      <c r="A27" s="42" t="str">
        <f>IFERROR(__xludf.DUMMYFUNCTION("""COMPUTED_VALUE"""),"CL18780")</f>
        <v>CL18780</v>
      </c>
      <c r="B27" s="44" t="s">
        <v>48</v>
      </c>
      <c r="C27" s="43">
        <f>IFERROR(VLOOKUP($A27,DETAIL!$C$4:$M1001,11,FALSE),0)</f>
        <v>74.33333333</v>
      </c>
      <c r="D27" s="45"/>
      <c r="E27" s="35"/>
      <c r="F27" s="42" t="str">
        <f t="array" ref="F27">INDEX('MASTER MANIFEST'!$D$3:$D1001,MATCH(1,($D27='MASTER MANIFEST'!$B$3:$B1001)*($E27='MASTER MANIFEST'!$C$3:$C1001),0))</f>
        <v/>
      </c>
      <c r="G27" s="42" t="str">
        <f t="array" ref="G27">INDEX('MASTER MANIFEST'!$G$3:$G1001,MATCH(1,($D27='MASTER MANIFEST'!$B$3:$B1001)*($E27='MASTER MANIFEST'!$C$3:$C1001),0))</f>
        <v/>
      </c>
      <c r="H27" s="43">
        <f t="shared" si="3"/>
        <v>-74.33333333</v>
      </c>
      <c r="I27" s="45"/>
      <c r="J27" s="35"/>
      <c r="K27" s="42" t="str">
        <f t="array" ref="K27">INDEX('MASTER MANIFEST'!$D$3:$D1001,MATCH(1,($I27='MASTER MANIFEST'!$B$3:$B1001)*($J27='MASTER MANIFEST'!$C$3:$C1001),0))</f>
        <v/>
      </c>
      <c r="L27" s="43" t="str">
        <f t="array" ref="L27">INDEX('MASTER MANIFEST'!$G$3:$G1001,MATCH(1,($I27='MASTER MANIFEST'!$B$3:$B1001)*($J27='MASTER MANIFEST'!$C$3:$C1001),0))</f>
        <v/>
      </c>
      <c r="M27" s="43">
        <f t="shared" si="4"/>
        <v>0</v>
      </c>
      <c r="N27" s="43">
        <f t="shared" si="5"/>
        <v>0</v>
      </c>
      <c r="O27" s="42">
        <f t="shared" si="6"/>
        <v>0</v>
      </c>
      <c r="Q27" s="29" t="s">
        <v>58</v>
      </c>
      <c r="R27" s="30">
        <f t="shared" si="8"/>
        <v>1</v>
      </c>
      <c r="S27" s="49">
        <f t="shared" si="9"/>
        <v>0</v>
      </c>
      <c r="T27" s="32">
        <f>SUMIFS('MASTER MANIFEST'!$H$3:$H$151,'MASTER MANIFEST'!$B$3:$B$151,"&gt;=09/01/2021",'MASTER MANIFEST'!$B$3:$B$151,"&lt;=09/30/2021")</f>
        <v>0</v>
      </c>
      <c r="U27" s="32">
        <f>SUMIFS($C$5:$C$500,$D$5:$D$500,"&gt;=09/01/2021",$D$5:$D$500,"&lt;=09/30/2021")+U11</f>
        <v>-26500</v>
      </c>
      <c r="V27" s="52">
        <f t="shared" si="10"/>
        <v>0</v>
      </c>
      <c r="X27" s="26"/>
    </row>
    <row r="28">
      <c r="A28" s="42" t="str">
        <f>IFERROR(__xludf.DUMMYFUNCTION("""COMPUTED_VALUE"""),"CL18781")</f>
        <v>CL18781</v>
      </c>
      <c r="B28" s="44" t="s">
        <v>48</v>
      </c>
      <c r="C28" s="43">
        <f>IFERROR(VLOOKUP($A28,DETAIL!$C$4:$M1001,11,FALSE),0)</f>
        <v>69.32666667</v>
      </c>
      <c r="D28" s="45"/>
      <c r="E28" s="35"/>
      <c r="F28" s="42" t="str">
        <f t="array" ref="F28">INDEX('MASTER MANIFEST'!$D$3:$D1001,MATCH(1,($D28='MASTER MANIFEST'!$B$3:$B1001)*($E28='MASTER MANIFEST'!$C$3:$C1001),0))</f>
        <v/>
      </c>
      <c r="G28" s="42" t="str">
        <f t="array" ref="G28">INDEX('MASTER MANIFEST'!$G$3:$G1001,MATCH(1,($D28='MASTER MANIFEST'!$B$3:$B1001)*($E28='MASTER MANIFEST'!$C$3:$C1001),0))</f>
        <v/>
      </c>
      <c r="H28" s="43">
        <f t="shared" si="3"/>
        <v>-69.32666667</v>
      </c>
      <c r="I28" s="45"/>
      <c r="J28" s="35"/>
      <c r="K28" s="42" t="str">
        <f t="array" ref="K28">INDEX('MASTER MANIFEST'!$D$3:$D1001,MATCH(1,($I28='MASTER MANIFEST'!$B$3:$B1001)*($J28='MASTER MANIFEST'!$C$3:$C1001),0))</f>
        <v/>
      </c>
      <c r="L28" s="43" t="str">
        <f t="array" ref="L28">INDEX('MASTER MANIFEST'!$G$3:$G1001,MATCH(1,($I28='MASTER MANIFEST'!$B$3:$B1001)*($J28='MASTER MANIFEST'!$C$3:$C1001),0))</f>
        <v/>
      </c>
      <c r="M28" s="43">
        <f t="shared" si="4"/>
        <v>0</v>
      </c>
      <c r="N28" s="43">
        <f t="shared" si="5"/>
        <v>0</v>
      </c>
      <c r="O28" s="42">
        <f t="shared" si="6"/>
        <v>0</v>
      </c>
      <c r="Q28" s="29" t="s">
        <v>59</v>
      </c>
      <c r="R28" s="30">
        <f t="shared" si="8"/>
        <v>1</v>
      </c>
      <c r="S28" s="49">
        <f t="shared" si="9"/>
        <v>0</v>
      </c>
      <c r="T28" s="32">
        <f>SUMIFS('MASTER MANIFEST'!$H$3:$H$151,'MASTER MANIFEST'!$B$3:$B$151,"&gt;=10/01/2021",'MASTER MANIFEST'!$B$3:$B$151,"&lt;=10/31/2021")</f>
        <v>0</v>
      </c>
      <c r="U28" s="32">
        <f>SUMIFS($C$5:$C$500,$D$5:$D$500,"&gt;=10/01/2021",$D$5:$D$500,"&lt;=10/31/2021")+U12</f>
        <v>-221670.7373</v>
      </c>
      <c r="V28" s="52">
        <f t="shared" si="10"/>
        <v>0</v>
      </c>
      <c r="X28" s="26"/>
    </row>
    <row r="29">
      <c r="A29" s="42" t="str">
        <f>IFERROR(__xludf.DUMMYFUNCTION("""COMPUTED_VALUE"""),"CL18782")</f>
        <v>CL18782</v>
      </c>
      <c r="B29" s="44" t="s">
        <v>48</v>
      </c>
      <c r="C29" s="43">
        <f>IFERROR(VLOOKUP($A29,DETAIL!$C$4:$M1001,11,FALSE),0)</f>
        <v>55.66666667</v>
      </c>
      <c r="D29" s="45"/>
      <c r="E29" s="35"/>
      <c r="F29" s="42" t="str">
        <f t="array" ref="F29">INDEX('MASTER MANIFEST'!$D$3:$D1001,MATCH(1,($D29='MASTER MANIFEST'!$B$3:$B1001)*($E29='MASTER MANIFEST'!$C$3:$C1001),0))</f>
        <v/>
      </c>
      <c r="G29" s="42" t="str">
        <f t="array" ref="G29">INDEX('MASTER MANIFEST'!$G$3:$G1001,MATCH(1,($D29='MASTER MANIFEST'!$B$3:$B1001)*($E29='MASTER MANIFEST'!$C$3:$C1001),0))</f>
        <v/>
      </c>
      <c r="H29" s="43">
        <f t="shared" si="3"/>
        <v>-55.66666667</v>
      </c>
      <c r="I29" s="45"/>
      <c r="J29" s="35"/>
      <c r="K29" s="42" t="str">
        <f t="array" ref="K29">INDEX('MASTER MANIFEST'!$D$3:$D1001,MATCH(1,($I29='MASTER MANIFEST'!$B$3:$B1001)*($J29='MASTER MANIFEST'!$C$3:$C1001),0))</f>
        <v/>
      </c>
      <c r="L29" s="43" t="str">
        <f t="array" ref="L29">INDEX('MASTER MANIFEST'!$G$3:$G1001,MATCH(1,($I29='MASTER MANIFEST'!$B$3:$B1001)*($J29='MASTER MANIFEST'!$C$3:$C1001),0))</f>
        <v/>
      </c>
      <c r="M29" s="43">
        <f t="shared" si="4"/>
        <v>0</v>
      </c>
      <c r="N29" s="43">
        <f t="shared" si="5"/>
        <v>0</v>
      </c>
      <c r="O29" s="42">
        <f t="shared" si="6"/>
        <v>0</v>
      </c>
      <c r="Q29" s="29" t="s">
        <v>60</v>
      </c>
      <c r="R29" s="30">
        <f t="shared" si="8"/>
        <v>1</v>
      </c>
      <c r="S29" s="49">
        <f t="shared" si="9"/>
        <v>0</v>
      </c>
      <c r="T29" s="32">
        <f>SUMIFS('MASTER MANIFEST'!$H$3:$H$151,'MASTER MANIFEST'!$B$3:$B$151,"&gt;=11/01/2021",'MASTER MANIFEST'!$B$3:$B$151,"&lt;=11/30/2021")</f>
        <v>0</v>
      </c>
      <c r="U29" s="32">
        <f>SUMIFS($C$5:$C$500,$D$5:$D$500,"&gt;=11/01/2021",$D$5:$D$500,"&lt;=11/30/2021")+U13</f>
        <v>-278336</v>
      </c>
      <c r="V29" s="52">
        <f t="shared" si="10"/>
        <v>0</v>
      </c>
      <c r="X29" s="26"/>
    </row>
    <row r="30">
      <c r="A30" s="42" t="str">
        <f>IFERROR(__xludf.DUMMYFUNCTION("""COMPUTED_VALUE"""),"CL18783")</f>
        <v>CL18783</v>
      </c>
      <c r="B30" s="44" t="s">
        <v>48</v>
      </c>
      <c r="C30" s="43">
        <f>IFERROR(VLOOKUP($A30,DETAIL!$C$4:$M1001,11,FALSE),0)</f>
        <v>94.95</v>
      </c>
      <c r="D30" s="45"/>
      <c r="E30" s="35"/>
      <c r="F30" s="42" t="str">
        <f t="array" ref="F30">INDEX('MASTER MANIFEST'!$D$3:$D1001,MATCH(1,($D30='MASTER MANIFEST'!$B$3:$B1001)*($E30='MASTER MANIFEST'!$C$3:$C1001),0))</f>
        <v/>
      </c>
      <c r="G30" s="42" t="str">
        <f t="array" ref="G30">INDEX('MASTER MANIFEST'!$G$3:$G1001,MATCH(1,($D30='MASTER MANIFEST'!$B$3:$B1001)*($E30='MASTER MANIFEST'!$C$3:$C1001),0))</f>
        <v/>
      </c>
      <c r="H30" s="43">
        <f t="shared" si="3"/>
        <v>-94.95</v>
      </c>
      <c r="I30" s="45"/>
      <c r="J30" s="35"/>
      <c r="K30" s="42" t="str">
        <f t="array" ref="K30">INDEX('MASTER MANIFEST'!$D$3:$D1001,MATCH(1,($I30='MASTER MANIFEST'!$B$3:$B1001)*($J30='MASTER MANIFEST'!$C$3:$C1001),0))</f>
        <v/>
      </c>
      <c r="L30" s="43" t="str">
        <f t="array" ref="L30">INDEX('MASTER MANIFEST'!$G$3:$G1001,MATCH(1,($I30='MASTER MANIFEST'!$B$3:$B1001)*($J30='MASTER MANIFEST'!$C$3:$C1001),0))</f>
        <v/>
      </c>
      <c r="M30" s="43">
        <f t="shared" si="4"/>
        <v>0</v>
      </c>
      <c r="N30" s="43">
        <f t="shared" si="5"/>
        <v>0</v>
      </c>
      <c r="O30" s="42">
        <f t="shared" si="6"/>
        <v>0</v>
      </c>
      <c r="Q30" s="29" t="s">
        <v>61</v>
      </c>
      <c r="R30" s="30">
        <f t="shared" si="8"/>
        <v>1</v>
      </c>
      <c r="S30" s="49">
        <f t="shared" si="9"/>
        <v>0</v>
      </c>
      <c r="T30" s="32">
        <f>SUMIFS('MASTER MANIFEST'!$H$3:$H$151,'MASTER MANIFEST'!$B$3:$B$151,"&gt;=12/01/2021",'MASTER MANIFEST'!$B$3:$B$151,"&lt;=12/31/2021")</f>
        <v>0</v>
      </c>
      <c r="U30" s="32">
        <f>SUMIFS($C$5:$C$500,$D$5:$D$500,"&gt;=12/01/2021",$D$5:$D$500,"&lt;=12/31/2021")+U14</f>
        <v>-172930</v>
      </c>
      <c r="V30" s="52">
        <f t="shared" si="10"/>
        <v>0</v>
      </c>
      <c r="X30" s="26"/>
    </row>
    <row r="31">
      <c r="A31" s="42" t="str">
        <f>IFERROR(__xludf.DUMMYFUNCTION("""COMPUTED_VALUE"""),"CL18784")</f>
        <v>CL18784</v>
      </c>
      <c r="B31" s="44" t="s">
        <v>48</v>
      </c>
      <c r="C31" s="43">
        <f>IFERROR(VLOOKUP($A31,DETAIL!$C$4:$M1001,11,FALSE),0)</f>
        <v>90</v>
      </c>
      <c r="D31" s="45"/>
      <c r="E31" s="35"/>
      <c r="F31" s="42" t="str">
        <f t="array" ref="F31">INDEX('MASTER MANIFEST'!$D$3:$D1001,MATCH(1,($D31='MASTER MANIFEST'!$B$3:$B1001)*($E31='MASTER MANIFEST'!$C$3:$C1001),0))</f>
        <v/>
      </c>
      <c r="G31" s="42" t="str">
        <f t="array" ref="G31">INDEX('MASTER MANIFEST'!$G$3:$G1001,MATCH(1,($D31='MASTER MANIFEST'!$B$3:$B1001)*($E31='MASTER MANIFEST'!$C$3:$C1001),0))</f>
        <v/>
      </c>
      <c r="H31" s="43">
        <f t="shared" si="3"/>
        <v>-90</v>
      </c>
      <c r="I31" s="45"/>
      <c r="J31" s="35"/>
      <c r="K31" s="42" t="str">
        <f t="array" ref="K31">INDEX('MASTER MANIFEST'!$D$3:$D1001,MATCH(1,($I31='MASTER MANIFEST'!$B$3:$B1001)*($J31='MASTER MANIFEST'!$C$3:$C1001),0))</f>
        <v/>
      </c>
      <c r="L31" s="43" t="str">
        <f t="array" ref="L31">INDEX('MASTER MANIFEST'!$G$3:$G1001,MATCH(1,($I31='MASTER MANIFEST'!$B$3:$B1001)*($J31='MASTER MANIFEST'!$C$3:$C1001),0))</f>
        <v/>
      </c>
      <c r="M31" s="43">
        <f t="shared" si="4"/>
        <v>0</v>
      </c>
      <c r="N31" s="43">
        <f t="shared" si="5"/>
        <v>0</v>
      </c>
      <c r="O31" s="42">
        <f t="shared" si="6"/>
        <v>0</v>
      </c>
      <c r="T31" s="50">
        <f t="shared" ref="T31:U31" si="11">SUM(T19:T30)</f>
        <v>0</v>
      </c>
      <c r="U31" s="50">
        <f t="shared" si="11"/>
        <v>-699436.7373</v>
      </c>
      <c r="X31" s="26"/>
    </row>
    <row r="32">
      <c r="A32" s="42" t="str">
        <f>IFERROR(__xludf.DUMMYFUNCTION("""COMPUTED_VALUE"""),"CL18785")</f>
        <v>CL18785</v>
      </c>
      <c r="B32" s="44" t="s">
        <v>48</v>
      </c>
      <c r="C32" s="43">
        <f>IFERROR(VLOOKUP($A32,DETAIL!$C$4:$M1001,11,FALSE),0)</f>
        <v>79.33333333</v>
      </c>
      <c r="D32" s="45"/>
      <c r="E32" s="35"/>
      <c r="F32" s="42" t="str">
        <f t="array" ref="F32">INDEX('MASTER MANIFEST'!$D$3:$D1001,MATCH(1,($D32='MASTER MANIFEST'!$B$3:$B1001)*($E32='MASTER MANIFEST'!$C$3:$C1001),0))</f>
        <v/>
      </c>
      <c r="G32" s="42" t="str">
        <f t="array" ref="G32">INDEX('MASTER MANIFEST'!$G$3:$G1001,MATCH(1,($D32='MASTER MANIFEST'!$B$3:$B1001)*($E32='MASTER MANIFEST'!$C$3:$C1001),0))</f>
        <v/>
      </c>
      <c r="H32" s="43">
        <f t="shared" si="3"/>
        <v>-79.33333333</v>
      </c>
      <c r="I32" s="45"/>
      <c r="J32" s="35"/>
      <c r="K32" s="42" t="str">
        <f t="array" ref="K32">INDEX('MASTER MANIFEST'!$D$3:$D1001,MATCH(1,($I32='MASTER MANIFEST'!$B$3:$B1001)*($J32='MASTER MANIFEST'!$C$3:$C1001),0))</f>
        <v/>
      </c>
      <c r="L32" s="43" t="str">
        <f t="array" ref="L32">INDEX('MASTER MANIFEST'!$G$3:$G1001,MATCH(1,($I32='MASTER MANIFEST'!$B$3:$B1001)*($J32='MASTER MANIFEST'!$C$3:$C1001),0))</f>
        <v/>
      </c>
      <c r="M32" s="43">
        <f t="shared" si="4"/>
        <v>0</v>
      </c>
      <c r="N32" s="43">
        <f t="shared" si="5"/>
        <v>0</v>
      </c>
      <c r="O32" s="42">
        <f t="shared" si="6"/>
        <v>0</v>
      </c>
      <c r="X32" s="26"/>
    </row>
    <row r="33">
      <c r="A33" s="42" t="str">
        <f>IFERROR(__xludf.DUMMYFUNCTION("""COMPUTED_VALUE"""),"CL18786")</f>
        <v>CL18786</v>
      </c>
      <c r="B33" s="44" t="s">
        <v>48</v>
      </c>
      <c r="C33" s="43">
        <f>IFERROR(VLOOKUP($A33,DETAIL!$C$4:$M1001,11,FALSE),0)</f>
        <v>89.96666667</v>
      </c>
      <c r="D33" s="45"/>
      <c r="E33" s="35"/>
      <c r="F33" s="42" t="str">
        <f t="array" ref="F33">INDEX('MASTER MANIFEST'!$D$3:$D1001,MATCH(1,($D33='MASTER MANIFEST'!$B$3:$B1001)*($E33='MASTER MANIFEST'!$C$3:$C1001),0))</f>
        <v/>
      </c>
      <c r="G33" s="42" t="str">
        <f t="array" ref="G33">INDEX('MASTER MANIFEST'!$G$3:$G1001,MATCH(1,($D33='MASTER MANIFEST'!$B$3:$B1001)*($E33='MASTER MANIFEST'!$C$3:$C1001),0))</f>
        <v/>
      </c>
      <c r="H33" s="43">
        <f t="shared" si="3"/>
        <v>-89.96666667</v>
      </c>
      <c r="I33" s="45"/>
      <c r="J33" s="35"/>
      <c r="K33" s="42" t="str">
        <f t="array" ref="K33">INDEX('MASTER MANIFEST'!$D$3:$D1001,MATCH(1,($I33='MASTER MANIFEST'!$B$3:$B1001)*($J33='MASTER MANIFEST'!$C$3:$C1001),0))</f>
        <v/>
      </c>
      <c r="L33" s="43" t="str">
        <f t="array" ref="L33">INDEX('MASTER MANIFEST'!$G$3:$G1001,MATCH(1,($I33='MASTER MANIFEST'!$B$3:$B1001)*($J33='MASTER MANIFEST'!$C$3:$C1001),0))</f>
        <v/>
      </c>
      <c r="M33" s="43">
        <f t="shared" si="4"/>
        <v>0</v>
      </c>
      <c r="N33" s="43">
        <f t="shared" si="5"/>
        <v>0</v>
      </c>
      <c r="O33" s="42">
        <f t="shared" si="6"/>
        <v>0</v>
      </c>
      <c r="X33" s="26"/>
    </row>
    <row r="34">
      <c r="A34" s="42" t="str">
        <f>IFERROR(__xludf.DUMMYFUNCTION("""COMPUTED_VALUE"""),"CL18787")</f>
        <v>CL18787</v>
      </c>
      <c r="B34" s="44" t="s">
        <v>48</v>
      </c>
      <c r="C34" s="43">
        <f>IFERROR(VLOOKUP($A34,DETAIL!$C$4:$M1001,11,FALSE),0)</f>
        <v>108</v>
      </c>
      <c r="D34" s="45"/>
      <c r="E34" s="35"/>
      <c r="F34" s="42" t="str">
        <f t="array" ref="F34">INDEX('MASTER MANIFEST'!$D$3:$D1001,MATCH(1,($D34='MASTER MANIFEST'!$B$3:$B1001)*($E34='MASTER MANIFEST'!$C$3:$C1001),0))</f>
        <v/>
      </c>
      <c r="G34" s="42" t="str">
        <f t="array" ref="G34">INDEX('MASTER MANIFEST'!$G$3:$G1001,MATCH(1,($D34='MASTER MANIFEST'!$B$3:$B1001)*($E34='MASTER MANIFEST'!$C$3:$C1001),0))</f>
        <v/>
      </c>
      <c r="H34" s="43">
        <f t="shared" si="3"/>
        <v>-108</v>
      </c>
      <c r="I34" s="45"/>
      <c r="J34" s="35"/>
      <c r="K34" s="42" t="str">
        <f t="array" ref="K34">INDEX('MASTER MANIFEST'!$D$3:$D1001,MATCH(1,($I34='MASTER MANIFEST'!$B$3:$B1001)*($J34='MASTER MANIFEST'!$C$3:$C1001),0))</f>
        <v/>
      </c>
      <c r="L34" s="43" t="str">
        <f t="array" ref="L34">INDEX('MASTER MANIFEST'!$G$3:$G1001,MATCH(1,($I34='MASTER MANIFEST'!$B$3:$B1001)*($J34='MASTER MANIFEST'!$C$3:$C1001),0))</f>
        <v/>
      </c>
      <c r="M34" s="43">
        <f t="shared" si="4"/>
        <v>0</v>
      </c>
      <c r="N34" s="43">
        <f t="shared" si="5"/>
        <v>0</v>
      </c>
      <c r="O34" s="42">
        <f t="shared" si="6"/>
        <v>0</v>
      </c>
      <c r="X34" s="26"/>
    </row>
    <row r="35">
      <c r="A35" s="42" t="str">
        <f>IFERROR(__xludf.DUMMYFUNCTION("""COMPUTED_VALUE"""),"CL18788")</f>
        <v>CL18788</v>
      </c>
      <c r="B35" s="44" t="s">
        <v>48</v>
      </c>
      <c r="C35" s="43">
        <f>IFERROR(VLOOKUP($A35,DETAIL!$C$4:$M1001,11,FALSE),0)</f>
        <v>128.6666667</v>
      </c>
      <c r="D35" s="45"/>
      <c r="E35" s="35"/>
      <c r="F35" s="42" t="str">
        <f t="array" ref="F35">INDEX('MASTER MANIFEST'!$D$3:$D1001,MATCH(1,($D35='MASTER MANIFEST'!$B$3:$B1001)*($E35='MASTER MANIFEST'!$C$3:$C1001),0))</f>
        <v/>
      </c>
      <c r="G35" s="42" t="str">
        <f t="array" ref="G35">INDEX('MASTER MANIFEST'!$G$3:$G1001,MATCH(1,($D35='MASTER MANIFEST'!$B$3:$B1001)*($E35='MASTER MANIFEST'!$C$3:$C1001),0))</f>
        <v/>
      </c>
      <c r="H35" s="43">
        <f t="shared" si="3"/>
        <v>-128.6666667</v>
      </c>
      <c r="I35" s="45"/>
      <c r="J35" s="35"/>
      <c r="K35" s="42" t="str">
        <f t="array" ref="K35">INDEX('MASTER MANIFEST'!$D$3:$D1001,MATCH(1,($I35='MASTER MANIFEST'!$B$3:$B1001)*($J35='MASTER MANIFEST'!$C$3:$C1001),0))</f>
        <v/>
      </c>
      <c r="L35" s="43" t="str">
        <f t="array" ref="L35">INDEX('MASTER MANIFEST'!$G$3:$G1001,MATCH(1,($I35='MASTER MANIFEST'!$B$3:$B1001)*($J35='MASTER MANIFEST'!$C$3:$C1001),0))</f>
        <v/>
      </c>
      <c r="M35" s="43">
        <f t="shared" si="4"/>
        <v>0</v>
      </c>
      <c r="N35" s="43">
        <f t="shared" si="5"/>
        <v>0</v>
      </c>
      <c r="O35" s="42">
        <f t="shared" si="6"/>
        <v>0</v>
      </c>
      <c r="X35" s="26"/>
    </row>
    <row r="36">
      <c r="A36" s="42" t="str">
        <f>IFERROR(__xludf.DUMMYFUNCTION("""COMPUTED_VALUE"""),"CL18789")</f>
        <v>CL18789</v>
      </c>
      <c r="B36" s="44" t="s">
        <v>48</v>
      </c>
      <c r="C36" s="43">
        <f>IFERROR(VLOOKUP($A36,DETAIL!$C$4:$M1001,11,FALSE),0)</f>
        <v>95.33333333</v>
      </c>
      <c r="D36" s="45"/>
      <c r="E36" s="35"/>
      <c r="F36" s="42" t="str">
        <f t="array" ref="F36">INDEX('MASTER MANIFEST'!$D$3:$D1001,MATCH(1,($D36='MASTER MANIFEST'!$B$3:$B1001)*($E36='MASTER MANIFEST'!$C$3:$C1001),0))</f>
        <v/>
      </c>
      <c r="G36" s="42" t="str">
        <f t="array" ref="G36">INDEX('MASTER MANIFEST'!$G$3:$G1001,MATCH(1,($D36='MASTER MANIFEST'!$B$3:$B1001)*($E36='MASTER MANIFEST'!$C$3:$C1001),0))</f>
        <v/>
      </c>
      <c r="H36" s="43">
        <f t="shared" si="3"/>
        <v>-95.33333333</v>
      </c>
      <c r="I36" s="45"/>
      <c r="J36" s="35"/>
      <c r="K36" s="42" t="str">
        <f t="array" ref="K36">INDEX('MASTER MANIFEST'!$D$3:$D1001,MATCH(1,($I36='MASTER MANIFEST'!$B$3:$B1001)*($J36='MASTER MANIFEST'!$C$3:$C1001),0))</f>
        <v/>
      </c>
      <c r="L36" s="43" t="str">
        <f t="array" ref="L36">INDEX('MASTER MANIFEST'!$G$3:$G1001,MATCH(1,($I36='MASTER MANIFEST'!$B$3:$B1001)*($J36='MASTER MANIFEST'!$C$3:$C1001),0))</f>
        <v/>
      </c>
      <c r="M36" s="43">
        <f t="shared" si="4"/>
        <v>0</v>
      </c>
      <c r="N36" s="43">
        <f t="shared" si="5"/>
        <v>0</v>
      </c>
      <c r="O36" s="42">
        <f t="shared" si="6"/>
        <v>0</v>
      </c>
      <c r="X36" s="26"/>
    </row>
    <row r="37">
      <c r="A37" s="42" t="str">
        <f>IFERROR(__xludf.DUMMYFUNCTION("""COMPUTED_VALUE"""),"CL18790")</f>
        <v>CL18790</v>
      </c>
      <c r="B37" s="44" t="s">
        <v>48</v>
      </c>
      <c r="C37" s="43">
        <f>IFERROR(VLOOKUP($A37,DETAIL!$C$4:$M1001,11,FALSE),0)</f>
        <v>76.64</v>
      </c>
      <c r="D37" s="45"/>
      <c r="E37" s="35"/>
      <c r="F37" s="42" t="str">
        <f t="array" ref="F37">INDEX('MASTER MANIFEST'!$D$3:$D1001,MATCH(1,($D37='MASTER MANIFEST'!$B$3:$B1001)*($E37='MASTER MANIFEST'!$C$3:$C1001),0))</f>
        <v/>
      </c>
      <c r="G37" s="42" t="str">
        <f t="array" ref="G37">INDEX('MASTER MANIFEST'!$G$3:$G1001,MATCH(1,($D37='MASTER MANIFEST'!$B$3:$B1001)*($E37='MASTER MANIFEST'!$C$3:$C1001),0))</f>
        <v/>
      </c>
      <c r="H37" s="43">
        <f t="shared" si="3"/>
        <v>-76.64</v>
      </c>
      <c r="I37" s="45"/>
      <c r="J37" s="35"/>
      <c r="K37" s="42" t="str">
        <f t="array" ref="K37">INDEX('MASTER MANIFEST'!$D$3:$D1001,MATCH(1,($I37='MASTER MANIFEST'!$B$3:$B1001)*($J37='MASTER MANIFEST'!$C$3:$C1001),0))</f>
        <v/>
      </c>
      <c r="L37" s="43" t="str">
        <f t="array" ref="L37">INDEX('MASTER MANIFEST'!$G$3:$G1001,MATCH(1,($I37='MASTER MANIFEST'!$B$3:$B1001)*($J37='MASTER MANIFEST'!$C$3:$C1001),0))</f>
        <v/>
      </c>
      <c r="M37" s="43">
        <f t="shared" si="4"/>
        <v>0</v>
      </c>
      <c r="N37" s="43">
        <f t="shared" si="5"/>
        <v>0</v>
      </c>
      <c r="O37" s="42">
        <f t="shared" si="6"/>
        <v>0</v>
      </c>
      <c r="X37" s="26"/>
    </row>
    <row r="38">
      <c r="A38" s="42" t="str">
        <f>IFERROR(__xludf.DUMMYFUNCTION("""COMPUTED_VALUE"""),"CL18791")</f>
        <v>CL18791</v>
      </c>
      <c r="B38" s="44" t="s">
        <v>48</v>
      </c>
      <c r="C38" s="43">
        <f>IFERROR(VLOOKUP($A38,DETAIL!$C$4:$M1001,11,FALSE),0)</f>
        <v>45</v>
      </c>
      <c r="D38" s="45"/>
      <c r="E38" s="35"/>
      <c r="F38" s="42" t="str">
        <f t="array" ref="F38">INDEX('MASTER MANIFEST'!$D$3:$D1001,MATCH(1,($D38='MASTER MANIFEST'!$B$3:$B1001)*($E38='MASTER MANIFEST'!$C$3:$C1001),0))</f>
        <v/>
      </c>
      <c r="G38" s="42" t="str">
        <f t="array" ref="G38">INDEX('MASTER MANIFEST'!$G$3:$G1001,MATCH(1,($D38='MASTER MANIFEST'!$B$3:$B1001)*($E38='MASTER MANIFEST'!$C$3:$C1001),0))</f>
        <v/>
      </c>
      <c r="H38" s="43">
        <f t="shared" si="3"/>
        <v>-45</v>
      </c>
      <c r="I38" s="45"/>
      <c r="J38" s="35"/>
      <c r="K38" s="42" t="str">
        <f t="array" ref="K38">INDEX('MASTER MANIFEST'!$D$3:$D1001,MATCH(1,($I38='MASTER MANIFEST'!$B$3:$B1001)*($J38='MASTER MANIFEST'!$C$3:$C1001),0))</f>
        <v/>
      </c>
      <c r="L38" s="43" t="str">
        <f t="array" ref="L38">INDEX('MASTER MANIFEST'!$G$3:$G1001,MATCH(1,($I38='MASTER MANIFEST'!$B$3:$B1001)*($J38='MASTER MANIFEST'!$C$3:$C1001),0))</f>
        <v/>
      </c>
      <c r="M38" s="43">
        <f t="shared" si="4"/>
        <v>0</v>
      </c>
      <c r="N38" s="43">
        <f t="shared" si="5"/>
        <v>0</v>
      </c>
      <c r="O38" s="42">
        <f t="shared" si="6"/>
        <v>0</v>
      </c>
      <c r="X38" s="26"/>
    </row>
    <row r="39">
      <c r="A39" s="42" t="str">
        <f>IFERROR(__xludf.DUMMYFUNCTION("""COMPUTED_VALUE"""),"CL18792")</f>
        <v>CL18792</v>
      </c>
      <c r="B39" s="44" t="s">
        <v>48</v>
      </c>
      <c r="C39" s="43">
        <f>IFERROR(VLOOKUP($A39,DETAIL!$C$4:$M1001,11,FALSE),0)</f>
        <v>21.66666667</v>
      </c>
      <c r="D39" s="45"/>
      <c r="E39" s="35"/>
      <c r="F39" s="42" t="str">
        <f t="array" ref="F39">INDEX('MASTER MANIFEST'!$D$3:$D1001,MATCH(1,($D39='MASTER MANIFEST'!$B$3:$B1001)*($E39='MASTER MANIFEST'!$C$3:$C1001),0))</f>
        <v/>
      </c>
      <c r="G39" s="42" t="str">
        <f t="array" ref="G39">INDEX('MASTER MANIFEST'!$G$3:$G1001,MATCH(1,($D39='MASTER MANIFEST'!$B$3:$B1001)*($E39='MASTER MANIFEST'!$C$3:$C1001),0))</f>
        <v/>
      </c>
      <c r="H39" s="43">
        <f t="shared" si="3"/>
        <v>-21.66666667</v>
      </c>
      <c r="I39" s="45"/>
      <c r="J39" s="35"/>
      <c r="K39" s="42" t="str">
        <f t="array" ref="K39">INDEX('MASTER MANIFEST'!$D$3:$D1001,MATCH(1,($I39='MASTER MANIFEST'!$B$3:$B1001)*($J39='MASTER MANIFEST'!$C$3:$C1001),0))</f>
        <v/>
      </c>
      <c r="L39" s="43" t="str">
        <f t="array" ref="L39">INDEX('MASTER MANIFEST'!$G$3:$G1001,MATCH(1,($I39='MASTER MANIFEST'!$B$3:$B1001)*($J39='MASTER MANIFEST'!$C$3:$C1001),0))</f>
        <v/>
      </c>
      <c r="M39" s="43">
        <f t="shared" si="4"/>
        <v>0</v>
      </c>
      <c r="N39" s="43">
        <f t="shared" si="5"/>
        <v>0</v>
      </c>
      <c r="O39" s="42">
        <f t="shared" si="6"/>
        <v>0</v>
      </c>
      <c r="X39" s="26"/>
    </row>
    <row r="40">
      <c r="A40" s="42" t="str">
        <f>IFERROR(__xludf.DUMMYFUNCTION("""COMPUTED_VALUE"""),"CL18793")</f>
        <v>CL18793</v>
      </c>
      <c r="B40" s="44" t="s">
        <v>48</v>
      </c>
      <c r="C40" s="43">
        <f>IFERROR(VLOOKUP($A40,DETAIL!$C$4:$M1001,11,FALSE),0)</f>
        <v>33.33333333</v>
      </c>
      <c r="D40" s="45"/>
      <c r="E40" s="35"/>
      <c r="F40" s="42" t="str">
        <f t="array" ref="F40">INDEX('MASTER MANIFEST'!$D$3:$D1001,MATCH(1,($D40='MASTER MANIFEST'!$B$3:$B1001)*($E40='MASTER MANIFEST'!$C$3:$C1001),0))</f>
        <v/>
      </c>
      <c r="G40" s="42" t="str">
        <f t="array" ref="G40">INDEX('MASTER MANIFEST'!$G$3:$G1001,MATCH(1,($D40='MASTER MANIFEST'!$B$3:$B1001)*($E40='MASTER MANIFEST'!$C$3:$C1001),0))</f>
        <v/>
      </c>
      <c r="H40" s="43">
        <f t="shared" si="3"/>
        <v>-33.33333333</v>
      </c>
      <c r="I40" s="45"/>
      <c r="J40" s="35"/>
      <c r="K40" s="42" t="str">
        <f t="array" ref="K40">INDEX('MASTER MANIFEST'!$D$3:$D1001,MATCH(1,($I40='MASTER MANIFEST'!$B$3:$B1001)*($J40='MASTER MANIFEST'!$C$3:$C1001),0))</f>
        <v/>
      </c>
      <c r="L40" s="43" t="str">
        <f t="array" ref="L40">INDEX('MASTER MANIFEST'!$G$3:$G1001,MATCH(1,($I40='MASTER MANIFEST'!$B$3:$B1001)*($J40='MASTER MANIFEST'!$C$3:$C1001),0))</f>
        <v/>
      </c>
      <c r="M40" s="43">
        <f t="shared" si="4"/>
        <v>0</v>
      </c>
      <c r="N40" s="43">
        <f t="shared" si="5"/>
        <v>0</v>
      </c>
      <c r="O40" s="42">
        <f t="shared" si="6"/>
        <v>0</v>
      </c>
      <c r="X40" s="26"/>
    </row>
    <row r="41">
      <c r="A41" s="42" t="str">
        <f>IFERROR(__xludf.DUMMYFUNCTION("""COMPUTED_VALUE"""),"CL18794")</f>
        <v>CL18794</v>
      </c>
      <c r="B41" s="44" t="s">
        <v>48</v>
      </c>
      <c r="C41" s="43">
        <f>IFERROR(VLOOKUP($A41,DETAIL!$C$4:$M1001,11,FALSE),0)</f>
        <v>46.65</v>
      </c>
      <c r="D41" s="45"/>
      <c r="E41" s="35"/>
      <c r="F41" s="42" t="str">
        <f t="array" ref="F41">INDEX('MASTER MANIFEST'!$D$3:$D1001,MATCH(1,($D41='MASTER MANIFEST'!$B$3:$B1001)*($E41='MASTER MANIFEST'!$C$3:$C1001),0))</f>
        <v/>
      </c>
      <c r="G41" s="42" t="str">
        <f t="array" ref="G41">INDEX('MASTER MANIFEST'!$G$3:$G1001,MATCH(1,($D41='MASTER MANIFEST'!$B$3:$B1001)*($E41='MASTER MANIFEST'!$C$3:$C1001),0))</f>
        <v/>
      </c>
      <c r="H41" s="43">
        <f t="shared" si="3"/>
        <v>-46.65</v>
      </c>
      <c r="I41" s="45"/>
      <c r="J41" s="35"/>
      <c r="K41" s="42" t="str">
        <f t="array" ref="K41">INDEX('MASTER MANIFEST'!$D$3:$D1001,MATCH(1,($I41='MASTER MANIFEST'!$B$3:$B1001)*($J41='MASTER MANIFEST'!$C$3:$C1001),0))</f>
        <v/>
      </c>
      <c r="L41" s="43" t="str">
        <f t="array" ref="L41">INDEX('MASTER MANIFEST'!$G$3:$G1001,MATCH(1,($I41='MASTER MANIFEST'!$B$3:$B1001)*($J41='MASTER MANIFEST'!$C$3:$C1001),0))</f>
        <v/>
      </c>
      <c r="M41" s="43">
        <f t="shared" si="4"/>
        <v>0</v>
      </c>
      <c r="N41" s="43">
        <f t="shared" si="5"/>
        <v>0</v>
      </c>
      <c r="O41" s="42">
        <f t="shared" si="6"/>
        <v>0</v>
      </c>
      <c r="X41" s="26"/>
    </row>
    <row r="42">
      <c r="A42" s="42" t="str">
        <f>IFERROR(__xludf.DUMMYFUNCTION("""COMPUTED_VALUE"""),"CL18795")</f>
        <v>CL18795</v>
      </c>
      <c r="B42" s="44" t="s">
        <v>48</v>
      </c>
      <c r="C42" s="43">
        <f>IFERROR(VLOOKUP($A42,DETAIL!$C$4:$M1001,11,FALSE),0)</f>
        <v>100</v>
      </c>
      <c r="D42" s="45"/>
      <c r="E42" s="35"/>
      <c r="F42" s="42" t="str">
        <f t="array" ref="F42">INDEX('MASTER MANIFEST'!$D$3:$D1001,MATCH(1,($D42='MASTER MANIFEST'!$B$3:$B1001)*($E42='MASTER MANIFEST'!$C$3:$C1001),0))</f>
        <v/>
      </c>
      <c r="G42" s="42" t="str">
        <f t="array" ref="G42">INDEX('MASTER MANIFEST'!$G$3:$G1001,MATCH(1,($D42='MASTER MANIFEST'!$B$3:$B1001)*($E42='MASTER MANIFEST'!$C$3:$C1001),0))</f>
        <v/>
      </c>
      <c r="H42" s="43">
        <f t="shared" si="3"/>
        <v>-100</v>
      </c>
      <c r="I42" s="45"/>
      <c r="J42" s="35"/>
      <c r="K42" s="42" t="str">
        <f t="array" ref="K42">INDEX('MASTER MANIFEST'!$D$3:$D1001,MATCH(1,($I42='MASTER MANIFEST'!$B$3:$B1001)*($J42='MASTER MANIFEST'!$C$3:$C1001),0))</f>
        <v/>
      </c>
      <c r="L42" s="43" t="str">
        <f t="array" ref="L42">INDEX('MASTER MANIFEST'!$G$3:$G1001,MATCH(1,($I42='MASTER MANIFEST'!$B$3:$B1001)*($J42='MASTER MANIFEST'!$C$3:$C1001),0))</f>
        <v/>
      </c>
      <c r="M42" s="43">
        <f t="shared" si="4"/>
        <v>0</v>
      </c>
      <c r="N42" s="43">
        <f t="shared" si="5"/>
        <v>0</v>
      </c>
      <c r="O42" s="42">
        <f t="shared" si="6"/>
        <v>0</v>
      </c>
      <c r="X42" s="26"/>
    </row>
    <row r="43">
      <c r="A43" s="42" t="str">
        <f>IFERROR(__xludf.DUMMYFUNCTION("""COMPUTED_VALUE"""),"CL18796")</f>
        <v>CL18796</v>
      </c>
      <c r="B43" s="44" t="s">
        <v>48</v>
      </c>
      <c r="C43" s="43">
        <f>IFERROR(VLOOKUP($A43,DETAIL!$C$4:$M1001,11,FALSE),0)</f>
        <v>238</v>
      </c>
      <c r="D43" s="45"/>
      <c r="E43" s="35"/>
      <c r="F43" s="42" t="str">
        <f t="array" ref="F43">INDEX('MASTER MANIFEST'!$D$3:$D1001,MATCH(1,($D43='MASTER MANIFEST'!$B$3:$B1001)*($E43='MASTER MANIFEST'!$C$3:$C1001),0))</f>
        <v/>
      </c>
      <c r="G43" s="42" t="str">
        <f t="array" ref="G43">INDEX('MASTER MANIFEST'!$G$3:$G1001,MATCH(1,($D43='MASTER MANIFEST'!$B$3:$B1001)*($E43='MASTER MANIFEST'!$C$3:$C1001),0))</f>
        <v/>
      </c>
      <c r="H43" s="43">
        <f t="shared" si="3"/>
        <v>-238</v>
      </c>
      <c r="I43" s="45"/>
      <c r="J43" s="35"/>
      <c r="K43" s="42" t="str">
        <f t="array" ref="K43">INDEX('MASTER MANIFEST'!$D$3:$D1001,MATCH(1,($I43='MASTER MANIFEST'!$B$3:$B1001)*($J43='MASTER MANIFEST'!$C$3:$C1001),0))</f>
        <v/>
      </c>
      <c r="L43" s="43" t="str">
        <f t="array" ref="L43">INDEX('MASTER MANIFEST'!$G$3:$G1001,MATCH(1,($I43='MASTER MANIFEST'!$B$3:$B1001)*($J43='MASTER MANIFEST'!$C$3:$C1001),0))</f>
        <v/>
      </c>
      <c r="M43" s="43">
        <f t="shared" si="4"/>
        <v>0</v>
      </c>
      <c r="N43" s="43">
        <f t="shared" si="5"/>
        <v>0</v>
      </c>
      <c r="O43" s="42">
        <f t="shared" si="6"/>
        <v>0</v>
      </c>
      <c r="X43" s="26"/>
    </row>
    <row r="44">
      <c r="A44" s="42" t="str">
        <f>IFERROR(__xludf.DUMMYFUNCTION("""COMPUTED_VALUE"""),"CL18797")</f>
        <v>CL18797</v>
      </c>
      <c r="B44" s="44" t="s">
        <v>48</v>
      </c>
      <c r="C44" s="43">
        <f>IFERROR(VLOOKUP($A44,DETAIL!$C$4:$M1001,11,FALSE),0)</f>
        <v>33</v>
      </c>
      <c r="D44" s="45"/>
      <c r="E44" s="35"/>
      <c r="F44" s="42" t="str">
        <f t="array" ref="F44">INDEX('MASTER MANIFEST'!$D$3:$D1001,MATCH(1,($D44='MASTER MANIFEST'!$B$3:$B1001)*($E44='MASTER MANIFEST'!$C$3:$C1001),0))</f>
        <v/>
      </c>
      <c r="G44" s="42" t="str">
        <f t="array" ref="G44">INDEX('MASTER MANIFEST'!$G$3:$G1001,MATCH(1,($D44='MASTER MANIFEST'!$B$3:$B1001)*($E44='MASTER MANIFEST'!$C$3:$C1001),0))</f>
        <v/>
      </c>
      <c r="H44" s="43">
        <f t="shared" si="3"/>
        <v>-33</v>
      </c>
      <c r="I44" s="45"/>
      <c r="J44" s="35"/>
      <c r="K44" s="42" t="str">
        <f t="array" ref="K44">INDEX('MASTER MANIFEST'!$D$3:$D1001,MATCH(1,($I44='MASTER MANIFEST'!$B$3:$B1001)*($J44='MASTER MANIFEST'!$C$3:$C1001),0))</f>
        <v/>
      </c>
      <c r="L44" s="43" t="str">
        <f t="array" ref="L44">INDEX('MASTER MANIFEST'!$G$3:$G1001,MATCH(1,($I44='MASTER MANIFEST'!$B$3:$B1001)*($J44='MASTER MANIFEST'!$C$3:$C1001),0))</f>
        <v/>
      </c>
      <c r="M44" s="43">
        <f t="shared" si="4"/>
        <v>0</v>
      </c>
      <c r="N44" s="43">
        <f t="shared" si="5"/>
        <v>0</v>
      </c>
      <c r="O44" s="42">
        <f t="shared" si="6"/>
        <v>0</v>
      </c>
      <c r="X44" s="26"/>
    </row>
    <row r="45">
      <c r="A45" s="42" t="str">
        <f>IFERROR(__xludf.DUMMYFUNCTION("""COMPUTED_VALUE"""),"CL18798")</f>
        <v>CL18798</v>
      </c>
      <c r="B45" s="44" t="s">
        <v>48</v>
      </c>
      <c r="C45" s="43">
        <f>IFERROR(VLOOKUP($A45,DETAIL!$C$4:$M1001,11,FALSE),0)</f>
        <v>29.66666667</v>
      </c>
      <c r="D45" s="45"/>
      <c r="E45" s="35"/>
      <c r="F45" s="42" t="str">
        <f t="array" ref="F45">INDEX('MASTER MANIFEST'!$D$3:$D1001,MATCH(1,($D45='MASTER MANIFEST'!$B$3:$B1001)*($E45='MASTER MANIFEST'!$C$3:$C1001),0))</f>
        <v/>
      </c>
      <c r="G45" s="42" t="str">
        <f t="array" ref="G45">INDEX('MASTER MANIFEST'!$G$3:$G1001,MATCH(1,($D45='MASTER MANIFEST'!$B$3:$B1001)*($E45='MASTER MANIFEST'!$C$3:$C1001),0))</f>
        <v/>
      </c>
      <c r="H45" s="43">
        <f t="shared" si="3"/>
        <v>-29.66666667</v>
      </c>
      <c r="I45" s="45"/>
      <c r="J45" s="35"/>
      <c r="K45" s="42" t="str">
        <f t="array" ref="K45">INDEX('MASTER MANIFEST'!$D$3:$D1001,MATCH(1,($I45='MASTER MANIFEST'!$B$3:$B1001)*($J45='MASTER MANIFEST'!$C$3:$C1001),0))</f>
        <v/>
      </c>
      <c r="L45" s="43" t="str">
        <f t="array" ref="L45">INDEX('MASTER MANIFEST'!$G$3:$G1001,MATCH(1,($I45='MASTER MANIFEST'!$B$3:$B1001)*($J45='MASTER MANIFEST'!$C$3:$C1001),0))</f>
        <v/>
      </c>
      <c r="M45" s="43">
        <f t="shared" si="4"/>
        <v>0</v>
      </c>
      <c r="N45" s="43">
        <f t="shared" si="5"/>
        <v>0</v>
      </c>
      <c r="O45" s="42">
        <f t="shared" si="6"/>
        <v>0</v>
      </c>
      <c r="X45" s="26"/>
    </row>
    <row r="46">
      <c r="A46" s="42" t="str">
        <f>IFERROR(__xludf.DUMMYFUNCTION("""COMPUTED_VALUE"""),"CL18799")</f>
        <v>CL18799</v>
      </c>
      <c r="B46" s="44" t="s">
        <v>48</v>
      </c>
      <c r="C46" s="43">
        <f>IFERROR(VLOOKUP($A46,DETAIL!$C$4:$M1001,11,FALSE),0)</f>
        <v>36.65</v>
      </c>
      <c r="D46" s="45"/>
      <c r="E46" s="35"/>
      <c r="F46" s="42" t="str">
        <f t="array" ref="F46">INDEX('MASTER MANIFEST'!$D$3:$D1001,MATCH(1,($D46='MASTER MANIFEST'!$B$3:$B1001)*($E46='MASTER MANIFEST'!$C$3:$C1001),0))</f>
        <v/>
      </c>
      <c r="G46" s="42" t="str">
        <f t="array" ref="G46">INDEX('MASTER MANIFEST'!$G$3:$G1001,MATCH(1,($D46='MASTER MANIFEST'!$B$3:$B1001)*($E46='MASTER MANIFEST'!$C$3:$C1001),0))</f>
        <v/>
      </c>
      <c r="H46" s="43">
        <f t="shared" si="3"/>
        <v>-36.65</v>
      </c>
      <c r="I46" s="45"/>
      <c r="J46" s="35"/>
      <c r="K46" s="42" t="str">
        <f t="array" ref="K46">INDEX('MASTER MANIFEST'!$D$3:$D1001,MATCH(1,($I46='MASTER MANIFEST'!$B$3:$B1001)*($J46='MASTER MANIFEST'!$C$3:$C1001),0))</f>
        <v/>
      </c>
      <c r="L46" s="43" t="str">
        <f t="array" ref="L46">INDEX('MASTER MANIFEST'!$G$3:$G1001,MATCH(1,($I46='MASTER MANIFEST'!$B$3:$B1001)*($J46='MASTER MANIFEST'!$C$3:$C1001),0))</f>
        <v/>
      </c>
      <c r="M46" s="43">
        <f t="shared" si="4"/>
        <v>0</v>
      </c>
      <c r="N46" s="43">
        <f t="shared" si="5"/>
        <v>0</v>
      </c>
      <c r="O46" s="42">
        <f t="shared" si="6"/>
        <v>0</v>
      </c>
      <c r="X46" s="26"/>
    </row>
    <row r="47">
      <c r="A47" s="42" t="str">
        <f>IFERROR(__xludf.DUMMYFUNCTION("""COMPUTED_VALUE"""),"GR18238")</f>
        <v>GR18238</v>
      </c>
      <c r="B47" s="44" t="s">
        <v>48</v>
      </c>
      <c r="C47" s="43">
        <f>IFERROR(VLOOKUP($A47,DETAIL!$C$4:$M1001,11,FALSE),0)</f>
        <v>985.7375</v>
      </c>
      <c r="D47" s="45"/>
      <c r="E47" s="35"/>
      <c r="F47" s="42" t="str">
        <f t="array" ref="F47">INDEX('MASTER MANIFEST'!$D$3:$D1001,MATCH(1,($D47='MASTER MANIFEST'!$B$3:$B1001)*($E47='MASTER MANIFEST'!$C$3:$C1001),0))</f>
        <v/>
      </c>
      <c r="G47" s="42" t="str">
        <f t="array" ref="G47">INDEX('MASTER MANIFEST'!$G$3:$G1001,MATCH(1,($D47='MASTER MANIFEST'!$B$3:$B1001)*($E47='MASTER MANIFEST'!$C$3:$C1001),0))</f>
        <v/>
      </c>
      <c r="H47" s="43">
        <f t="shared" si="3"/>
        <v>-985.7375</v>
      </c>
      <c r="I47" s="45"/>
      <c r="J47" s="35"/>
      <c r="K47" s="42" t="str">
        <f t="array" ref="K47">INDEX('MASTER MANIFEST'!$D$3:$D1001,MATCH(1,($I47='MASTER MANIFEST'!$B$3:$B1001)*($J47='MASTER MANIFEST'!$C$3:$C1001),0))</f>
        <v/>
      </c>
      <c r="L47" s="43" t="str">
        <f t="array" ref="L47">INDEX('MASTER MANIFEST'!$G$3:$G1001,MATCH(1,($I47='MASTER MANIFEST'!$B$3:$B1001)*($J47='MASTER MANIFEST'!$C$3:$C1001),0))</f>
        <v/>
      </c>
      <c r="M47" s="43">
        <f t="shared" si="4"/>
        <v>0</v>
      </c>
      <c r="N47" s="43">
        <f t="shared" si="5"/>
        <v>0</v>
      </c>
      <c r="O47" s="42">
        <f t="shared" si="6"/>
        <v>0</v>
      </c>
      <c r="X47" s="26"/>
    </row>
    <row r="48">
      <c r="A48" s="42" t="str">
        <f>IFERROR(__xludf.DUMMYFUNCTION("""COMPUTED_VALUE"""),"GR18239")</f>
        <v>GR18239</v>
      </c>
      <c r="B48" s="44" t="s">
        <v>48</v>
      </c>
      <c r="C48" s="43">
        <f>IFERROR(VLOOKUP($A48,DETAIL!$C$4:$M1001,11,FALSE),0)</f>
        <v>1075.62</v>
      </c>
      <c r="D48" s="45"/>
      <c r="E48" s="35"/>
      <c r="F48" s="42" t="str">
        <f t="array" ref="F48">INDEX('MASTER MANIFEST'!$D$3:$D1001,MATCH(1,($D48='MASTER MANIFEST'!$B$3:$B1001)*($E48='MASTER MANIFEST'!$C$3:$C1001),0))</f>
        <v/>
      </c>
      <c r="G48" s="42" t="str">
        <f t="array" ref="G48">INDEX('MASTER MANIFEST'!$G$3:$G1001,MATCH(1,($D48='MASTER MANIFEST'!$B$3:$B1001)*($E48='MASTER MANIFEST'!$C$3:$C1001),0))</f>
        <v/>
      </c>
      <c r="H48" s="43">
        <f t="shared" si="3"/>
        <v>-1075.62</v>
      </c>
      <c r="I48" s="45"/>
      <c r="J48" s="35"/>
      <c r="K48" s="42" t="str">
        <f t="array" ref="K48">INDEX('MASTER MANIFEST'!$D$3:$D1001,MATCH(1,($I48='MASTER MANIFEST'!$B$3:$B1001)*($J48='MASTER MANIFEST'!$C$3:$C1001),0))</f>
        <v/>
      </c>
      <c r="L48" s="43" t="str">
        <f t="array" ref="L48">INDEX('MASTER MANIFEST'!$G$3:$G1001,MATCH(1,($I48='MASTER MANIFEST'!$B$3:$B1001)*($J48='MASTER MANIFEST'!$C$3:$C1001),0))</f>
        <v/>
      </c>
      <c r="M48" s="43">
        <f t="shared" si="4"/>
        <v>0</v>
      </c>
      <c r="N48" s="43">
        <f t="shared" si="5"/>
        <v>0</v>
      </c>
      <c r="O48" s="42">
        <f t="shared" si="6"/>
        <v>0</v>
      </c>
      <c r="X48" s="26"/>
    </row>
    <row r="49">
      <c r="A49" s="42" t="str">
        <f>IFERROR(__xludf.DUMMYFUNCTION("""COMPUTED_VALUE"""),"GR18240")</f>
        <v>GR18240</v>
      </c>
      <c r="B49" s="44" t="s">
        <v>48</v>
      </c>
      <c r="C49" s="43">
        <f>IFERROR(VLOOKUP($A49,DETAIL!$C$4:$M1001,11,FALSE),0)</f>
        <v>1043.745</v>
      </c>
      <c r="D49" s="45"/>
      <c r="E49" s="35"/>
      <c r="F49" s="42" t="str">
        <f t="array" ref="F49">INDEX('MASTER MANIFEST'!$D$3:$D1001,MATCH(1,($D49='MASTER MANIFEST'!$B$3:$B1001)*($E49='MASTER MANIFEST'!$C$3:$C1001),0))</f>
        <v/>
      </c>
      <c r="G49" s="42" t="str">
        <f t="array" ref="G49">INDEX('MASTER MANIFEST'!$G$3:$G1001,MATCH(1,($D49='MASTER MANIFEST'!$B$3:$B1001)*($E49='MASTER MANIFEST'!$C$3:$C1001),0))</f>
        <v/>
      </c>
      <c r="H49" s="43">
        <f t="shared" si="3"/>
        <v>-1043.745</v>
      </c>
      <c r="I49" s="45"/>
      <c r="J49" s="35"/>
      <c r="K49" s="42" t="str">
        <f t="array" ref="K49">INDEX('MASTER MANIFEST'!$D$3:$D1001,MATCH(1,($I49='MASTER MANIFEST'!$B$3:$B1001)*($J49='MASTER MANIFEST'!$C$3:$C1001),0))</f>
        <v/>
      </c>
      <c r="L49" s="43" t="str">
        <f t="array" ref="L49">INDEX('MASTER MANIFEST'!$G$3:$G1001,MATCH(1,($I49='MASTER MANIFEST'!$B$3:$B1001)*($J49='MASTER MANIFEST'!$C$3:$C1001),0))</f>
        <v/>
      </c>
      <c r="M49" s="43">
        <f t="shared" si="4"/>
        <v>0</v>
      </c>
      <c r="N49" s="43">
        <f t="shared" si="5"/>
        <v>0</v>
      </c>
      <c r="O49" s="42">
        <f t="shared" si="6"/>
        <v>0</v>
      </c>
    </row>
    <row r="50">
      <c r="A50" s="42" t="str">
        <f>IFERROR(__xludf.DUMMYFUNCTION("""COMPUTED_VALUE"""),"GR18241")</f>
        <v>GR18241</v>
      </c>
      <c r="B50" s="44" t="s">
        <v>48</v>
      </c>
      <c r="C50" s="43">
        <f>IFERROR(VLOOKUP($A50,DETAIL!$C$4:$M1001,11,FALSE),0)</f>
        <v>872.115</v>
      </c>
      <c r="D50" s="45"/>
      <c r="E50" s="35"/>
      <c r="F50" s="42" t="str">
        <f t="array" ref="F50">INDEX('MASTER MANIFEST'!$D$3:$D1001,MATCH(1,($D50='MASTER MANIFEST'!$B$3:$B1001)*($E50='MASTER MANIFEST'!$C$3:$C1001),0))</f>
        <v/>
      </c>
      <c r="G50" s="42" t="str">
        <f t="array" ref="G50">INDEX('MASTER MANIFEST'!$G$3:$G1001,MATCH(1,($D50='MASTER MANIFEST'!$B$3:$B1001)*($E50='MASTER MANIFEST'!$C$3:$C1001),0))</f>
        <v/>
      </c>
      <c r="H50" s="43">
        <f t="shared" si="3"/>
        <v>-872.115</v>
      </c>
      <c r="I50" s="45"/>
      <c r="J50" s="35"/>
      <c r="K50" s="42" t="str">
        <f t="array" ref="K50">INDEX('MASTER MANIFEST'!$D$3:$D1001,MATCH(1,($I50='MASTER MANIFEST'!$B$3:$B1001)*($J50='MASTER MANIFEST'!$C$3:$C1001),0))</f>
        <v/>
      </c>
      <c r="L50" s="43" t="str">
        <f t="array" ref="L50">INDEX('MASTER MANIFEST'!$G$3:$G1001,MATCH(1,($I50='MASTER MANIFEST'!$B$3:$B1001)*($J50='MASTER MANIFEST'!$C$3:$C1001),0))</f>
        <v/>
      </c>
      <c r="M50" s="43">
        <f t="shared" si="4"/>
        <v>0</v>
      </c>
      <c r="N50" s="43">
        <f t="shared" si="5"/>
        <v>0</v>
      </c>
      <c r="O50" s="42">
        <f t="shared" si="6"/>
        <v>0</v>
      </c>
    </row>
    <row r="51">
      <c r="A51" s="42" t="str">
        <f>IFERROR(__xludf.DUMMYFUNCTION("""COMPUTED_VALUE"""),"GR18242")</f>
        <v>GR18242</v>
      </c>
      <c r="B51" s="44" t="s">
        <v>48</v>
      </c>
      <c r="C51" s="43">
        <f>IFERROR(VLOOKUP($A51,DETAIL!$C$4:$M1001,11,FALSE),0)</f>
        <v>864.7425</v>
      </c>
      <c r="D51" s="45"/>
      <c r="E51" s="35"/>
      <c r="F51" s="42" t="str">
        <f t="array" ref="F51">INDEX('MASTER MANIFEST'!$D$3:$D1001,MATCH(1,($D51='MASTER MANIFEST'!$B$3:$B1001)*($E51='MASTER MANIFEST'!$C$3:$C1001),0))</f>
        <v/>
      </c>
      <c r="G51" s="42" t="str">
        <f t="array" ref="G51">INDEX('MASTER MANIFEST'!$G$3:$G1001,MATCH(1,($D51='MASTER MANIFEST'!$B$3:$B1001)*($E51='MASTER MANIFEST'!$C$3:$C1001),0))</f>
        <v/>
      </c>
      <c r="H51" s="43">
        <f t="shared" si="3"/>
        <v>-864.7425</v>
      </c>
      <c r="I51" s="45"/>
      <c r="J51" s="35"/>
      <c r="K51" s="42" t="str">
        <f t="array" ref="K51">INDEX('MASTER MANIFEST'!$D$3:$D1001,MATCH(1,($I51='MASTER MANIFEST'!$B$3:$B1001)*($J51='MASTER MANIFEST'!$C$3:$C1001),0))</f>
        <v/>
      </c>
      <c r="L51" s="43" t="str">
        <f t="array" ref="L51">INDEX('MASTER MANIFEST'!$G$3:$G1001,MATCH(1,($I51='MASTER MANIFEST'!$B$3:$B1001)*($J51='MASTER MANIFEST'!$C$3:$C1001),0))</f>
        <v/>
      </c>
      <c r="M51" s="43">
        <f t="shared" si="4"/>
        <v>0</v>
      </c>
      <c r="N51" s="43">
        <f t="shared" si="5"/>
        <v>0</v>
      </c>
      <c r="O51" s="42">
        <f t="shared" si="6"/>
        <v>0</v>
      </c>
    </row>
    <row r="52">
      <c r="A52" s="42" t="str">
        <f>IFERROR(__xludf.DUMMYFUNCTION("""COMPUTED_VALUE"""),"GR18243")</f>
        <v>GR18243</v>
      </c>
      <c r="B52" s="44" t="s">
        <v>48</v>
      </c>
      <c r="C52" s="43">
        <f>IFERROR(VLOOKUP($A52,DETAIL!$C$4:$M1001,11,FALSE),0)</f>
        <v>1381.8725</v>
      </c>
      <c r="D52" s="45"/>
      <c r="E52" s="35"/>
      <c r="F52" s="42" t="str">
        <f t="array" ref="F52">INDEX('MASTER MANIFEST'!$D$3:$D1001,MATCH(1,($D52='MASTER MANIFEST'!$B$3:$B1001)*($E52='MASTER MANIFEST'!$C$3:$C1001),0))</f>
        <v/>
      </c>
      <c r="G52" s="42" t="str">
        <f t="array" ref="G52">INDEX('MASTER MANIFEST'!$G$3:$G1001,MATCH(1,($D52='MASTER MANIFEST'!$B$3:$B1001)*($E52='MASTER MANIFEST'!$C$3:$C1001),0))</f>
        <v/>
      </c>
      <c r="H52" s="43">
        <f t="shared" si="3"/>
        <v>-1381.8725</v>
      </c>
      <c r="I52" s="45"/>
      <c r="J52" s="35"/>
      <c r="K52" s="42" t="str">
        <f t="array" ref="K52">INDEX('MASTER MANIFEST'!$D$3:$D1001,MATCH(1,($I52='MASTER MANIFEST'!$B$3:$B1001)*($J52='MASTER MANIFEST'!$C$3:$C1001),0))</f>
        <v/>
      </c>
      <c r="L52" s="43" t="str">
        <f t="array" ref="L52">INDEX('MASTER MANIFEST'!$G$3:$G1001,MATCH(1,($I52='MASTER MANIFEST'!$B$3:$B1001)*($J52='MASTER MANIFEST'!$C$3:$C1001),0))</f>
        <v/>
      </c>
      <c r="M52" s="43">
        <f t="shared" si="4"/>
        <v>0</v>
      </c>
      <c r="N52" s="43">
        <f t="shared" si="5"/>
        <v>0</v>
      </c>
      <c r="O52" s="42">
        <f t="shared" si="6"/>
        <v>0</v>
      </c>
    </row>
    <row r="53">
      <c r="A53" s="42" t="str">
        <f>IFERROR(__xludf.DUMMYFUNCTION("""COMPUTED_VALUE"""),"GR18244")</f>
        <v>GR18244</v>
      </c>
      <c r="B53" s="44" t="s">
        <v>48</v>
      </c>
      <c r="C53" s="43">
        <f>IFERROR(VLOOKUP($A53,DETAIL!$C$4:$M1001,11,FALSE),0)</f>
        <v>1021.4775</v>
      </c>
      <c r="D53" s="45"/>
      <c r="E53" s="35"/>
      <c r="F53" s="42" t="str">
        <f t="array" ref="F53">INDEX('MASTER MANIFEST'!$D$3:$D1001,MATCH(1,($D53='MASTER MANIFEST'!$B$3:$B1001)*($E53='MASTER MANIFEST'!$C$3:$C1001),0))</f>
        <v/>
      </c>
      <c r="G53" s="42" t="str">
        <f t="array" ref="G53">INDEX('MASTER MANIFEST'!$G$3:$G1001,MATCH(1,($D53='MASTER MANIFEST'!$B$3:$B1001)*($E53='MASTER MANIFEST'!$C$3:$C1001),0))</f>
        <v/>
      </c>
      <c r="H53" s="43">
        <f t="shared" si="3"/>
        <v>-1021.4775</v>
      </c>
      <c r="I53" s="45"/>
      <c r="J53" s="35"/>
      <c r="K53" s="42" t="str">
        <f t="array" ref="K53">INDEX('MASTER MANIFEST'!$D$3:$D1001,MATCH(1,($I53='MASTER MANIFEST'!$B$3:$B1001)*($J53='MASTER MANIFEST'!$C$3:$C1001),0))</f>
        <v/>
      </c>
      <c r="L53" s="43" t="str">
        <f t="array" ref="L53">INDEX('MASTER MANIFEST'!$G$3:$G1001,MATCH(1,($I53='MASTER MANIFEST'!$B$3:$B1001)*($J53='MASTER MANIFEST'!$C$3:$C1001),0))</f>
        <v/>
      </c>
      <c r="M53" s="43">
        <f t="shared" si="4"/>
        <v>0</v>
      </c>
      <c r="N53" s="43">
        <f t="shared" si="5"/>
        <v>0</v>
      </c>
      <c r="O53" s="42">
        <f t="shared" si="6"/>
        <v>0</v>
      </c>
    </row>
    <row r="54">
      <c r="A54" s="42" t="str">
        <f>IFERROR(__xludf.DUMMYFUNCTION("""COMPUTED_VALUE"""),"GR18245")</f>
        <v>GR18245</v>
      </c>
      <c r="B54" s="44" t="s">
        <v>48</v>
      </c>
      <c r="C54" s="43">
        <f>IFERROR(VLOOKUP($A54,DETAIL!$C$4:$M1001,11,FALSE),0)</f>
        <v>538.8939394</v>
      </c>
      <c r="D54" s="45"/>
      <c r="E54" s="35"/>
      <c r="F54" s="42" t="str">
        <f t="array" ref="F54">INDEX('MASTER MANIFEST'!$D$3:$D1001,MATCH(1,($D54='MASTER MANIFEST'!$B$3:$B1001)*($E54='MASTER MANIFEST'!$C$3:$C1001),0))</f>
        <v/>
      </c>
      <c r="G54" s="42" t="str">
        <f t="array" ref="G54">INDEX('MASTER MANIFEST'!$G$3:$G1001,MATCH(1,($D54='MASTER MANIFEST'!$B$3:$B1001)*($E54='MASTER MANIFEST'!$C$3:$C1001),0))</f>
        <v/>
      </c>
      <c r="H54" s="43">
        <f t="shared" si="3"/>
        <v>-538.8939394</v>
      </c>
      <c r="I54" s="45"/>
      <c r="J54" s="35"/>
      <c r="K54" s="42" t="str">
        <f t="array" ref="K54">INDEX('MASTER MANIFEST'!$D$3:$D1001,MATCH(1,($I54='MASTER MANIFEST'!$B$3:$B1001)*($J54='MASTER MANIFEST'!$C$3:$C1001),0))</f>
        <v/>
      </c>
      <c r="L54" s="43" t="str">
        <f t="array" ref="L54">INDEX('MASTER MANIFEST'!$G$3:$G1001,MATCH(1,($I54='MASTER MANIFEST'!$B$3:$B1001)*($J54='MASTER MANIFEST'!$C$3:$C1001),0))</f>
        <v/>
      </c>
      <c r="M54" s="43">
        <f t="shared" si="4"/>
        <v>0</v>
      </c>
      <c r="N54" s="43">
        <f t="shared" si="5"/>
        <v>0</v>
      </c>
      <c r="O54" s="42">
        <f t="shared" si="6"/>
        <v>0</v>
      </c>
    </row>
    <row r="55">
      <c r="A55" s="42" t="str">
        <f>IFERROR(__xludf.DUMMYFUNCTION("""COMPUTED_VALUE"""),"GR18246")</f>
        <v>GR18246</v>
      </c>
      <c r="B55" s="44" t="s">
        <v>48</v>
      </c>
      <c r="C55" s="43">
        <f>IFERROR(VLOOKUP($A55,DETAIL!$C$4:$M1001,11,FALSE),0)</f>
        <v>558.469697</v>
      </c>
      <c r="D55" s="45"/>
      <c r="E55" s="35"/>
      <c r="F55" s="42" t="str">
        <f t="array" ref="F55">INDEX('MASTER MANIFEST'!$D$3:$D1001,MATCH(1,($D55='MASTER MANIFEST'!$B$3:$B1001)*($E55='MASTER MANIFEST'!$C$3:$C1001),0))</f>
        <v/>
      </c>
      <c r="G55" s="42" t="str">
        <f t="array" ref="G55">INDEX('MASTER MANIFEST'!$G$3:$G1001,MATCH(1,($D55='MASTER MANIFEST'!$B$3:$B1001)*($E55='MASTER MANIFEST'!$C$3:$C1001),0))</f>
        <v/>
      </c>
      <c r="H55" s="43">
        <f t="shared" si="3"/>
        <v>-558.469697</v>
      </c>
      <c r="I55" s="45"/>
      <c r="J55" s="35"/>
      <c r="K55" s="42" t="str">
        <f t="array" ref="K55">INDEX('MASTER MANIFEST'!$D$3:$D1001,MATCH(1,($I55='MASTER MANIFEST'!$B$3:$B1001)*($J55='MASTER MANIFEST'!$C$3:$C1001),0))</f>
        <v/>
      </c>
      <c r="L55" s="43" t="str">
        <f t="array" ref="L55">INDEX('MASTER MANIFEST'!$G$3:$G1001,MATCH(1,($I55='MASTER MANIFEST'!$B$3:$B1001)*($J55='MASTER MANIFEST'!$C$3:$C1001),0))</f>
        <v/>
      </c>
      <c r="M55" s="43">
        <f t="shared" si="4"/>
        <v>0</v>
      </c>
      <c r="N55" s="43">
        <f t="shared" si="5"/>
        <v>0</v>
      </c>
      <c r="O55" s="42">
        <f t="shared" si="6"/>
        <v>0</v>
      </c>
    </row>
    <row r="56">
      <c r="A56" s="42" t="str">
        <f>IFERROR(__xludf.DUMMYFUNCTION("""COMPUTED_VALUE"""),"GR18247")</f>
        <v>GR18247</v>
      </c>
      <c r="B56" s="44" t="s">
        <v>48</v>
      </c>
      <c r="C56" s="43">
        <f>IFERROR(VLOOKUP($A56,DETAIL!$C$4:$M1001,11,FALSE),0)</f>
        <v>510.9090909</v>
      </c>
      <c r="D56" s="45"/>
      <c r="E56" s="35"/>
      <c r="F56" s="42" t="str">
        <f t="array" ref="F56">INDEX('MASTER MANIFEST'!$D$3:$D1001,MATCH(1,($D56='MASTER MANIFEST'!$B$3:$B1001)*($E56='MASTER MANIFEST'!$C$3:$C1001),0))</f>
        <v/>
      </c>
      <c r="G56" s="42" t="str">
        <f t="array" ref="G56">INDEX('MASTER MANIFEST'!$G$3:$G1001,MATCH(1,($D56='MASTER MANIFEST'!$B$3:$B1001)*($E56='MASTER MANIFEST'!$C$3:$C1001),0))</f>
        <v/>
      </c>
      <c r="H56" s="43">
        <f t="shared" si="3"/>
        <v>-510.9090909</v>
      </c>
      <c r="I56" s="45"/>
      <c r="J56" s="35"/>
      <c r="K56" s="42" t="str">
        <f t="array" ref="K56">INDEX('MASTER MANIFEST'!$D$3:$D1001,MATCH(1,($I56='MASTER MANIFEST'!$B$3:$B1001)*($J56='MASTER MANIFEST'!$C$3:$C1001),0))</f>
        <v/>
      </c>
      <c r="L56" s="43" t="str">
        <f t="array" ref="L56">INDEX('MASTER MANIFEST'!$G$3:$G1001,MATCH(1,($I56='MASTER MANIFEST'!$B$3:$B1001)*($J56='MASTER MANIFEST'!$C$3:$C1001),0))</f>
        <v/>
      </c>
      <c r="M56" s="43">
        <f t="shared" si="4"/>
        <v>0</v>
      </c>
      <c r="N56" s="43">
        <f t="shared" si="5"/>
        <v>0</v>
      </c>
      <c r="O56" s="42">
        <f t="shared" si="6"/>
        <v>0</v>
      </c>
    </row>
    <row r="57">
      <c r="A57" s="42" t="str">
        <f>IFERROR(__xludf.DUMMYFUNCTION("""COMPUTED_VALUE"""),"GR18248")</f>
        <v>GR18248</v>
      </c>
      <c r="B57" s="44" t="s">
        <v>48</v>
      </c>
      <c r="C57" s="43">
        <f>IFERROR(VLOOKUP($A57,DETAIL!$C$4:$M1001,11,FALSE),0)</f>
        <v>457.1212121</v>
      </c>
      <c r="D57" s="45"/>
      <c r="E57" s="35"/>
      <c r="F57" s="42" t="str">
        <f t="array" ref="F57">INDEX('MASTER MANIFEST'!$D$3:$D1001,MATCH(1,($D57='MASTER MANIFEST'!$B$3:$B1001)*($E57='MASTER MANIFEST'!$C$3:$C1001),0))</f>
        <v/>
      </c>
      <c r="G57" s="42" t="str">
        <f t="array" ref="G57">INDEX('MASTER MANIFEST'!$G$3:$G1001,MATCH(1,($D57='MASTER MANIFEST'!$B$3:$B1001)*($E57='MASTER MANIFEST'!$C$3:$C1001),0))</f>
        <v/>
      </c>
      <c r="H57" s="43">
        <f t="shared" si="3"/>
        <v>-457.1212121</v>
      </c>
      <c r="I57" s="45"/>
      <c r="J57" s="35"/>
      <c r="K57" s="42" t="str">
        <f t="array" ref="K57">INDEX('MASTER MANIFEST'!$D$3:$D1001,MATCH(1,($I57='MASTER MANIFEST'!$B$3:$B1001)*($J57='MASTER MANIFEST'!$C$3:$C1001),0))</f>
        <v/>
      </c>
      <c r="L57" s="43" t="str">
        <f t="array" ref="L57">INDEX('MASTER MANIFEST'!$G$3:$G1001,MATCH(1,($I57='MASTER MANIFEST'!$B$3:$B1001)*($J57='MASTER MANIFEST'!$C$3:$C1001),0))</f>
        <v/>
      </c>
      <c r="M57" s="43">
        <f t="shared" si="4"/>
        <v>0</v>
      </c>
      <c r="N57" s="43">
        <f t="shared" si="5"/>
        <v>0</v>
      </c>
      <c r="O57" s="42">
        <f t="shared" si="6"/>
        <v>0</v>
      </c>
    </row>
    <row r="58">
      <c r="A58" s="42" t="str">
        <f>IFERROR(__xludf.DUMMYFUNCTION("""COMPUTED_VALUE"""),"GR18249")</f>
        <v>GR18249</v>
      </c>
      <c r="B58" s="44" t="s">
        <v>48</v>
      </c>
      <c r="C58" s="43">
        <f>IFERROR(VLOOKUP($A58,DETAIL!$C$4:$M1001,11,FALSE),0)</f>
        <v>476.8030303</v>
      </c>
      <c r="D58" s="45"/>
      <c r="E58" s="35"/>
      <c r="F58" s="42" t="str">
        <f t="array" ref="F58">INDEX('MASTER MANIFEST'!$D$3:$D1001,MATCH(1,($D58='MASTER MANIFEST'!$B$3:$B1001)*($E58='MASTER MANIFEST'!$C$3:$C1001),0))</f>
        <v/>
      </c>
      <c r="G58" s="42" t="str">
        <f t="array" ref="G58">INDEX('MASTER MANIFEST'!$G$3:$G1001,MATCH(1,($D58='MASTER MANIFEST'!$B$3:$B1001)*($E58='MASTER MANIFEST'!$C$3:$C1001),0))</f>
        <v/>
      </c>
      <c r="H58" s="43">
        <f t="shared" si="3"/>
        <v>-476.8030303</v>
      </c>
      <c r="I58" s="45"/>
      <c r="J58" s="35"/>
      <c r="K58" s="42" t="str">
        <f t="array" ref="K58">INDEX('MASTER MANIFEST'!$D$3:$D1001,MATCH(1,($I58='MASTER MANIFEST'!$B$3:$B1001)*($J58='MASTER MANIFEST'!$C$3:$C1001),0))</f>
        <v/>
      </c>
      <c r="L58" s="43" t="str">
        <f t="array" ref="L58">INDEX('MASTER MANIFEST'!$G$3:$G1001,MATCH(1,($I58='MASTER MANIFEST'!$B$3:$B1001)*($J58='MASTER MANIFEST'!$C$3:$C1001),0))</f>
        <v/>
      </c>
      <c r="M58" s="43">
        <f t="shared" si="4"/>
        <v>0</v>
      </c>
      <c r="N58" s="43">
        <f t="shared" si="5"/>
        <v>0</v>
      </c>
      <c r="O58" s="42">
        <f t="shared" si="6"/>
        <v>0</v>
      </c>
    </row>
    <row r="59">
      <c r="A59" s="42" t="str">
        <f>IFERROR(__xludf.DUMMYFUNCTION("""COMPUTED_VALUE"""),"GR18250")</f>
        <v>GR18250</v>
      </c>
      <c r="B59" s="44" t="s">
        <v>48</v>
      </c>
      <c r="C59" s="43">
        <f>IFERROR(VLOOKUP($A59,DETAIL!$C$4:$M1001,11,FALSE),0)</f>
        <v>445.6060606</v>
      </c>
      <c r="D59" s="45"/>
      <c r="E59" s="35"/>
      <c r="F59" s="42" t="str">
        <f t="array" ref="F59">INDEX('MASTER MANIFEST'!$D$3:$D1001,MATCH(1,($D59='MASTER MANIFEST'!$B$3:$B1001)*($E59='MASTER MANIFEST'!$C$3:$C1001),0))</f>
        <v/>
      </c>
      <c r="G59" s="42" t="str">
        <f t="array" ref="G59">INDEX('MASTER MANIFEST'!$G$3:$G1001,MATCH(1,($D59='MASTER MANIFEST'!$B$3:$B1001)*($E59='MASTER MANIFEST'!$C$3:$C1001),0))</f>
        <v/>
      </c>
      <c r="H59" s="43">
        <f t="shared" si="3"/>
        <v>-445.6060606</v>
      </c>
      <c r="I59" s="45"/>
      <c r="J59" s="35"/>
      <c r="K59" s="42" t="str">
        <f t="array" ref="K59">INDEX('MASTER MANIFEST'!$D$3:$D1001,MATCH(1,($I59='MASTER MANIFEST'!$B$3:$B1001)*($J59='MASTER MANIFEST'!$C$3:$C1001),0))</f>
        <v/>
      </c>
      <c r="L59" s="43" t="str">
        <f t="array" ref="L59">INDEX('MASTER MANIFEST'!$G$3:$G1001,MATCH(1,($I59='MASTER MANIFEST'!$B$3:$B1001)*($J59='MASTER MANIFEST'!$C$3:$C1001),0))</f>
        <v/>
      </c>
      <c r="M59" s="43">
        <f t="shared" si="4"/>
        <v>0</v>
      </c>
      <c r="N59" s="43">
        <f t="shared" si="5"/>
        <v>0</v>
      </c>
      <c r="O59" s="42">
        <f t="shared" si="6"/>
        <v>0</v>
      </c>
    </row>
    <row r="60">
      <c r="A60" s="42" t="str">
        <f>IFERROR(__xludf.DUMMYFUNCTION("""COMPUTED_VALUE"""),"GR18251")</f>
        <v>GR18251</v>
      </c>
      <c r="B60" s="44" t="s">
        <v>48</v>
      </c>
      <c r="C60" s="43">
        <f>IFERROR(VLOOKUP($A60,DETAIL!$C$4:$M1001,11,FALSE),0)</f>
        <v>456.8181818</v>
      </c>
      <c r="D60" s="45"/>
      <c r="E60" s="35"/>
      <c r="F60" s="42" t="str">
        <f t="array" ref="F60">INDEX('MASTER MANIFEST'!$D$3:$D1001,MATCH(1,($D60='MASTER MANIFEST'!$B$3:$B1001)*($E60='MASTER MANIFEST'!$C$3:$C1001),0))</f>
        <v/>
      </c>
      <c r="G60" s="42" t="str">
        <f t="array" ref="G60">INDEX('MASTER MANIFEST'!$G$3:$G1001,MATCH(1,($D60='MASTER MANIFEST'!$B$3:$B1001)*($E60='MASTER MANIFEST'!$C$3:$C1001),0))</f>
        <v/>
      </c>
      <c r="H60" s="43">
        <f t="shared" si="3"/>
        <v>-456.8181818</v>
      </c>
      <c r="I60" s="45"/>
      <c r="J60" s="35"/>
      <c r="K60" s="42" t="str">
        <f t="array" ref="K60">INDEX('MASTER MANIFEST'!$D$3:$D1001,MATCH(1,($I60='MASTER MANIFEST'!$B$3:$B1001)*($J60='MASTER MANIFEST'!$C$3:$C1001),0))</f>
        <v/>
      </c>
      <c r="L60" s="43" t="str">
        <f t="array" ref="L60">INDEX('MASTER MANIFEST'!$G$3:$G1001,MATCH(1,($I60='MASTER MANIFEST'!$B$3:$B1001)*($J60='MASTER MANIFEST'!$C$3:$C1001),0))</f>
        <v/>
      </c>
      <c r="M60" s="43">
        <f t="shared" si="4"/>
        <v>0</v>
      </c>
      <c r="N60" s="43">
        <f t="shared" si="5"/>
        <v>0</v>
      </c>
      <c r="O60" s="42">
        <f t="shared" si="6"/>
        <v>0</v>
      </c>
    </row>
    <row r="61">
      <c r="A61" s="42" t="str">
        <f>IFERROR(__xludf.DUMMYFUNCTION("""COMPUTED_VALUE"""),"GR18252")</f>
        <v>GR18252</v>
      </c>
      <c r="B61" s="44" t="s">
        <v>48</v>
      </c>
      <c r="C61" s="43">
        <f>IFERROR(VLOOKUP($A61,DETAIL!$C$4:$M1001,11,FALSE),0)</f>
        <v>432.6969697</v>
      </c>
      <c r="D61" s="45"/>
      <c r="E61" s="35"/>
      <c r="F61" s="42" t="str">
        <f t="array" ref="F61">INDEX('MASTER MANIFEST'!$D$3:$D1001,MATCH(1,($D61='MASTER MANIFEST'!$B$3:$B1001)*($E61='MASTER MANIFEST'!$C$3:$C1001),0))</f>
        <v/>
      </c>
      <c r="G61" s="42" t="str">
        <f t="array" ref="G61">INDEX('MASTER MANIFEST'!$G$3:$G1001,MATCH(1,($D61='MASTER MANIFEST'!$B$3:$B1001)*($E61='MASTER MANIFEST'!$C$3:$C1001),0))</f>
        <v/>
      </c>
      <c r="H61" s="43">
        <f t="shared" si="3"/>
        <v>-432.6969697</v>
      </c>
      <c r="I61" s="45"/>
      <c r="J61" s="35"/>
      <c r="K61" s="42" t="str">
        <f t="array" ref="K61">INDEX('MASTER MANIFEST'!$D$3:$D1001,MATCH(1,($I61='MASTER MANIFEST'!$B$3:$B1001)*($J61='MASTER MANIFEST'!$C$3:$C1001),0))</f>
        <v/>
      </c>
      <c r="L61" s="43" t="str">
        <f t="array" ref="L61">INDEX('MASTER MANIFEST'!$G$3:$G1001,MATCH(1,($I61='MASTER MANIFEST'!$B$3:$B1001)*($J61='MASTER MANIFEST'!$C$3:$C1001),0))</f>
        <v/>
      </c>
      <c r="M61" s="43">
        <f t="shared" si="4"/>
        <v>0</v>
      </c>
      <c r="N61" s="43">
        <f t="shared" si="5"/>
        <v>0</v>
      </c>
      <c r="O61" s="42">
        <f t="shared" si="6"/>
        <v>0</v>
      </c>
    </row>
    <row r="62">
      <c r="A62" s="42" t="str">
        <f>IFERROR(__xludf.DUMMYFUNCTION("""COMPUTED_VALUE"""),"GR18253")</f>
        <v>GR18253</v>
      </c>
      <c r="B62" s="44" t="s">
        <v>48</v>
      </c>
      <c r="C62" s="43">
        <f>IFERROR(VLOOKUP($A62,DETAIL!$C$4:$M1001,11,FALSE),0)</f>
        <v>421.3636364</v>
      </c>
      <c r="D62" s="45"/>
      <c r="E62" s="35"/>
      <c r="F62" s="42" t="str">
        <f t="array" ref="F62">INDEX('MASTER MANIFEST'!$D$3:$D1001,MATCH(1,($D62='MASTER MANIFEST'!$B$3:$B1001)*($E62='MASTER MANIFEST'!$C$3:$C1001),0))</f>
        <v/>
      </c>
      <c r="G62" s="42" t="str">
        <f t="array" ref="G62">INDEX('MASTER MANIFEST'!$G$3:$G1001,MATCH(1,($D62='MASTER MANIFEST'!$B$3:$B1001)*($E62='MASTER MANIFEST'!$C$3:$C1001),0))</f>
        <v/>
      </c>
      <c r="H62" s="43">
        <f t="shared" si="3"/>
        <v>-421.3636364</v>
      </c>
      <c r="I62" s="45"/>
      <c r="J62" s="35"/>
      <c r="K62" s="42" t="str">
        <f t="array" ref="K62">INDEX('MASTER MANIFEST'!$D$3:$D1001,MATCH(1,($I62='MASTER MANIFEST'!$B$3:$B1001)*($J62='MASTER MANIFEST'!$C$3:$C1001),0))</f>
        <v/>
      </c>
      <c r="L62" s="43" t="str">
        <f t="array" ref="L62">INDEX('MASTER MANIFEST'!$G$3:$G1001,MATCH(1,($I62='MASTER MANIFEST'!$B$3:$B1001)*($J62='MASTER MANIFEST'!$C$3:$C1001),0))</f>
        <v/>
      </c>
      <c r="M62" s="43">
        <f t="shared" si="4"/>
        <v>0</v>
      </c>
      <c r="N62" s="43">
        <f t="shared" si="5"/>
        <v>0</v>
      </c>
      <c r="O62" s="42">
        <f t="shared" si="6"/>
        <v>0</v>
      </c>
    </row>
    <row r="63">
      <c r="A63" s="42" t="str">
        <f>IFERROR(__xludf.DUMMYFUNCTION("""COMPUTED_VALUE"""),"GR18254")</f>
        <v>GR18254</v>
      </c>
      <c r="B63" s="44" t="s">
        <v>48</v>
      </c>
      <c r="C63" s="43">
        <f>IFERROR(VLOOKUP($A63,DETAIL!$C$4:$M1001,11,FALSE),0)</f>
        <v>407.1212121</v>
      </c>
      <c r="D63" s="45"/>
      <c r="E63" s="35"/>
      <c r="F63" s="42" t="str">
        <f t="array" ref="F63">INDEX('MASTER MANIFEST'!$D$3:$D1001,MATCH(1,($D63='MASTER MANIFEST'!$B$3:$B1001)*($E63='MASTER MANIFEST'!$C$3:$C1001),0))</f>
        <v/>
      </c>
      <c r="G63" s="42" t="str">
        <f t="array" ref="G63">INDEX('MASTER MANIFEST'!$G$3:$G1001,MATCH(1,($D63='MASTER MANIFEST'!$B$3:$B1001)*($E63='MASTER MANIFEST'!$C$3:$C1001),0))</f>
        <v/>
      </c>
      <c r="H63" s="43">
        <f t="shared" si="3"/>
        <v>-407.1212121</v>
      </c>
      <c r="I63" s="45"/>
      <c r="J63" s="35"/>
      <c r="K63" s="42" t="str">
        <f t="array" ref="K63">INDEX('MASTER MANIFEST'!$D$3:$D1001,MATCH(1,($I63='MASTER MANIFEST'!$B$3:$B1001)*($J63='MASTER MANIFEST'!$C$3:$C1001),0))</f>
        <v/>
      </c>
      <c r="L63" s="43" t="str">
        <f t="array" ref="L63">INDEX('MASTER MANIFEST'!$G$3:$G1001,MATCH(1,($I63='MASTER MANIFEST'!$B$3:$B1001)*($J63='MASTER MANIFEST'!$C$3:$C1001),0))</f>
        <v/>
      </c>
      <c r="M63" s="43">
        <f t="shared" si="4"/>
        <v>0</v>
      </c>
      <c r="N63" s="43">
        <f t="shared" si="5"/>
        <v>0</v>
      </c>
      <c r="O63" s="42">
        <f t="shared" si="6"/>
        <v>0</v>
      </c>
    </row>
    <row r="64">
      <c r="A64" s="42" t="str">
        <f>IFERROR(__xludf.DUMMYFUNCTION("""COMPUTED_VALUE"""),"GR18255")</f>
        <v>GR18255</v>
      </c>
      <c r="B64" s="44" t="s">
        <v>48</v>
      </c>
      <c r="C64" s="43">
        <f>IFERROR(VLOOKUP($A64,DETAIL!$C$4:$M1001,11,FALSE),0)</f>
        <v>438.2939394</v>
      </c>
      <c r="D64" s="45"/>
      <c r="E64" s="35"/>
      <c r="F64" s="42" t="str">
        <f t="array" ref="F64">INDEX('MASTER MANIFEST'!$D$3:$D1001,MATCH(1,($D64='MASTER MANIFEST'!$B$3:$B1001)*($E64='MASTER MANIFEST'!$C$3:$C1001),0))</f>
        <v/>
      </c>
      <c r="G64" s="42" t="str">
        <f t="array" ref="G64">INDEX('MASTER MANIFEST'!$G$3:$G1001,MATCH(1,($D64='MASTER MANIFEST'!$B$3:$B1001)*($E64='MASTER MANIFEST'!$C$3:$C1001),0))</f>
        <v/>
      </c>
      <c r="H64" s="43">
        <f t="shared" si="3"/>
        <v>-438.2939394</v>
      </c>
      <c r="I64" s="45"/>
      <c r="J64" s="35"/>
      <c r="K64" s="42" t="str">
        <f t="array" ref="K64">INDEX('MASTER MANIFEST'!$D$3:$D1001,MATCH(1,($I64='MASTER MANIFEST'!$B$3:$B1001)*($J64='MASTER MANIFEST'!$C$3:$C1001),0))</f>
        <v/>
      </c>
      <c r="L64" s="43" t="str">
        <f t="array" ref="L64">INDEX('MASTER MANIFEST'!$G$3:$G1001,MATCH(1,($I64='MASTER MANIFEST'!$B$3:$B1001)*($J64='MASTER MANIFEST'!$C$3:$C1001),0))</f>
        <v/>
      </c>
      <c r="M64" s="43">
        <f t="shared" si="4"/>
        <v>0</v>
      </c>
      <c r="N64" s="43">
        <f t="shared" si="5"/>
        <v>0</v>
      </c>
      <c r="O64" s="42">
        <f t="shared" si="6"/>
        <v>0</v>
      </c>
    </row>
    <row r="65">
      <c r="A65" s="42" t="str">
        <f>IFERROR(__xludf.DUMMYFUNCTION("""COMPUTED_VALUE"""),"GR18256")</f>
        <v>GR18256</v>
      </c>
      <c r="B65" s="44" t="s">
        <v>48</v>
      </c>
      <c r="C65" s="43">
        <f>IFERROR(VLOOKUP($A65,DETAIL!$C$4:$M1001,11,FALSE),0)</f>
        <v>480.3030303</v>
      </c>
      <c r="D65" s="45"/>
      <c r="E65" s="35"/>
      <c r="F65" s="42" t="str">
        <f t="array" ref="F65">INDEX('MASTER MANIFEST'!$D$3:$D1001,MATCH(1,($D65='MASTER MANIFEST'!$B$3:$B1001)*($E65='MASTER MANIFEST'!$C$3:$C1001),0))</f>
        <v/>
      </c>
      <c r="G65" s="42" t="str">
        <f t="array" ref="G65">INDEX('MASTER MANIFEST'!$G$3:$G1001,MATCH(1,($D65='MASTER MANIFEST'!$B$3:$B1001)*($E65='MASTER MANIFEST'!$C$3:$C1001),0))</f>
        <v/>
      </c>
      <c r="H65" s="43">
        <f t="shared" si="3"/>
        <v>-480.3030303</v>
      </c>
      <c r="I65" s="45"/>
      <c r="J65" s="35"/>
      <c r="K65" s="42" t="str">
        <f t="array" ref="K65">INDEX('MASTER MANIFEST'!$D$3:$D1001,MATCH(1,($I65='MASTER MANIFEST'!$B$3:$B1001)*($J65='MASTER MANIFEST'!$C$3:$C1001),0))</f>
        <v/>
      </c>
      <c r="L65" s="43" t="str">
        <f t="array" ref="L65">INDEX('MASTER MANIFEST'!$G$3:$G1001,MATCH(1,($I65='MASTER MANIFEST'!$B$3:$B1001)*($J65='MASTER MANIFEST'!$C$3:$C1001),0))</f>
        <v/>
      </c>
      <c r="M65" s="43">
        <f t="shared" si="4"/>
        <v>0</v>
      </c>
      <c r="N65" s="43">
        <f t="shared" si="5"/>
        <v>0</v>
      </c>
      <c r="O65" s="42">
        <f t="shared" si="6"/>
        <v>0</v>
      </c>
    </row>
    <row r="66">
      <c r="A66" s="42" t="str">
        <f>IFERROR(__xludf.DUMMYFUNCTION("""COMPUTED_VALUE"""),"GR18257")</f>
        <v>GR18257</v>
      </c>
      <c r="B66" s="44" t="s">
        <v>48</v>
      </c>
      <c r="C66" s="43">
        <f>IFERROR(VLOOKUP($A66,DETAIL!$C$4:$M1001,11,FALSE),0)</f>
        <v>301.3515152</v>
      </c>
      <c r="D66" s="45"/>
      <c r="E66" s="35"/>
      <c r="F66" s="42" t="str">
        <f t="array" ref="F66">INDEX('MASTER MANIFEST'!$D$3:$D1001,MATCH(1,($D66='MASTER MANIFEST'!$B$3:$B1001)*($E66='MASTER MANIFEST'!$C$3:$C1001),0))</f>
        <v/>
      </c>
      <c r="G66" s="42" t="str">
        <f t="array" ref="G66">INDEX('MASTER MANIFEST'!$G$3:$G1001,MATCH(1,($D66='MASTER MANIFEST'!$B$3:$B1001)*($E66='MASTER MANIFEST'!$C$3:$C1001),0))</f>
        <v/>
      </c>
      <c r="H66" s="43">
        <f t="shared" si="3"/>
        <v>-301.3515152</v>
      </c>
      <c r="I66" s="45"/>
      <c r="J66" s="35"/>
      <c r="K66" s="42" t="str">
        <f t="array" ref="K66">INDEX('MASTER MANIFEST'!$D$3:$D1001,MATCH(1,($I66='MASTER MANIFEST'!$B$3:$B1001)*($J66='MASTER MANIFEST'!$C$3:$C1001),0))</f>
        <v/>
      </c>
      <c r="L66" s="43" t="str">
        <f t="array" ref="L66">INDEX('MASTER MANIFEST'!$G$3:$G1001,MATCH(1,($I66='MASTER MANIFEST'!$B$3:$B1001)*($J66='MASTER MANIFEST'!$C$3:$C1001),0))</f>
        <v/>
      </c>
      <c r="M66" s="43">
        <f t="shared" si="4"/>
        <v>0</v>
      </c>
      <c r="N66" s="43">
        <f t="shared" si="5"/>
        <v>0</v>
      </c>
      <c r="O66" s="42">
        <f t="shared" si="6"/>
        <v>0</v>
      </c>
    </row>
    <row r="67">
      <c r="A67" s="42" t="str">
        <f>IFERROR(__xludf.DUMMYFUNCTION("""COMPUTED_VALUE"""),"GR18258")</f>
        <v>GR18258</v>
      </c>
      <c r="B67" s="44" t="s">
        <v>48</v>
      </c>
      <c r="C67" s="43">
        <f>IFERROR(VLOOKUP($A67,DETAIL!$C$4:$M1001,11,FALSE),0)</f>
        <v>479.6818182</v>
      </c>
      <c r="D67" s="45"/>
      <c r="E67" s="35"/>
      <c r="F67" s="42" t="str">
        <f t="array" ref="F67">INDEX('MASTER MANIFEST'!$D$3:$D1001,MATCH(1,($D67='MASTER MANIFEST'!$B$3:$B1001)*($E67='MASTER MANIFEST'!$C$3:$C1001),0))</f>
        <v/>
      </c>
      <c r="G67" s="42" t="str">
        <f t="array" ref="G67">INDEX('MASTER MANIFEST'!$G$3:$G1001,MATCH(1,($D67='MASTER MANIFEST'!$B$3:$B1001)*($E67='MASTER MANIFEST'!$C$3:$C1001),0))</f>
        <v/>
      </c>
      <c r="H67" s="43">
        <f t="shared" si="3"/>
        <v>-479.6818182</v>
      </c>
      <c r="I67" s="45"/>
      <c r="J67" s="35"/>
      <c r="K67" s="42" t="str">
        <f t="array" ref="K67">INDEX('MASTER MANIFEST'!$D$3:$D1001,MATCH(1,($I67='MASTER MANIFEST'!$B$3:$B1001)*($J67='MASTER MANIFEST'!$C$3:$C1001),0))</f>
        <v/>
      </c>
      <c r="L67" s="43" t="str">
        <f t="array" ref="L67">INDEX('MASTER MANIFEST'!$G$3:$G1001,MATCH(1,($I67='MASTER MANIFEST'!$B$3:$B1001)*($J67='MASTER MANIFEST'!$C$3:$C1001),0))</f>
        <v/>
      </c>
      <c r="M67" s="43">
        <f t="shared" si="4"/>
        <v>0</v>
      </c>
      <c r="N67" s="43">
        <f t="shared" si="5"/>
        <v>0</v>
      </c>
      <c r="O67" s="42">
        <f t="shared" si="6"/>
        <v>0</v>
      </c>
    </row>
    <row r="68">
      <c r="A68" s="42" t="str">
        <f>IFERROR(__xludf.DUMMYFUNCTION("""COMPUTED_VALUE"""),"GR18259")</f>
        <v>GR18259</v>
      </c>
      <c r="B68" s="44" t="s">
        <v>48</v>
      </c>
      <c r="C68" s="43">
        <f>IFERROR(VLOOKUP($A68,DETAIL!$C$4:$M1001,11,FALSE),0)</f>
        <v>372.269697</v>
      </c>
      <c r="D68" s="45"/>
      <c r="E68" s="35"/>
      <c r="F68" s="42" t="str">
        <f t="array" ref="F68">INDEX('MASTER MANIFEST'!$D$3:$D1001,MATCH(1,($D68='MASTER MANIFEST'!$B$3:$B1001)*($E68='MASTER MANIFEST'!$C$3:$C1001),0))</f>
        <v/>
      </c>
      <c r="G68" s="42" t="str">
        <f t="array" ref="G68">INDEX('MASTER MANIFEST'!$G$3:$G1001,MATCH(1,($D68='MASTER MANIFEST'!$B$3:$B1001)*($E68='MASTER MANIFEST'!$C$3:$C1001),0))</f>
        <v/>
      </c>
      <c r="H68" s="43">
        <f t="shared" si="3"/>
        <v>-372.269697</v>
      </c>
      <c r="I68" s="45"/>
      <c r="J68" s="35"/>
      <c r="K68" s="42" t="str">
        <f t="array" ref="K68">INDEX('MASTER MANIFEST'!$D$3:$D1001,MATCH(1,($I68='MASTER MANIFEST'!$B$3:$B1001)*($J68='MASTER MANIFEST'!$C$3:$C1001),0))</f>
        <v/>
      </c>
      <c r="L68" s="43" t="str">
        <f t="array" ref="L68">INDEX('MASTER MANIFEST'!$G$3:$G1001,MATCH(1,($I68='MASTER MANIFEST'!$B$3:$B1001)*($J68='MASTER MANIFEST'!$C$3:$C1001),0))</f>
        <v/>
      </c>
      <c r="M68" s="43">
        <f t="shared" si="4"/>
        <v>0</v>
      </c>
      <c r="N68" s="43">
        <f t="shared" si="5"/>
        <v>0</v>
      </c>
      <c r="O68" s="42">
        <f t="shared" si="6"/>
        <v>0</v>
      </c>
    </row>
    <row r="69">
      <c r="A69" s="42" t="str">
        <f>IFERROR(__xludf.DUMMYFUNCTION("""COMPUTED_VALUE"""),"GR18260")</f>
        <v>GR18260</v>
      </c>
      <c r="B69" s="44" t="s">
        <v>48</v>
      </c>
      <c r="C69" s="43">
        <f>IFERROR(VLOOKUP($A69,DETAIL!$C$4:$M1001,11,FALSE),0)</f>
        <v>428.2151515</v>
      </c>
      <c r="D69" s="45"/>
      <c r="E69" s="35"/>
      <c r="F69" s="42" t="str">
        <f t="array" ref="F69">INDEX('MASTER MANIFEST'!$D$3:$D1001,MATCH(1,($D69='MASTER MANIFEST'!$B$3:$B1001)*($E69='MASTER MANIFEST'!$C$3:$C1001),0))</f>
        <v/>
      </c>
      <c r="G69" s="42" t="str">
        <f t="array" ref="G69">INDEX('MASTER MANIFEST'!$G$3:$G1001,MATCH(1,($D69='MASTER MANIFEST'!$B$3:$B1001)*($E69='MASTER MANIFEST'!$C$3:$C1001),0))</f>
        <v/>
      </c>
      <c r="H69" s="43">
        <f t="shared" si="3"/>
        <v>-428.2151515</v>
      </c>
      <c r="I69" s="45"/>
      <c r="J69" s="35"/>
      <c r="K69" s="42" t="str">
        <f t="array" ref="K69">INDEX('MASTER MANIFEST'!$D$3:$D1001,MATCH(1,($I69='MASTER MANIFEST'!$B$3:$B1001)*($J69='MASTER MANIFEST'!$C$3:$C1001),0))</f>
        <v/>
      </c>
      <c r="L69" s="43" t="str">
        <f t="array" ref="L69">INDEX('MASTER MANIFEST'!$G$3:$G1001,MATCH(1,($I69='MASTER MANIFEST'!$B$3:$B1001)*($J69='MASTER MANIFEST'!$C$3:$C1001),0))</f>
        <v/>
      </c>
      <c r="M69" s="43">
        <f t="shared" si="4"/>
        <v>0</v>
      </c>
      <c r="N69" s="43">
        <f t="shared" si="5"/>
        <v>0</v>
      </c>
      <c r="O69" s="42">
        <f t="shared" si="6"/>
        <v>0</v>
      </c>
    </row>
    <row r="70">
      <c r="A70" s="42" t="str">
        <f>IFERROR(__xludf.DUMMYFUNCTION("""COMPUTED_VALUE"""),"GR18261")</f>
        <v>GR18261</v>
      </c>
      <c r="B70" s="44" t="s">
        <v>48</v>
      </c>
      <c r="C70" s="43">
        <f>IFERROR(VLOOKUP($A70,DETAIL!$C$4:$M1001,11,FALSE),0)</f>
        <v>600.9545455</v>
      </c>
      <c r="D70" s="45"/>
      <c r="E70" s="35"/>
      <c r="F70" s="42" t="str">
        <f t="array" ref="F70">INDEX('MASTER MANIFEST'!$D$3:$D1001,MATCH(1,($D70='MASTER MANIFEST'!$B$3:$B1001)*($E70='MASTER MANIFEST'!$C$3:$C1001),0))</f>
        <v/>
      </c>
      <c r="G70" s="42" t="str">
        <f t="array" ref="G70">INDEX('MASTER MANIFEST'!$G$3:$G1001,MATCH(1,($D70='MASTER MANIFEST'!$B$3:$B1001)*($E70='MASTER MANIFEST'!$C$3:$C1001),0))</f>
        <v/>
      </c>
      <c r="H70" s="43">
        <f t="shared" si="3"/>
        <v>-600.9545455</v>
      </c>
      <c r="I70" s="45"/>
      <c r="J70" s="35"/>
      <c r="K70" s="42" t="str">
        <f t="array" ref="K70">INDEX('MASTER MANIFEST'!$D$3:$D1001,MATCH(1,($I70='MASTER MANIFEST'!$B$3:$B1001)*($J70='MASTER MANIFEST'!$C$3:$C1001),0))</f>
        <v/>
      </c>
      <c r="L70" s="43" t="str">
        <f t="array" ref="L70">INDEX('MASTER MANIFEST'!$G$3:$G1001,MATCH(1,($I70='MASTER MANIFEST'!$B$3:$B1001)*($J70='MASTER MANIFEST'!$C$3:$C1001),0))</f>
        <v/>
      </c>
      <c r="M70" s="43">
        <f t="shared" si="4"/>
        <v>0</v>
      </c>
      <c r="N70" s="43">
        <f t="shared" si="5"/>
        <v>0</v>
      </c>
      <c r="O70" s="42">
        <f t="shared" si="6"/>
        <v>0</v>
      </c>
    </row>
    <row r="71">
      <c r="A71" s="42" t="str">
        <f>IFERROR(__xludf.DUMMYFUNCTION("""COMPUTED_VALUE"""),"GR18262")</f>
        <v>GR18262</v>
      </c>
      <c r="B71" s="44" t="s">
        <v>48</v>
      </c>
      <c r="C71" s="43">
        <f>IFERROR(VLOOKUP($A71,DETAIL!$C$4:$M1001,11,FALSE),0)</f>
        <v>462.630303</v>
      </c>
      <c r="D71" s="45"/>
      <c r="E71" s="35"/>
      <c r="F71" s="42" t="str">
        <f t="array" ref="F71">INDEX('MASTER MANIFEST'!$D$3:$D1001,MATCH(1,($D71='MASTER MANIFEST'!$B$3:$B1001)*($E71='MASTER MANIFEST'!$C$3:$C1001),0))</f>
        <v/>
      </c>
      <c r="G71" s="42" t="str">
        <f t="array" ref="G71">INDEX('MASTER MANIFEST'!$G$3:$G1001,MATCH(1,($D71='MASTER MANIFEST'!$B$3:$B1001)*($E71='MASTER MANIFEST'!$C$3:$C1001),0))</f>
        <v/>
      </c>
      <c r="H71" s="43">
        <f t="shared" si="3"/>
        <v>-462.630303</v>
      </c>
      <c r="I71" s="45"/>
      <c r="J71" s="35"/>
      <c r="K71" s="42" t="str">
        <f t="array" ref="K71">INDEX('MASTER MANIFEST'!$D$3:$D1001,MATCH(1,($I71='MASTER MANIFEST'!$B$3:$B1001)*($J71='MASTER MANIFEST'!$C$3:$C1001),0))</f>
        <v/>
      </c>
      <c r="L71" s="43" t="str">
        <f t="array" ref="L71">INDEX('MASTER MANIFEST'!$G$3:$G1001,MATCH(1,($I71='MASTER MANIFEST'!$B$3:$B1001)*($J71='MASTER MANIFEST'!$C$3:$C1001),0))</f>
        <v/>
      </c>
      <c r="M71" s="43">
        <f t="shared" si="4"/>
        <v>0</v>
      </c>
      <c r="N71" s="43">
        <f t="shared" si="5"/>
        <v>0</v>
      </c>
      <c r="O71" s="42">
        <f t="shared" si="6"/>
        <v>0</v>
      </c>
    </row>
    <row r="72">
      <c r="A72" s="42" t="str">
        <f>IFERROR(__xludf.DUMMYFUNCTION("""COMPUTED_VALUE"""),"GR18263")</f>
        <v>GR18263</v>
      </c>
      <c r="B72" s="44" t="s">
        <v>48</v>
      </c>
      <c r="C72" s="43">
        <f>IFERROR(VLOOKUP($A72,DETAIL!$C$4:$M1001,11,FALSE),0)</f>
        <v>690.2</v>
      </c>
      <c r="D72" s="45"/>
      <c r="E72" s="35"/>
      <c r="F72" s="42" t="str">
        <f t="array" ref="F72">INDEX('MASTER MANIFEST'!$D$3:$D1001,MATCH(1,($D72='MASTER MANIFEST'!$B$3:$B1001)*($E72='MASTER MANIFEST'!$C$3:$C1001),0))</f>
        <v/>
      </c>
      <c r="G72" s="42" t="str">
        <f t="array" ref="G72">INDEX('MASTER MANIFEST'!$G$3:$G1001,MATCH(1,($D72='MASTER MANIFEST'!$B$3:$B1001)*($E72='MASTER MANIFEST'!$C$3:$C1001),0))</f>
        <v/>
      </c>
      <c r="H72" s="43">
        <f t="shared" si="3"/>
        <v>-690.2</v>
      </c>
      <c r="I72" s="45"/>
      <c r="J72" s="35"/>
      <c r="K72" s="42" t="str">
        <f t="array" ref="K72">INDEX('MASTER MANIFEST'!$D$3:$D1001,MATCH(1,($I72='MASTER MANIFEST'!$B$3:$B1001)*($J72='MASTER MANIFEST'!$C$3:$C1001),0))</f>
        <v/>
      </c>
      <c r="L72" s="43" t="str">
        <f t="array" ref="L72">INDEX('MASTER MANIFEST'!$G$3:$G1001,MATCH(1,($I72='MASTER MANIFEST'!$B$3:$B1001)*($J72='MASTER MANIFEST'!$C$3:$C1001),0))</f>
        <v/>
      </c>
      <c r="M72" s="43">
        <f t="shared" si="4"/>
        <v>0</v>
      </c>
      <c r="N72" s="43">
        <f t="shared" si="5"/>
        <v>0</v>
      </c>
      <c r="O72" s="42">
        <f t="shared" si="6"/>
        <v>0</v>
      </c>
    </row>
    <row r="73">
      <c r="A73" s="42" t="str">
        <f>IFERROR(__xludf.DUMMYFUNCTION("""COMPUTED_VALUE"""),"GR18264")</f>
        <v>GR18264</v>
      </c>
      <c r="B73" s="44" t="s">
        <v>48</v>
      </c>
      <c r="C73" s="43">
        <f>IFERROR(VLOOKUP($A73,DETAIL!$C$4:$M1001,11,FALSE),0)</f>
        <v>389.6818182</v>
      </c>
      <c r="D73" s="45"/>
      <c r="E73" s="35"/>
      <c r="F73" s="42" t="str">
        <f t="array" ref="F73">INDEX('MASTER MANIFEST'!$D$3:$D1001,MATCH(1,($D73='MASTER MANIFEST'!$B$3:$B1001)*($E73='MASTER MANIFEST'!$C$3:$C1001),0))</f>
        <v/>
      </c>
      <c r="G73" s="42" t="str">
        <f t="array" ref="G73">INDEX('MASTER MANIFEST'!$G$3:$G1001,MATCH(1,($D73='MASTER MANIFEST'!$B$3:$B1001)*($E73='MASTER MANIFEST'!$C$3:$C1001),0))</f>
        <v/>
      </c>
      <c r="H73" s="43">
        <f t="shared" si="3"/>
        <v>-389.6818182</v>
      </c>
      <c r="I73" s="45"/>
      <c r="J73" s="35"/>
      <c r="K73" s="42" t="str">
        <f t="array" ref="K73">INDEX('MASTER MANIFEST'!$D$3:$D1001,MATCH(1,($I73='MASTER MANIFEST'!$B$3:$B1001)*($J73='MASTER MANIFEST'!$C$3:$C1001),0))</f>
        <v/>
      </c>
      <c r="L73" s="43" t="str">
        <f t="array" ref="L73">INDEX('MASTER MANIFEST'!$G$3:$G1001,MATCH(1,($I73='MASTER MANIFEST'!$B$3:$B1001)*($J73='MASTER MANIFEST'!$C$3:$C1001),0))</f>
        <v/>
      </c>
      <c r="M73" s="43">
        <f t="shared" si="4"/>
        <v>0</v>
      </c>
      <c r="N73" s="43">
        <f t="shared" si="5"/>
        <v>0</v>
      </c>
      <c r="O73" s="42">
        <f t="shared" si="6"/>
        <v>0</v>
      </c>
    </row>
    <row r="74">
      <c r="A74" s="42" t="str">
        <f>IFERROR(__xludf.DUMMYFUNCTION("""COMPUTED_VALUE"""),"GR18265")</f>
        <v>GR18265</v>
      </c>
      <c r="B74" s="44" t="s">
        <v>48</v>
      </c>
      <c r="C74" s="43">
        <f>IFERROR(VLOOKUP($A74,DETAIL!$C$4:$M1001,11,FALSE),0)</f>
        <v>176.3636364</v>
      </c>
      <c r="D74" s="45"/>
      <c r="E74" s="35"/>
      <c r="F74" s="42" t="str">
        <f t="array" ref="F74">INDEX('MASTER MANIFEST'!$D$3:$D1001,MATCH(1,($D74='MASTER MANIFEST'!$B$3:$B1001)*($E74='MASTER MANIFEST'!$C$3:$C1001),0))</f>
        <v/>
      </c>
      <c r="G74" s="42" t="str">
        <f t="array" ref="G74">INDEX('MASTER MANIFEST'!$G$3:$G1001,MATCH(1,($D74='MASTER MANIFEST'!$B$3:$B1001)*($E74='MASTER MANIFEST'!$C$3:$C1001),0))</f>
        <v/>
      </c>
      <c r="H74" s="43">
        <f t="shared" si="3"/>
        <v>-176.3636364</v>
      </c>
      <c r="I74" s="45"/>
      <c r="J74" s="35"/>
      <c r="K74" s="42" t="str">
        <f t="array" ref="K74">INDEX('MASTER MANIFEST'!$D$3:$D1001,MATCH(1,($I74='MASTER MANIFEST'!$B$3:$B1001)*($J74='MASTER MANIFEST'!$C$3:$C1001),0))</f>
        <v/>
      </c>
      <c r="L74" s="43" t="str">
        <f t="array" ref="L74">INDEX('MASTER MANIFEST'!$G$3:$G1001,MATCH(1,($I74='MASTER MANIFEST'!$B$3:$B1001)*($J74='MASTER MANIFEST'!$C$3:$C1001),0))</f>
        <v/>
      </c>
      <c r="M74" s="43">
        <f t="shared" si="4"/>
        <v>0</v>
      </c>
      <c r="N74" s="43">
        <f t="shared" si="5"/>
        <v>0</v>
      </c>
      <c r="O74" s="42">
        <f t="shared" si="6"/>
        <v>0</v>
      </c>
    </row>
    <row r="75">
      <c r="A75" s="42" t="str">
        <f>IFERROR(__xludf.DUMMYFUNCTION("""COMPUTED_VALUE"""),"GR18266")</f>
        <v>GR18266</v>
      </c>
      <c r="B75" s="44" t="s">
        <v>48</v>
      </c>
      <c r="C75" s="43">
        <f>IFERROR(VLOOKUP($A75,DETAIL!$C$4:$M1001,11,FALSE),0)</f>
        <v>293.3181818</v>
      </c>
      <c r="D75" s="45"/>
      <c r="E75" s="35"/>
      <c r="F75" s="42" t="str">
        <f t="array" ref="F75">INDEX('MASTER MANIFEST'!$D$3:$D1001,MATCH(1,($D75='MASTER MANIFEST'!$B$3:$B1001)*($E75='MASTER MANIFEST'!$C$3:$C1001),0))</f>
        <v/>
      </c>
      <c r="G75" s="42" t="str">
        <f t="array" ref="G75">INDEX('MASTER MANIFEST'!$G$3:$G1001,MATCH(1,($D75='MASTER MANIFEST'!$B$3:$B1001)*($E75='MASTER MANIFEST'!$C$3:$C1001),0))</f>
        <v/>
      </c>
      <c r="H75" s="43">
        <f t="shared" si="3"/>
        <v>-293.3181818</v>
      </c>
      <c r="I75" s="45"/>
      <c r="J75" s="35"/>
      <c r="K75" s="42" t="str">
        <f t="array" ref="K75">INDEX('MASTER MANIFEST'!$D$3:$D1001,MATCH(1,($I75='MASTER MANIFEST'!$B$3:$B1001)*($J75='MASTER MANIFEST'!$C$3:$C1001),0))</f>
        <v/>
      </c>
      <c r="L75" s="43" t="str">
        <f t="array" ref="L75">INDEX('MASTER MANIFEST'!$G$3:$G1001,MATCH(1,($I75='MASTER MANIFEST'!$B$3:$B1001)*($J75='MASTER MANIFEST'!$C$3:$C1001),0))</f>
        <v/>
      </c>
      <c r="M75" s="43">
        <f t="shared" si="4"/>
        <v>0</v>
      </c>
      <c r="N75" s="43">
        <f t="shared" si="5"/>
        <v>0</v>
      </c>
      <c r="O75" s="42">
        <f t="shared" si="6"/>
        <v>0</v>
      </c>
    </row>
    <row r="76">
      <c r="A76" s="42" t="str">
        <f>IFERROR(__xludf.DUMMYFUNCTION("""COMPUTED_VALUE"""),"GR18267")</f>
        <v>GR18267</v>
      </c>
      <c r="B76" s="44" t="s">
        <v>48</v>
      </c>
      <c r="C76" s="43">
        <f>IFERROR(VLOOKUP($A76,DETAIL!$C$4:$M1001,11,FALSE),0)</f>
        <v>461.5366667</v>
      </c>
      <c r="D76" s="45"/>
      <c r="E76" s="35"/>
      <c r="F76" s="42" t="str">
        <f t="array" ref="F76">INDEX('MASTER MANIFEST'!$D$3:$D1001,MATCH(1,($D76='MASTER MANIFEST'!$B$3:$B1001)*($E76='MASTER MANIFEST'!$C$3:$C1001),0))</f>
        <v/>
      </c>
      <c r="G76" s="42" t="str">
        <f t="array" ref="G76">INDEX('MASTER MANIFEST'!$G$3:$G1001,MATCH(1,($D76='MASTER MANIFEST'!$B$3:$B1001)*($E76='MASTER MANIFEST'!$C$3:$C1001),0))</f>
        <v/>
      </c>
      <c r="H76" s="43">
        <f t="shared" si="3"/>
        <v>-461.5366667</v>
      </c>
      <c r="I76" s="45"/>
      <c r="J76" s="35"/>
      <c r="K76" s="42" t="str">
        <f t="array" ref="K76">INDEX('MASTER MANIFEST'!$D$3:$D1001,MATCH(1,($I76='MASTER MANIFEST'!$B$3:$B1001)*($J76='MASTER MANIFEST'!$C$3:$C1001),0))</f>
        <v/>
      </c>
      <c r="L76" s="43" t="str">
        <f t="array" ref="L76">INDEX('MASTER MANIFEST'!$G$3:$G1001,MATCH(1,($I76='MASTER MANIFEST'!$B$3:$B1001)*($J76='MASTER MANIFEST'!$C$3:$C1001),0))</f>
        <v/>
      </c>
      <c r="M76" s="43">
        <f t="shared" si="4"/>
        <v>0</v>
      </c>
      <c r="N76" s="43">
        <f t="shared" si="5"/>
        <v>0</v>
      </c>
      <c r="O76" s="42">
        <f t="shared" si="6"/>
        <v>0</v>
      </c>
    </row>
    <row r="77">
      <c r="A77" s="42" t="str">
        <f>IFERROR(__xludf.DUMMYFUNCTION("""COMPUTED_VALUE"""),"GR18275")</f>
        <v>GR18275</v>
      </c>
      <c r="B77" s="44" t="s">
        <v>48</v>
      </c>
      <c r="C77" s="43">
        <f>IFERROR(VLOOKUP($A77,DETAIL!$C$4:$M1001,11,FALSE),0)</f>
        <v>284.3333333</v>
      </c>
      <c r="D77" s="45"/>
      <c r="E77" s="35"/>
      <c r="F77" s="42" t="str">
        <f t="array" ref="F77">INDEX('MASTER MANIFEST'!$D$3:$D1001,MATCH(1,($D77='MASTER MANIFEST'!$B$3:$B1001)*($E77='MASTER MANIFEST'!$C$3:$C1001),0))</f>
        <v/>
      </c>
      <c r="G77" s="42" t="str">
        <f t="array" ref="G77">INDEX('MASTER MANIFEST'!$G$3:$G1001,MATCH(1,($D77='MASTER MANIFEST'!$B$3:$B1001)*($E77='MASTER MANIFEST'!$C$3:$C1001),0))</f>
        <v/>
      </c>
      <c r="H77" s="43">
        <f t="shared" si="3"/>
        <v>-284.3333333</v>
      </c>
      <c r="I77" s="45"/>
      <c r="J77" s="35"/>
      <c r="K77" s="42" t="str">
        <f t="array" ref="K77">INDEX('MASTER MANIFEST'!$D$3:$D1001,MATCH(1,($I77='MASTER MANIFEST'!$B$3:$B1001)*($J77='MASTER MANIFEST'!$C$3:$C1001),0))</f>
        <v/>
      </c>
      <c r="L77" s="43" t="str">
        <f t="array" ref="L77">INDEX('MASTER MANIFEST'!$G$3:$G1001,MATCH(1,($I77='MASTER MANIFEST'!$B$3:$B1001)*($J77='MASTER MANIFEST'!$C$3:$C1001),0))</f>
        <v/>
      </c>
      <c r="M77" s="43">
        <f t="shared" si="4"/>
        <v>0</v>
      </c>
      <c r="N77" s="43">
        <f t="shared" si="5"/>
        <v>0</v>
      </c>
      <c r="O77" s="42">
        <f t="shared" si="6"/>
        <v>0</v>
      </c>
    </row>
    <row r="78">
      <c r="A78" s="42" t="str">
        <f>IFERROR(__xludf.DUMMYFUNCTION("""COMPUTED_VALUE"""),"GR18276")</f>
        <v>GR18276</v>
      </c>
      <c r="B78" s="44" t="s">
        <v>48</v>
      </c>
      <c r="C78" s="43">
        <f>IFERROR(VLOOKUP($A78,DETAIL!$C$4:$M1001,11,FALSE),0)</f>
        <v>151.6633333</v>
      </c>
      <c r="D78" s="45"/>
      <c r="E78" s="35"/>
      <c r="F78" s="42" t="str">
        <f t="array" ref="F78">INDEX('MASTER MANIFEST'!$D$3:$D1001,MATCH(1,($D78='MASTER MANIFEST'!$B$3:$B1001)*($E78='MASTER MANIFEST'!$C$3:$C1001),0))</f>
        <v/>
      </c>
      <c r="G78" s="42" t="str">
        <f t="array" ref="G78">INDEX('MASTER MANIFEST'!$G$3:$G1001,MATCH(1,($D78='MASTER MANIFEST'!$B$3:$B1001)*($E78='MASTER MANIFEST'!$C$3:$C1001),0))</f>
        <v/>
      </c>
      <c r="H78" s="43">
        <f t="shared" si="3"/>
        <v>-151.6633333</v>
      </c>
      <c r="I78" s="45"/>
      <c r="J78" s="35"/>
      <c r="K78" s="42" t="str">
        <f t="array" ref="K78">INDEX('MASTER MANIFEST'!$D$3:$D1001,MATCH(1,($I78='MASTER MANIFEST'!$B$3:$B1001)*($J78='MASTER MANIFEST'!$C$3:$C1001),0))</f>
        <v/>
      </c>
      <c r="L78" s="43" t="str">
        <f t="array" ref="L78">INDEX('MASTER MANIFEST'!$G$3:$G1001,MATCH(1,($I78='MASTER MANIFEST'!$B$3:$B1001)*($J78='MASTER MANIFEST'!$C$3:$C1001),0))</f>
        <v/>
      </c>
      <c r="M78" s="43">
        <f t="shared" si="4"/>
        <v>0</v>
      </c>
      <c r="N78" s="43">
        <f t="shared" si="5"/>
        <v>0</v>
      </c>
      <c r="O78" s="42">
        <f t="shared" si="6"/>
        <v>0</v>
      </c>
    </row>
    <row r="79">
      <c r="A79" s="42" t="str">
        <f>IFERROR(__xludf.DUMMYFUNCTION("""COMPUTED_VALUE"""),"GR18277")</f>
        <v>GR18277</v>
      </c>
      <c r="B79" s="44" t="s">
        <v>48</v>
      </c>
      <c r="C79" s="43">
        <f>IFERROR(VLOOKUP($A79,DETAIL!$C$4:$M1001,11,FALSE),0)</f>
        <v>522.3333333</v>
      </c>
      <c r="D79" s="45"/>
      <c r="E79" s="35"/>
      <c r="F79" s="42" t="str">
        <f t="array" ref="F79">INDEX('MASTER MANIFEST'!$D$3:$D1001,MATCH(1,($D79='MASTER MANIFEST'!$B$3:$B1001)*($E79='MASTER MANIFEST'!$C$3:$C1001),0))</f>
        <v/>
      </c>
      <c r="G79" s="42" t="str">
        <f t="array" ref="G79">INDEX('MASTER MANIFEST'!$G$3:$G1001,MATCH(1,($D79='MASTER MANIFEST'!$B$3:$B1001)*($E79='MASTER MANIFEST'!$C$3:$C1001),0))</f>
        <v/>
      </c>
      <c r="H79" s="43">
        <f t="shared" si="3"/>
        <v>-522.3333333</v>
      </c>
      <c r="I79" s="45"/>
      <c r="J79" s="35"/>
      <c r="K79" s="42" t="str">
        <f t="array" ref="K79">INDEX('MASTER MANIFEST'!$D$3:$D1001,MATCH(1,($I79='MASTER MANIFEST'!$B$3:$B1001)*($J79='MASTER MANIFEST'!$C$3:$C1001),0))</f>
        <v/>
      </c>
      <c r="L79" s="43" t="str">
        <f t="array" ref="L79">INDEX('MASTER MANIFEST'!$G$3:$G1001,MATCH(1,($I79='MASTER MANIFEST'!$B$3:$B1001)*($J79='MASTER MANIFEST'!$C$3:$C1001),0))</f>
        <v/>
      </c>
      <c r="M79" s="43">
        <f t="shared" si="4"/>
        <v>0</v>
      </c>
      <c r="N79" s="43">
        <f t="shared" si="5"/>
        <v>0</v>
      </c>
      <c r="O79" s="42">
        <f t="shared" si="6"/>
        <v>0</v>
      </c>
    </row>
    <row r="80">
      <c r="A80" s="42" t="str">
        <f>IFERROR(__xludf.DUMMYFUNCTION("""COMPUTED_VALUE"""),"GR18278")</f>
        <v>GR18278</v>
      </c>
      <c r="B80" s="44" t="s">
        <v>48</v>
      </c>
      <c r="C80" s="43">
        <f>IFERROR(VLOOKUP($A80,DETAIL!$C$4:$M1001,11,FALSE),0)</f>
        <v>513.3333333</v>
      </c>
      <c r="D80" s="45"/>
      <c r="E80" s="35"/>
      <c r="F80" s="42" t="str">
        <f t="array" ref="F80">INDEX('MASTER MANIFEST'!$D$3:$D1001,MATCH(1,($D80='MASTER MANIFEST'!$B$3:$B1001)*($E80='MASTER MANIFEST'!$C$3:$C1001),0))</f>
        <v/>
      </c>
      <c r="G80" s="42" t="str">
        <f t="array" ref="G80">INDEX('MASTER MANIFEST'!$G$3:$G1001,MATCH(1,($D80='MASTER MANIFEST'!$B$3:$B1001)*($E80='MASTER MANIFEST'!$C$3:$C1001),0))</f>
        <v/>
      </c>
      <c r="H80" s="43">
        <f t="shared" si="3"/>
        <v>-513.3333333</v>
      </c>
      <c r="I80" s="45"/>
      <c r="J80" s="35"/>
      <c r="K80" s="42" t="str">
        <f t="array" ref="K80">INDEX('MASTER MANIFEST'!$D$3:$D1001,MATCH(1,($I80='MASTER MANIFEST'!$B$3:$B1001)*($J80='MASTER MANIFEST'!$C$3:$C1001),0))</f>
        <v/>
      </c>
      <c r="L80" s="43" t="str">
        <f t="array" ref="L80">INDEX('MASTER MANIFEST'!$G$3:$G1001,MATCH(1,($I80='MASTER MANIFEST'!$B$3:$B1001)*($J80='MASTER MANIFEST'!$C$3:$C1001),0))</f>
        <v/>
      </c>
      <c r="M80" s="43">
        <f t="shared" si="4"/>
        <v>0</v>
      </c>
      <c r="N80" s="43">
        <f t="shared" si="5"/>
        <v>0</v>
      </c>
      <c r="O80" s="42">
        <f t="shared" si="6"/>
        <v>0</v>
      </c>
    </row>
    <row r="81">
      <c r="A81" s="42" t="str">
        <f>IFERROR(__xludf.DUMMYFUNCTION("""COMPUTED_VALUE"""),"GR18279")</f>
        <v>GR18279</v>
      </c>
      <c r="B81" s="44" t="s">
        <v>48</v>
      </c>
      <c r="C81" s="43">
        <f>IFERROR(VLOOKUP($A81,DETAIL!$C$4:$M1001,11,FALSE),0)</f>
        <v>267</v>
      </c>
      <c r="D81" s="45"/>
      <c r="E81" s="35"/>
      <c r="F81" s="42" t="str">
        <f t="array" ref="F81">INDEX('MASTER MANIFEST'!$D$3:$D1001,MATCH(1,($D81='MASTER MANIFEST'!$B$3:$B1001)*($E81='MASTER MANIFEST'!$C$3:$C1001),0))</f>
        <v/>
      </c>
      <c r="G81" s="42" t="str">
        <f t="array" ref="G81">INDEX('MASTER MANIFEST'!$G$3:$G1001,MATCH(1,($D81='MASTER MANIFEST'!$B$3:$B1001)*($E81='MASTER MANIFEST'!$C$3:$C1001),0))</f>
        <v/>
      </c>
      <c r="H81" s="43">
        <f t="shared" si="3"/>
        <v>-267</v>
      </c>
      <c r="I81" s="45"/>
      <c r="J81" s="35"/>
      <c r="K81" s="42" t="str">
        <f t="array" ref="K81">INDEX('MASTER MANIFEST'!$D$3:$D1001,MATCH(1,($I81='MASTER MANIFEST'!$B$3:$B1001)*($J81='MASTER MANIFEST'!$C$3:$C1001),0))</f>
        <v/>
      </c>
      <c r="L81" s="43" t="str">
        <f t="array" ref="L81">INDEX('MASTER MANIFEST'!$G$3:$G1001,MATCH(1,($I81='MASTER MANIFEST'!$B$3:$B1001)*($J81='MASTER MANIFEST'!$C$3:$C1001),0))</f>
        <v/>
      </c>
      <c r="M81" s="43">
        <f t="shared" si="4"/>
        <v>0</v>
      </c>
      <c r="N81" s="43">
        <f t="shared" si="5"/>
        <v>0</v>
      </c>
      <c r="O81" s="42">
        <f t="shared" si="6"/>
        <v>0</v>
      </c>
    </row>
    <row r="82">
      <c r="A82" s="42" t="str">
        <f>IFERROR(__xludf.DUMMYFUNCTION("""COMPUTED_VALUE"""),"GR18280")</f>
        <v>GR18280</v>
      </c>
      <c r="B82" s="44" t="s">
        <v>48</v>
      </c>
      <c r="C82" s="43">
        <f>IFERROR(VLOOKUP($A82,DETAIL!$C$4:$M1001,11,FALSE),0)</f>
        <v>226.6566667</v>
      </c>
      <c r="D82" s="45"/>
      <c r="E82" s="35"/>
      <c r="F82" s="42" t="str">
        <f t="array" ref="F82">INDEX('MASTER MANIFEST'!$D$3:$D1001,MATCH(1,($D82='MASTER MANIFEST'!$B$3:$B1001)*($E82='MASTER MANIFEST'!$C$3:$C1001),0))</f>
        <v/>
      </c>
      <c r="G82" s="42" t="str">
        <f t="array" ref="G82">INDEX('MASTER MANIFEST'!$G$3:$G1001,MATCH(1,($D82='MASTER MANIFEST'!$B$3:$B1001)*($E82='MASTER MANIFEST'!$C$3:$C1001),0))</f>
        <v/>
      </c>
      <c r="H82" s="43">
        <f t="shared" si="3"/>
        <v>-226.6566667</v>
      </c>
      <c r="I82" s="45"/>
      <c r="J82" s="35"/>
      <c r="K82" s="42" t="str">
        <f t="array" ref="K82">INDEX('MASTER MANIFEST'!$D$3:$D1001,MATCH(1,($I82='MASTER MANIFEST'!$B$3:$B1001)*($J82='MASTER MANIFEST'!$C$3:$C1001),0))</f>
        <v/>
      </c>
      <c r="L82" s="43" t="str">
        <f t="array" ref="L82">INDEX('MASTER MANIFEST'!$G$3:$G1001,MATCH(1,($I82='MASTER MANIFEST'!$B$3:$B1001)*($J82='MASTER MANIFEST'!$C$3:$C1001),0))</f>
        <v/>
      </c>
      <c r="M82" s="43">
        <f t="shared" si="4"/>
        <v>0</v>
      </c>
      <c r="N82" s="43">
        <f t="shared" si="5"/>
        <v>0</v>
      </c>
      <c r="O82" s="42">
        <f t="shared" si="6"/>
        <v>0</v>
      </c>
    </row>
    <row r="83">
      <c r="A83" s="42" t="str">
        <f>IFERROR(__xludf.DUMMYFUNCTION("""COMPUTED_VALUE"""),"GR18281")</f>
        <v>GR18281</v>
      </c>
      <c r="B83" s="44" t="s">
        <v>48</v>
      </c>
      <c r="C83" s="43">
        <f>IFERROR(VLOOKUP($A83,DETAIL!$C$4:$M1001,11,FALSE),0)</f>
        <v>138.3333333</v>
      </c>
      <c r="D83" s="45"/>
      <c r="E83" s="35"/>
      <c r="F83" s="42" t="str">
        <f t="array" ref="F83">INDEX('MASTER MANIFEST'!$D$3:$D1001,MATCH(1,($D83='MASTER MANIFEST'!$B$3:$B1001)*($E83='MASTER MANIFEST'!$C$3:$C1001),0))</f>
        <v/>
      </c>
      <c r="G83" s="42" t="str">
        <f t="array" ref="G83">INDEX('MASTER MANIFEST'!$G$3:$G1001,MATCH(1,($D83='MASTER MANIFEST'!$B$3:$B1001)*($E83='MASTER MANIFEST'!$C$3:$C1001),0))</f>
        <v/>
      </c>
      <c r="H83" s="43">
        <f t="shared" si="3"/>
        <v>-138.3333333</v>
      </c>
      <c r="I83" s="45"/>
      <c r="J83" s="35"/>
      <c r="K83" s="42" t="str">
        <f t="array" ref="K83">INDEX('MASTER MANIFEST'!$D$3:$D1001,MATCH(1,($I83='MASTER MANIFEST'!$B$3:$B1001)*($J83='MASTER MANIFEST'!$C$3:$C1001),0))</f>
        <v/>
      </c>
      <c r="L83" s="43" t="str">
        <f t="array" ref="L83">INDEX('MASTER MANIFEST'!$G$3:$G1001,MATCH(1,($I83='MASTER MANIFEST'!$B$3:$B1001)*($J83='MASTER MANIFEST'!$C$3:$C1001),0))</f>
        <v/>
      </c>
      <c r="M83" s="43">
        <f t="shared" si="4"/>
        <v>0</v>
      </c>
      <c r="N83" s="43">
        <f t="shared" si="5"/>
        <v>0</v>
      </c>
      <c r="O83" s="42">
        <f t="shared" si="6"/>
        <v>0</v>
      </c>
    </row>
    <row r="84">
      <c r="A84" s="42" t="str">
        <f>IFERROR(__xludf.DUMMYFUNCTION("""COMPUTED_VALUE"""),"GR18282")</f>
        <v>GR18282</v>
      </c>
      <c r="B84" s="44" t="s">
        <v>48</v>
      </c>
      <c r="C84" s="43">
        <f>IFERROR(VLOOKUP($A84,DETAIL!$C$4:$M1001,11,FALSE),0)</f>
        <v>288</v>
      </c>
      <c r="D84" s="45"/>
      <c r="E84" s="35"/>
      <c r="F84" s="42" t="str">
        <f t="array" ref="F84">INDEX('MASTER MANIFEST'!$D$3:$D1001,MATCH(1,($D84='MASTER MANIFEST'!$B$3:$B1001)*($E84='MASTER MANIFEST'!$C$3:$C1001),0))</f>
        <v/>
      </c>
      <c r="G84" s="42" t="str">
        <f t="array" ref="G84">INDEX('MASTER MANIFEST'!$G$3:$G1001,MATCH(1,($D84='MASTER MANIFEST'!$B$3:$B1001)*($E84='MASTER MANIFEST'!$C$3:$C1001),0))</f>
        <v/>
      </c>
      <c r="H84" s="43">
        <f t="shared" si="3"/>
        <v>-288</v>
      </c>
      <c r="I84" s="45"/>
      <c r="J84" s="35"/>
      <c r="K84" s="42" t="str">
        <f t="array" ref="K84">INDEX('MASTER MANIFEST'!$D$3:$D1001,MATCH(1,($I84='MASTER MANIFEST'!$B$3:$B1001)*($J84='MASTER MANIFEST'!$C$3:$C1001),0))</f>
        <v/>
      </c>
      <c r="L84" s="43" t="str">
        <f t="array" ref="L84">INDEX('MASTER MANIFEST'!$G$3:$G1001,MATCH(1,($I84='MASTER MANIFEST'!$B$3:$B1001)*($J84='MASTER MANIFEST'!$C$3:$C1001),0))</f>
        <v/>
      </c>
      <c r="M84" s="43">
        <f t="shared" si="4"/>
        <v>0</v>
      </c>
      <c r="N84" s="43">
        <f t="shared" si="5"/>
        <v>0</v>
      </c>
      <c r="O84" s="42">
        <f t="shared" si="6"/>
        <v>0</v>
      </c>
    </row>
    <row r="85">
      <c r="A85" s="42" t="str">
        <f>IFERROR(__xludf.DUMMYFUNCTION("""COMPUTED_VALUE"""),"GR18283")</f>
        <v>GR18283</v>
      </c>
      <c r="B85" s="44" t="s">
        <v>48</v>
      </c>
      <c r="C85" s="43">
        <f>IFERROR(VLOOKUP($A85,DETAIL!$C$4:$M1001,11,FALSE),0)</f>
        <v>606.6666667</v>
      </c>
      <c r="D85" s="45"/>
      <c r="E85" s="35"/>
      <c r="F85" s="42" t="str">
        <f t="array" ref="F85">INDEX('MASTER MANIFEST'!$D$3:$D1001,MATCH(1,($D85='MASTER MANIFEST'!$B$3:$B1001)*($E85='MASTER MANIFEST'!$C$3:$C1001),0))</f>
        <v/>
      </c>
      <c r="G85" s="42" t="str">
        <f t="array" ref="G85">INDEX('MASTER MANIFEST'!$G$3:$G1001,MATCH(1,($D85='MASTER MANIFEST'!$B$3:$B1001)*($E85='MASTER MANIFEST'!$C$3:$C1001),0))</f>
        <v/>
      </c>
      <c r="H85" s="43">
        <f t="shared" si="3"/>
        <v>-606.6666667</v>
      </c>
      <c r="I85" s="45"/>
      <c r="J85" s="35"/>
      <c r="K85" s="42" t="str">
        <f t="array" ref="K85">INDEX('MASTER MANIFEST'!$D$3:$D1001,MATCH(1,($I85='MASTER MANIFEST'!$B$3:$B1001)*($J85='MASTER MANIFEST'!$C$3:$C1001),0))</f>
        <v/>
      </c>
      <c r="L85" s="43" t="str">
        <f t="array" ref="L85">INDEX('MASTER MANIFEST'!$G$3:$G1001,MATCH(1,($I85='MASTER MANIFEST'!$B$3:$B1001)*($J85='MASTER MANIFEST'!$C$3:$C1001),0))</f>
        <v/>
      </c>
      <c r="M85" s="43">
        <f t="shared" si="4"/>
        <v>0</v>
      </c>
      <c r="N85" s="43">
        <f t="shared" si="5"/>
        <v>0</v>
      </c>
      <c r="O85" s="42">
        <f t="shared" si="6"/>
        <v>0</v>
      </c>
    </row>
    <row r="86">
      <c r="A86" s="42" t="str">
        <f>IFERROR(__xludf.DUMMYFUNCTION("""COMPUTED_VALUE"""),"GR18284")</f>
        <v>GR18284</v>
      </c>
      <c r="B86" s="44" t="s">
        <v>48</v>
      </c>
      <c r="C86" s="43">
        <f>IFERROR(VLOOKUP($A86,DETAIL!$C$4:$M1001,11,FALSE),0)</f>
        <v>135.5</v>
      </c>
      <c r="D86" s="45"/>
      <c r="E86" s="35"/>
      <c r="F86" s="42" t="str">
        <f t="array" ref="F86">INDEX('MASTER MANIFEST'!$D$3:$D1001,MATCH(1,($D86='MASTER MANIFEST'!$B$3:$B1001)*($E86='MASTER MANIFEST'!$C$3:$C1001),0))</f>
        <v/>
      </c>
      <c r="G86" s="42" t="str">
        <f t="array" ref="G86">INDEX('MASTER MANIFEST'!$G$3:$G1001,MATCH(1,($D86='MASTER MANIFEST'!$B$3:$B1001)*($E86='MASTER MANIFEST'!$C$3:$C1001),0))</f>
        <v/>
      </c>
      <c r="H86" s="43">
        <f t="shared" si="3"/>
        <v>-135.5</v>
      </c>
      <c r="I86" s="45"/>
      <c r="J86" s="35"/>
      <c r="K86" s="42" t="str">
        <f t="array" ref="K86">INDEX('MASTER MANIFEST'!$D$3:$D1001,MATCH(1,($I86='MASTER MANIFEST'!$B$3:$B1001)*($J86='MASTER MANIFEST'!$C$3:$C1001),0))</f>
        <v/>
      </c>
      <c r="L86" s="43" t="str">
        <f t="array" ref="L86">INDEX('MASTER MANIFEST'!$G$3:$G1001,MATCH(1,($I86='MASTER MANIFEST'!$B$3:$B1001)*($J86='MASTER MANIFEST'!$C$3:$C1001),0))</f>
        <v/>
      </c>
      <c r="M86" s="43">
        <f t="shared" si="4"/>
        <v>0</v>
      </c>
      <c r="N86" s="43">
        <f t="shared" si="5"/>
        <v>0</v>
      </c>
      <c r="O86" s="42">
        <f t="shared" si="6"/>
        <v>0</v>
      </c>
    </row>
    <row r="87">
      <c r="A87" s="42" t="str">
        <f>IFERROR(__xludf.DUMMYFUNCTION("""COMPUTED_VALUE"""),"GR18285")</f>
        <v>GR18285</v>
      </c>
      <c r="B87" s="44" t="s">
        <v>48</v>
      </c>
      <c r="C87" s="43">
        <f>IFERROR(VLOOKUP($A87,DETAIL!$C$4:$M1001,11,FALSE),0)</f>
        <v>79</v>
      </c>
      <c r="D87" s="45"/>
      <c r="E87" s="35"/>
      <c r="F87" s="42" t="str">
        <f t="array" ref="F87">INDEX('MASTER MANIFEST'!$D$3:$D1001,MATCH(1,($D87='MASTER MANIFEST'!$B$3:$B1001)*($E87='MASTER MANIFEST'!$C$3:$C1001),0))</f>
        <v/>
      </c>
      <c r="G87" s="42" t="str">
        <f t="array" ref="G87">INDEX('MASTER MANIFEST'!$G$3:$G1001,MATCH(1,($D87='MASTER MANIFEST'!$B$3:$B1001)*($E87='MASTER MANIFEST'!$C$3:$C1001),0))</f>
        <v/>
      </c>
      <c r="H87" s="43">
        <f t="shared" si="3"/>
        <v>-79</v>
      </c>
      <c r="I87" s="45"/>
      <c r="J87" s="35"/>
      <c r="K87" s="42" t="str">
        <f t="array" ref="K87">INDEX('MASTER MANIFEST'!$D$3:$D1001,MATCH(1,($I87='MASTER MANIFEST'!$B$3:$B1001)*($J87='MASTER MANIFEST'!$C$3:$C1001),0))</f>
        <v/>
      </c>
      <c r="L87" s="43" t="str">
        <f t="array" ref="L87">INDEX('MASTER MANIFEST'!$G$3:$G1001,MATCH(1,($I87='MASTER MANIFEST'!$B$3:$B1001)*($J87='MASTER MANIFEST'!$C$3:$C1001),0))</f>
        <v/>
      </c>
      <c r="M87" s="43">
        <f t="shared" si="4"/>
        <v>0</v>
      </c>
      <c r="N87" s="43">
        <f t="shared" si="5"/>
        <v>0</v>
      </c>
      <c r="O87" s="42">
        <f t="shared" si="6"/>
        <v>0</v>
      </c>
    </row>
    <row r="88">
      <c r="A88" s="42" t="str">
        <f>IFERROR(__xludf.DUMMYFUNCTION("""COMPUTED_VALUE"""),"GR18294")</f>
        <v>GR18294</v>
      </c>
      <c r="B88" s="44" t="s">
        <v>48</v>
      </c>
      <c r="C88" s="43">
        <f>IFERROR(VLOOKUP($A88,DETAIL!$C$4:$M1001,11,FALSE),0)</f>
        <v>223.0075</v>
      </c>
      <c r="D88" s="45"/>
      <c r="E88" s="35"/>
      <c r="F88" s="42" t="str">
        <f t="array" ref="F88">INDEX('MASTER MANIFEST'!$D$3:$D1001,MATCH(1,($D88='MASTER MANIFEST'!$B$3:$B1001)*($E88='MASTER MANIFEST'!$C$3:$C1001),0))</f>
        <v/>
      </c>
      <c r="G88" s="42" t="str">
        <f t="array" ref="G88">INDEX('MASTER MANIFEST'!$G$3:$G1001,MATCH(1,($D88='MASTER MANIFEST'!$B$3:$B1001)*($E88='MASTER MANIFEST'!$C$3:$C1001),0))</f>
        <v/>
      </c>
      <c r="H88" s="43">
        <f t="shared" si="3"/>
        <v>-223.0075</v>
      </c>
      <c r="I88" s="45"/>
      <c r="J88" s="35"/>
      <c r="K88" s="42" t="str">
        <f t="array" ref="K88">INDEX('MASTER MANIFEST'!$D$3:$D1001,MATCH(1,($I88='MASTER MANIFEST'!$B$3:$B1001)*($J88='MASTER MANIFEST'!$C$3:$C1001),0))</f>
        <v/>
      </c>
      <c r="L88" s="43" t="str">
        <f t="array" ref="L88">INDEX('MASTER MANIFEST'!$G$3:$G1001,MATCH(1,($I88='MASTER MANIFEST'!$B$3:$B1001)*($J88='MASTER MANIFEST'!$C$3:$C1001),0))</f>
        <v/>
      </c>
      <c r="M88" s="43">
        <f t="shared" si="4"/>
        <v>0</v>
      </c>
      <c r="N88" s="43">
        <f t="shared" si="5"/>
        <v>0</v>
      </c>
      <c r="O88" s="42">
        <f t="shared" si="6"/>
        <v>0</v>
      </c>
    </row>
    <row r="89">
      <c r="A89" s="42" t="str">
        <f>IFERROR(__xludf.DUMMYFUNCTION("""COMPUTED_VALUE"""),"GR18295")</f>
        <v>GR18295</v>
      </c>
      <c r="B89" s="44" t="s">
        <v>48</v>
      </c>
      <c r="C89" s="43">
        <f>IFERROR(VLOOKUP($A89,DETAIL!$C$4:$M1001,11,FALSE),0)</f>
        <v>137.73</v>
      </c>
      <c r="D89" s="45"/>
      <c r="E89" s="35"/>
      <c r="F89" s="42" t="str">
        <f t="array" ref="F89">INDEX('MASTER MANIFEST'!$D$3:$D1001,MATCH(1,($D89='MASTER MANIFEST'!$B$3:$B1001)*($E89='MASTER MANIFEST'!$C$3:$C1001),0))</f>
        <v/>
      </c>
      <c r="G89" s="42" t="str">
        <f t="array" ref="G89">INDEX('MASTER MANIFEST'!$G$3:$G1001,MATCH(1,($D89='MASTER MANIFEST'!$B$3:$B1001)*($E89='MASTER MANIFEST'!$C$3:$C1001),0))</f>
        <v/>
      </c>
      <c r="H89" s="43">
        <f t="shared" si="3"/>
        <v>-137.73</v>
      </c>
      <c r="I89" s="45"/>
      <c r="J89" s="35"/>
      <c r="K89" s="42" t="str">
        <f t="array" ref="K89">INDEX('MASTER MANIFEST'!$D$3:$D1001,MATCH(1,($I89='MASTER MANIFEST'!$B$3:$B1001)*($J89='MASTER MANIFEST'!$C$3:$C1001),0))</f>
        <v/>
      </c>
      <c r="L89" s="43" t="str">
        <f t="array" ref="L89">INDEX('MASTER MANIFEST'!$G$3:$G1001,MATCH(1,($I89='MASTER MANIFEST'!$B$3:$B1001)*($J89='MASTER MANIFEST'!$C$3:$C1001),0))</f>
        <v/>
      </c>
      <c r="M89" s="43">
        <f t="shared" si="4"/>
        <v>0</v>
      </c>
      <c r="N89" s="43">
        <f t="shared" si="5"/>
        <v>0</v>
      </c>
      <c r="O89" s="42">
        <f t="shared" si="6"/>
        <v>0</v>
      </c>
    </row>
    <row r="90">
      <c r="A90" s="42" t="str">
        <f>IFERROR(__xludf.DUMMYFUNCTION("""COMPUTED_VALUE"""),"GR18296")</f>
        <v>GR18296</v>
      </c>
      <c r="B90" s="44" t="s">
        <v>48</v>
      </c>
      <c r="C90" s="43">
        <f>IFERROR(VLOOKUP($A90,DETAIL!$C$4:$M1001,11,FALSE),0)</f>
        <v>152.2525</v>
      </c>
      <c r="D90" s="45"/>
      <c r="E90" s="35"/>
      <c r="F90" s="42" t="str">
        <f t="array" ref="F90">INDEX('MASTER MANIFEST'!$D$3:$D1001,MATCH(1,($D90='MASTER MANIFEST'!$B$3:$B1001)*($E90='MASTER MANIFEST'!$C$3:$C1001),0))</f>
        <v/>
      </c>
      <c r="G90" s="42" t="str">
        <f t="array" ref="G90">INDEX('MASTER MANIFEST'!$G$3:$G1001,MATCH(1,($D90='MASTER MANIFEST'!$B$3:$B1001)*($E90='MASTER MANIFEST'!$C$3:$C1001),0))</f>
        <v/>
      </c>
      <c r="H90" s="43">
        <f t="shared" si="3"/>
        <v>-152.2525</v>
      </c>
      <c r="I90" s="45"/>
      <c r="J90" s="35"/>
      <c r="K90" s="42" t="str">
        <f t="array" ref="K90">INDEX('MASTER MANIFEST'!$D$3:$D1001,MATCH(1,($I90='MASTER MANIFEST'!$B$3:$B1001)*($J90='MASTER MANIFEST'!$C$3:$C1001),0))</f>
        <v/>
      </c>
      <c r="L90" s="43" t="str">
        <f t="array" ref="L90">INDEX('MASTER MANIFEST'!$G$3:$G1001,MATCH(1,($I90='MASTER MANIFEST'!$B$3:$B1001)*($J90='MASTER MANIFEST'!$C$3:$C1001),0))</f>
        <v/>
      </c>
      <c r="M90" s="43">
        <f t="shared" si="4"/>
        <v>0</v>
      </c>
      <c r="N90" s="43">
        <f t="shared" si="5"/>
        <v>0</v>
      </c>
      <c r="O90" s="42">
        <f t="shared" si="6"/>
        <v>0</v>
      </c>
    </row>
    <row r="91">
      <c r="A91" s="42" t="str">
        <f>IFERROR(__xludf.DUMMYFUNCTION("""COMPUTED_VALUE"""),"GR18297")</f>
        <v>GR18297</v>
      </c>
      <c r="B91" s="44" t="s">
        <v>48</v>
      </c>
      <c r="C91" s="43">
        <f>IFERROR(VLOOKUP($A91,DETAIL!$C$4:$M1001,11,FALSE),0)</f>
        <v>201.7225</v>
      </c>
      <c r="D91" s="45"/>
      <c r="E91" s="35"/>
      <c r="F91" s="42" t="str">
        <f t="array" ref="F91">INDEX('MASTER MANIFEST'!$D$3:$D1001,MATCH(1,($D91='MASTER MANIFEST'!$B$3:$B1001)*($E91='MASTER MANIFEST'!$C$3:$C1001),0))</f>
        <v/>
      </c>
      <c r="G91" s="42" t="str">
        <f t="array" ref="G91">INDEX('MASTER MANIFEST'!$G$3:$G1001,MATCH(1,($D91='MASTER MANIFEST'!$B$3:$B1001)*($E91='MASTER MANIFEST'!$C$3:$C1001),0))</f>
        <v/>
      </c>
      <c r="H91" s="43">
        <f t="shared" si="3"/>
        <v>-201.7225</v>
      </c>
      <c r="I91" s="45"/>
      <c r="J91" s="35"/>
      <c r="K91" s="42" t="str">
        <f t="array" ref="K91">INDEX('MASTER MANIFEST'!$D$3:$D1001,MATCH(1,($I91='MASTER MANIFEST'!$B$3:$B1001)*($J91='MASTER MANIFEST'!$C$3:$C1001),0))</f>
        <v/>
      </c>
      <c r="L91" s="43" t="str">
        <f t="array" ref="L91">INDEX('MASTER MANIFEST'!$G$3:$G1001,MATCH(1,($I91='MASTER MANIFEST'!$B$3:$B1001)*($J91='MASTER MANIFEST'!$C$3:$C1001),0))</f>
        <v/>
      </c>
      <c r="M91" s="43">
        <f t="shared" si="4"/>
        <v>0</v>
      </c>
      <c r="N91" s="43">
        <f t="shared" si="5"/>
        <v>0</v>
      </c>
      <c r="O91" s="42">
        <f t="shared" si="6"/>
        <v>0</v>
      </c>
    </row>
    <row r="92">
      <c r="A92" s="42" t="str">
        <f>IFERROR(__xludf.DUMMYFUNCTION("""COMPUTED_VALUE"""),"GR18298")</f>
        <v>GR18298</v>
      </c>
      <c r="B92" s="44" t="s">
        <v>48</v>
      </c>
      <c r="C92" s="43">
        <f>IFERROR(VLOOKUP($A92,DETAIL!$C$4:$M1001,11,FALSE),0)</f>
        <v>158.7275</v>
      </c>
      <c r="D92" s="45"/>
      <c r="E92" s="35"/>
      <c r="F92" s="42" t="str">
        <f t="array" ref="F92">INDEX('MASTER MANIFEST'!$D$3:$D1001,MATCH(1,($D92='MASTER MANIFEST'!$B$3:$B1001)*($E92='MASTER MANIFEST'!$C$3:$C1001),0))</f>
        <v/>
      </c>
      <c r="G92" s="42" t="str">
        <f t="array" ref="G92">INDEX('MASTER MANIFEST'!$G$3:$G1001,MATCH(1,($D92='MASTER MANIFEST'!$B$3:$B1001)*($E92='MASTER MANIFEST'!$C$3:$C1001),0))</f>
        <v/>
      </c>
      <c r="H92" s="43">
        <f t="shared" si="3"/>
        <v>-158.7275</v>
      </c>
      <c r="I92" s="45"/>
      <c r="J92" s="35"/>
      <c r="K92" s="42" t="str">
        <f t="array" ref="K92">INDEX('MASTER MANIFEST'!$D$3:$D1001,MATCH(1,($I92='MASTER MANIFEST'!$B$3:$B1001)*($J92='MASTER MANIFEST'!$C$3:$C1001),0))</f>
        <v/>
      </c>
      <c r="L92" s="43" t="str">
        <f t="array" ref="L92">INDEX('MASTER MANIFEST'!$G$3:$G1001,MATCH(1,($I92='MASTER MANIFEST'!$B$3:$B1001)*($J92='MASTER MANIFEST'!$C$3:$C1001),0))</f>
        <v/>
      </c>
      <c r="M92" s="43">
        <f t="shared" si="4"/>
        <v>0</v>
      </c>
      <c r="N92" s="43">
        <f t="shared" si="5"/>
        <v>0</v>
      </c>
      <c r="O92" s="42">
        <f t="shared" si="6"/>
        <v>0</v>
      </c>
    </row>
    <row r="93">
      <c r="A93" s="42" t="str">
        <f>IFERROR(__xludf.DUMMYFUNCTION("""COMPUTED_VALUE"""),"GR18299")</f>
        <v>GR18299</v>
      </c>
      <c r="B93" s="44" t="s">
        <v>48</v>
      </c>
      <c r="C93" s="43">
        <f>IFERROR(VLOOKUP($A93,DETAIL!$C$4:$M1001,11,FALSE),0)</f>
        <v>139.4725</v>
      </c>
      <c r="D93" s="45"/>
      <c r="E93" s="35"/>
      <c r="F93" s="42" t="str">
        <f t="array" ref="F93">INDEX('MASTER MANIFEST'!$D$3:$D1001,MATCH(1,($D93='MASTER MANIFEST'!$B$3:$B1001)*($E93='MASTER MANIFEST'!$C$3:$C1001),0))</f>
        <v/>
      </c>
      <c r="G93" s="42" t="str">
        <f t="array" ref="G93">INDEX('MASTER MANIFEST'!$G$3:$G1001,MATCH(1,($D93='MASTER MANIFEST'!$B$3:$B1001)*($E93='MASTER MANIFEST'!$C$3:$C1001),0))</f>
        <v/>
      </c>
      <c r="H93" s="43">
        <f t="shared" si="3"/>
        <v>-139.4725</v>
      </c>
      <c r="I93" s="45"/>
      <c r="J93" s="35"/>
      <c r="K93" s="42" t="str">
        <f t="array" ref="K93">INDEX('MASTER MANIFEST'!$D$3:$D1001,MATCH(1,($I93='MASTER MANIFEST'!$B$3:$B1001)*($J93='MASTER MANIFEST'!$C$3:$C1001),0))</f>
        <v/>
      </c>
      <c r="L93" s="43" t="str">
        <f t="array" ref="L93">INDEX('MASTER MANIFEST'!$G$3:$G1001,MATCH(1,($I93='MASTER MANIFEST'!$B$3:$B1001)*($J93='MASTER MANIFEST'!$C$3:$C1001),0))</f>
        <v/>
      </c>
      <c r="M93" s="43">
        <f t="shared" si="4"/>
        <v>0</v>
      </c>
      <c r="N93" s="43">
        <f t="shared" si="5"/>
        <v>0</v>
      </c>
      <c r="O93" s="42">
        <f t="shared" si="6"/>
        <v>0</v>
      </c>
    </row>
    <row r="94">
      <c r="A94" s="42" t="str">
        <f>IFERROR(__xludf.DUMMYFUNCTION("""COMPUTED_VALUE"""),"GR18300")</f>
        <v>GR18300</v>
      </c>
      <c r="B94" s="44" t="s">
        <v>48</v>
      </c>
      <c r="C94" s="43">
        <f>IFERROR(VLOOKUP($A94,DETAIL!$C$4:$M1001,11,FALSE),0)</f>
        <v>216.4775</v>
      </c>
      <c r="D94" s="45"/>
      <c r="E94" s="35"/>
      <c r="F94" s="42" t="str">
        <f t="array" ref="F94">INDEX('MASTER MANIFEST'!$D$3:$D1001,MATCH(1,($D94='MASTER MANIFEST'!$B$3:$B1001)*($E94='MASTER MANIFEST'!$C$3:$C1001),0))</f>
        <v/>
      </c>
      <c r="G94" s="42" t="str">
        <f t="array" ref="G94">INDEX('MASTER MANIFEST'!$G$3:$G1001,MATCH(1,($D94='MASTER MANIFEST'!$B$3:$B1001)*($E94='MASTER MANIFEST'!$C$3:$C1001),0))</f>
        <v/>
      </c>
      <c r="H94" s="43">
        <f t="shared" si="3"/>
        <v>-216.4775</v>
      </c>
      <c r="I94" s="45"/>
      <c r="J94" s="35"/>
      <c r="K94" s="42" t="str">
        <f t="array" ref="K94">INDEX('MASTER MANIFEST'!$D$3:$D1001,MATCH(1,($I94='MASTER MANIFEST'!$B$3:$B1001)*($J94='MASTER MANIFEST'!$C$3:$C1001),0))</f>
        <v/>
      </c>
      <c r="L94" s="43" t="str">
        <f t="array" ref="L94">INDEX('MASTER MANIFEST'!$G$3:$G1001,MATCH(1,($I94='MASTER MANIFEST'!$B$3:$B1001)*($J94='MASTER MANIFEST'!$C$3:$C1001),0))</f>
        <v/>
      </c>
      <c r="M94" s="43">
        <f t="shared" si="4"/>
        <v>0</v>
      </c>
      <c r="N94" s="43">
        <f t="shared" si="5"/>
        <v>0</v>
      </c>
      <c r="O94" s="42">
        <f t="shared" si="6"/>
        <v>0</v>
      </c>
    </row>
    <row r="95">
      <c r="A95" s="42" t="str">
        <f>IFERROR(__xludf.DUMMYFUNCTION("""COMPUTED_VALUE"""),"GR18301")</f>
        <v>GR18301</v>
      </c>
      <c r="B95" s="44" t="s">
        <v>48</v>
      </c>
      <c r="C95" s="43">
        <f>IFERROR(VLOOKUP($A95,DETAIL!$C$4:$M1001,11,FALSE),0)</f>
        <v>156.4775</v>
      </c>
      <c r="D95" s="45"/>
      <c r="E95" s="35"/>
      <c r="F95" s="42" t="str">
        <f t="array" ref="F95">INDEX('MASTER MANIFEST'!$D$3:$D1001,MATCH(1,($D95='MASTER MANIFEST'!$B$3:$B1001)*($E95='MASTER MANIFEST'!$C$3:$C1001),0))</f>
        <v/>
      </c>
      <c r="G95" s="42" t="str">
        <f t="array" ref="G95">INDEX('MASTER MANIFEST'!$G$3:$G1001,MATCH(1,($D95='MASTER MANIFEST'!$B$3:$B1001)*($E95='MASTER MANIFEST'!$C$3:$C1001),0))</f>
        <v/>
      </c>
      <c r="H95" s="43">
        <f t="shared" si="3"/>
        <v>-156.4775</v>
      </c>
      <c r="I95" s="45"/>
      <c r="J95" s="35"/>
      <c r="K95" s="42" t="str">
        <f t="array" ref="K95">INDEX('MASTER MANIFEST'!$D$3:$D1001,MATCH(1,($I95='MASTER MANIFEST'!$B$3:$B1001)*($J95='MASTER MANIFEST'!$C$3:$C1001),0))</f>
        <v/>
      </c>
      <c r="L95" s="43" t="str">
        <f t="array" ref="L95">INDEX('MASTER MANIFEST'!$G$3:$G1001,MATCH(1,($I95='MASTER MANIFEST'!$B$3:$B1001)*($J95='MASTER MANIFEST'!$C$3:$C1001),0))</f>
        <v/>
      </c>
      <c r="M95" s="43">
        <f t="shared" si="4"/>
        <v>0</v>
      </c>
      <c r="N95" s="43">
        <f t="shared" si="5"/>
        <v>0</v>
      </c>
      <c r="O95" s="42">
        <f t="shared" si="6"/>
        <v>0</v>
      </c>
    </row>
    <row r="96">
      <c r="A96" s="42" t="str">
        <f>IFERROR(__xludf.DUMMYFUNCTION("""COMPUTED_VALUE"""),"GR18302")</f>
        <v>GR18302</v>
      </c>
      <c r="B96" s="44" t="s">
        <v>48</v>
      </c>
      <c r="C96" s="43">
        <f>IFERROR(VLOOKUP($A96,DETAIL!$C$4:$M1001,11,FALSE),0)</f>
        <v>978.1975</v>
      </c>
      <c r="D96" s="45"/>
      <c r="E96" s="35"/>
      <c r="F96" s="42" t="str">
        <f t="array" ref="F96">INDEX('MASTER MANIFEST'!$D$3:$D1001,MATCH(1,($D96='MASTER MANIFEST'!$B$3:$B1001)*($E96='MASTER MANIFEST'!$C$3:$C1001),0))</f>
        <v/>
      </c>
      <c r="G96" s="42" t="str">
        <f t="array" ref="G96">INDEX('MASTER MANIFEST'!$G$3:$G1001,MATCH(1,($D96='MASTER MANIFEST'!$B$3:$B1001)*($E96='MASTER MANIFEST'!$C$3:$C1001),0))</f>
        <v/>
      </c>
      <c r="H96" s="43">
        <f t="shared" si="3"/>
        <v>-978.1975</v>
      </c>
      <c r="I96" s="45"/>
      <c r="J96" s="35"/>
      <c r="K96" s="42" t="str">
        <f t="array" ref="K96">INDEX('MASTER MANIFEST'!$D$3:$D1001,MATCH(1,($I96='MASTER MANIFEST'!$B$3:$B1001)*($J96='MASTER MANIFEST'!$C$3:$C1001),0))</f>
        <v/>
      </c>
      <c r="L96" s="43" t="str">
        <f t="array" ref="L96">INDEX('MASTER MANIFEST'!$G$3:$G1001,MATCH(1,($I96='MASTER MANIFEST'!$B$3:$B1001)*($J96='MASTER MANIFEST'!$C$3:$C1001),0))</f>
        <v/>
      </c>
      <c r="M96" s="43">
        <f t="shared" si="4"/>
        <v>0</v>
      </c>
      <c r="N96" s="43">
        <f t="shared" si="5"/>
        <v>0</v>
      </c>
      <c r="O96" s="42">
        <f t="shared" si="6"/>
        <v>0</v>
      </c>
    </row>
    <row r="97">
      <c r="A97" s="42" t="str">
        <f>IFERROR(__xludf.DUMMYFUNCTION("""COMPUTED_VALUE"""),"GR18303")</f>
        <v>GR18303</v>
      </c>
      <c r="B97" s="44" t="s">
        <v>48</v>
      </c>
      <c r="C97" s="43">
        <f>IFERROR(VLOOKUP($A97,DETAIL!$C$4:$M1001,11,FALSE),0)</f>
        <v>240.235</v>
      </c>
      <c r="D97" s="45"/>
      <c r="E97" s="35"/>
      <c r="F97" s="42" t="str">
        <f t="array" ref="F97">INDEX('MASTER MANIFEST'!$D$3:$D1001,MATCH(1,($D97='MASTER MANIFEST'!$B$3:$B1001)*($E97='MASTER MANIFEST'!$C$3:$C1001),0))</f>
        <v/>
      </c>
      <c r="G97" s="42" t="str">
        <f t="array" ref="G97">INDEX('MASTER MANIFEST'!$G$3:$G1001,MATCH(1,($D97='MASTER MANIFEST'!$B$3:$B1001)*($E97='MASTER MANIFEST'!$C$3:$C1001),0))</f>
        <v/>
      </c>
      <c r="H97" s="43">
        <f t="shared" si="3"/>
        <v>-240.235</v>
      </c>
      <c r="I97" s="45"/>
      <c r="J97" s="35"/>
      <c r="K97" s="42" t="str">
        <f t="array" ref="K97">INDEX('MASTER MANIFEST'!$D$3:$D1001,MATCH(1,($I97='MASTER MANIFEST'!$B$3:$B1001)*($J97='MASTER MANIFEST'!$C$3:$C1001),0))</f>
        <v/>
      </c>
      <c r="L97" s="43" t="str">
        <f t="array" ref="L97">INDEX('MASTER MANIFEST'!$G$3:$G1001,MATCH(1,($I97='MASTER MANIFEST'!$B$3:$B1001)*($J97='MASTER MANIFEST'!$C$3:$C1001),0))</f>
        <v/>
      </c>
      <c r="M97" s="43">
        <f t="shared" si="4"/>
        <v>0</v>
      </c>
      <c r="N97" s="43">
        <f t="shared" si="5"/>
        <v>0</v>
      </c>
      <c r="O97" s="42">
        <f t="shared" si="6"/>
        <v>0</v>
      </c>
    </row>
    <row r="98">
      <c r="A98" s="42" t="str">
        <f>IFERROR(__xludf.DUMMYFUNCTION("""COMPUTED_VALUE"""),"GR18304")</f>
        <v>GR18304</v>
      </c>
      <c r="B98" s="44" t="s">
        <v>48</v>
      </c>
      <c r="C98" s="43">
        <f>IFERROR(VLOOKUP($A98,DETAIL!$C$4:$M1001,11,FALSE),0)</f>
        <v>170.3925</v>
      </c>
      <c r="D98" s="45"/>
      <c r="E98" s="35"/>
      <c r="F98" s="42" t="str">
        <f t="array" ref="F98">INDEX('MASTER MANIFEST'!$D$3:$D1001,MATCH(1,($D98='MASTER MANIFEST'!$B$3:$B1001)*($E98='MASTER MANIFEST'!$C$3:$C1001),0))</f>
        <v/>
      </c>
      <c r="G98" s="42" t="str">
        <f t="array" ref="G98">INDEX('MASTER MANIFEST'!$G$3:$G1001,MATCH(1,($D98='MASTER MANIFEST'!$B$3:$B1001)*($E98='MASTER MANIFEST'!$C$3:$C1001),0))</f>
        <v/>
      </c>
      <c r="H98" s="43">
        <f t="shared" si="3"/>
        <v>-170.3925</v>
      </c>
      <c r="I98" s="45"/>
      <c r="J98" s="35"/>
      <c r="K98" s="42" t="str">
        <f t="array" ref="K98">INDEX('MASTER MANIFEST'!$D$3:$D1001,MATCH(1,($I98='MASTER MANIFEST'!$B$3:$B1001)*($J98='MASTER MANIFEST'!$C$3:$C1001),0))</f>
        <v/>
      </c>
      <c r="L98" s="43" t="str">
        <f t="array" ref="L98">INDEX('MASTER MANIFEST'!$G$3:$G1001,MATCH(1,($I98='MASTER MANIFEST'!$B$3:$B1001)*($J98='MASTER MANIFEST'!$C$3:$C1001),0))</f>
        <v/>
      </c>
      <c r="M98" s="43">
        <f t="shared" si="4"/>
        <v>0</v>
      </c>
      <c r="N98" s="43">
        <f t="shared" si="5"/>
        <v>0</v>
      </c>
      <c r="O98" s="42">
        <f t="shared" si="6"/>
        <v>0</v>
      </c>
    </row>
    <row r="99">
      <c r="A99" s="42" t="str">
        <f>IFERROR(__xludf.DUMMYFUNCTION("""COMPUTED_VALUE"""),"GR18305")</f>
        <v>GR18305</v>
      </c>
      <c r="B99" s="44" t="s">
        <v>48</v>
      </c>
      <c r="C99" s="43">
        <f>IFERROR(VLOOKUP($A99,DETAIL!$C$4:$M1001,11,FALSE),0)</f>
        <v>89.865</v>
      </c>
      <c r="D99" s="45"/>
      <c r="E99" s="35"/>
      <c r="F99" s="42" t="str">
        <f t="array" ref="F99">INDEX('MASTER MANIFEST'!$D$3:$D1001,MATCH(1,($D99='MASTER MANIFEST'!$B$3:$B1001)*($E99='MASTER MANIFEST'!$C$3:$C1001),0))</f>
        <v/>
      </c>
      <c r="G99" s="42" t="str">
        <f t="array" ref="G99">INDEX('MASTER MANIFEST'!$G$3:$G1001,MATCH(1,($D99='MASTER MANIFEST'!$B$3:$B1001)*($E99='MASTER MANIFEST'!$C$3:$C1001),0))</f>
        <v/>
      </c>
      <c r="H99" s="43">
        <f t="shared" si="3"/>
        <v>-89.865</v>
      </c>
      <c r="I99" s="45"/>
      <c r="J99" s="35"/>
      <c r="K99" s="42" t="str">
        <f t="array" ref="K99">INDEX('MASTER MANIFEST'!$D$3:$D1001,MATCH(1,($I99='MASTER MANIFEST'!$B$3:$B1001)*($J99='MASTER MANIFEST'!$C$3:$C1001),0))</f>
        <v/>
      </c>
      <c r="L99" s="43" t="str">
        <f t="array" ref="L99">INDEX('MASTER MANIFEST'!$G$3:$G1001,MATCH(1,($I99='MASTER MANIFEST'!$B$3:$B1001)*($J99='MASTER MANIFEST'!$C$3:$C1001),0))</f>
        <v/>
      </c>
      <c r="M99" s="43">
        <f t="shared" si="4"/>
        <v>0</v>
      </c>
      <c r="N99" s="43">
        <f t="shared" si="5"/>
        <v>0</v>
      </c>
      <c r="O99" s="42">
        <f t="shared" si="6"/>
        <v>0</v>
      </c>
    </row>
    <row r="100">
      <c r="A100" s="42" t="str">
        <f>IFERROR(__xludf.DUMMYFUNCTION("""COMPUTED_VALUE"""),"GR18306")</f>
        <v>GR18306</v>
      </c>
      <c r="B100" s="44" t="s">
        <v>48</v>
      </c>
      <c r="C100" s="43">
        <f>IFERROR(VLOOKUP($A100,DETAIL!$C$4:$M1001,11,FALSE),0)</f>
        <v>179.4925</v>
      </c>
      <c r="D100" s="45"/>
      <c r="E100" s="35"/>
      <c r="F100" s="42" t="str">
        <f t="array" ref="F100">INDEX('MASTER MANIFEST'!$D$3:$D1001,MATCH(1,($D100='MASTER MANIFEST'!$B$3:$B1001)*($E100='MASTER MANIFEST'!$C$3:$C1001),0))</f>
        <v/>
      </c>
      <c r="G100" s="42" t="str">
        <f t="array" ref="G100">INDEX('MASTER MANIFEST'!$G$3:$G1001,MATCH(1,($D100='MASTER MANIFEST'!$B$3:$B1001)*($E100='MASTER MANIFEST'!$C$3:$C1001),0))</f>
        <v/>
      </c>
      <c r="H100" s="43">
        <f t="shared" si="3"/>
        <v>-179.4925</v>
      </c>
      <c r="I100" s="45"/>
      <c r="J100" s="35"/>
      <c r="K100" s="42" t="str">
        <f t="array" ref="K100">INDEX('MASTER MANIFEST'!$D$3:$D1001,MATCH(1,($I100='MASTER MANIFEST'!$B$3:$B1001)*($J100='MASTER MANIFEST'!$C$3:$C1001),0))</f>
        <v/>
      </c>
      <c r="L100" s="43" t="str">
        <f t="array" ref="L100">INDEX('MASTER MANIFEST'!$G$3:$G1001,MATCH(1,($I100='MASTER MANIFEST'!$B$3:$B1001)*($J100='MASTER MANIFEST'!$C$3:$C1001),0))</f>
        <v/>
      </c>
      <c r="M100" s="43">
        <f t="shared" si="4"/>
        <v>0</v>
      </c>
      <c r="N100" s="43">
        <f t="shared" si="5"/>
        <v>0</v>
      </c>
      <c r="O100" s="42">
        <f t="shared" si="6"/>
        <v>0</v>
      </c>
    </row>
    <row r="101">
      <c r="A101" s="42" t="str">
        <f>IFERROR(__xludf.DUMMYFUNCTION("""COMPUTED_VALUE"""),"GR18307")</f>
        <v>GR18307</v>
      </c>
      <c r="B101" s="44" t="s">
        <v>48</v>
      </c>
      <c r="C101" s="43">
        <f>IFERROR(VLOOKUP($A101,DETAIL!$C$4:$M1001,11,FALSE),0)</f>
        <v>74.7425</v>
      </c>
      <c r="D101" s="45"/>
      <c r="E101" s="35"/>
      <c r="F101" s="42" t="str">
        <f t="array" ref="F101">INDEX('MASTER MANIFEST'!$D$3:$D1001,MATCH(1,($D101='MASTER MANIFEST'!$B$3:$B1001)*($E101='MASTER MANIFEST'!$C$3:$C1001),0))</f>
        <v/>
      </c>
      <c r="G101" s="42" t="str">
        <f t="array" ref="G101">INDEX('MASTER MANIFEST'!$G$3:$G1001,MATCH(1,($D101='MASTER MANIFEST'!$B$3:$B1001)*($E101='MASTER MANIFEST'!$C$3:$C1001),0))</f>
        <v/>
      </c>
      <c r="H101" s="43">
        <f t="shared" si="3"/>
        <v>-74.7425</v>
      </c>
      <c r="I101" s="45"/>
      <c r="J101" s="35"/>
      <c r="K101" s="42" t="str">
        <f t="array" ref="K101">INDEX('MASTER MANIFEST'!$D$3:$D1001,MATCH(1,($I101='MASTER MANIFEST'!$B$3:$B1001)*($J101='MASTER MANIFEST'!$C$3:$C1001),0))</f>
        <v/>
      </c>
      <c r="L101" s="43" t="str">
        <f t="array" ref="L101">INDEX('MASTER MANIFEST'!$G$3:$G1001,MATCH(1,($I101='MASTER MANIFEST'!$B$3:$B1001)*($J101='MASTER MANIFEST'!$C$3:$C1001),0))</f>
        <v/>
      </c>
      <c r="M101" s="43">
        <f t="shared" si="4"/>
        <v>0</v>
      </c>
      <c r="N101" s="43">
        <f t="shared" si="5"/>
        <v>0</v>
      </c>
      <c r="O101" s="42">
        <f t="shared" si="6"/>
        <v>0</v>
      </c>
    </row>
    <row r="102">
      <c r="A102" s="42" t="str">
        <f>IFERROR(__xludf.DUMMYFUNCTION("""COMPUTED_VALUE"""),"KL187102")</f>
        <v>KL187102</v>
      </c>
      <c r="B102" s="44" t="s">
        <v>48</v>
      </c>
      <c r="C102" s="43">
        <f>IFERROR(VLOOKUP($A102,DETAIL!$C$4:$M1001,11,FALSE),0)</f>
        <v>891.6525</v>
      </c>
      <c r="D102" s="45"/>
      <c r="E102" s="35"/>
      <c r="F102" s="42" t="str">
        <f t="array" ref="F102">INDEX('MASTER MANIFEST'!$D$3:$D1001,MATCH(1,($D102='MASTER MANIFEST'!$B$3:$B1001)*($E102='MASTER MANIFEST'!$C$3:$C1001),0))</f>
        <v/>
      </c>
      <c r="G102" s="42" t="str">
        <f t="array" ref="G102">INDEX('MASTER MANIFEST'!$G$3:$G1001,MATCH(1,($D102='MASTER MANIFEST'!$B$3:$B1001)*($E102='MASTER MANIFEST'!$C$3:$C1001),0))</f>
        <v/>
      </c>
      <c r="H102" s="43">
        <f t="shared" si="3"/>
        <v>-891.6525</v>
      </c>
      <c r="I102" s="45"/>
      <c r="J102" s="35"/>
      <c r="K102" s="42" t="str">
        <f t="array" ref="K102">INDEX('MASTER MANIFEST'!$D$3:$D1001,MATCH(1,($I102='MASTER MANIFEST'!$B$3:$B1001)*($J102='MASTER MANIFEST'!$C$3:$C1001),0))</f>
        <v/>
      </c>
      <c r="L102" s="43" t="str">
        <f t="array" ref="L102">INDEX('MASTER MANIFEST'!$G$3:$G1001,MATCH(1,($I102='MASTER MANIFEST'!$B$3:$B1001)*($J102='MASTER MANIFEST'!$C$3:$C1001),0))</f>
        <v/>
      </c>
      <c r="M102" s="43">
        <f t="shared" si="4"/>
        <v>0</v>
      </c>
      <c r="N102" s="43">
        <f t="shared" si="5"/>
        <v>0</v>
      </c>
      <c r="O102" s="42">
        <f t="shared" si="6"/>
        <v>0</v>
      </c>
    </row>
    <row r="103">
      <c r="A103" s="42" t="str">
        <f>IFERROR(__xludf.DUMMYFUNCTION("""COMPUTED_VALUE"""),"KL187103")</f>
        <v>KL187103</v>
      </c>
      <c r="B103" s="44" t="s">
        <v>48</v>
      </c>
      <c r="C103" s="43">
        <f>IFERROR(VLOOKUP($A103,DETAIL!$C$4:$M1001,11,FALSE),0)</f>
        <v>870.875</v>
      </c>
      <c r="D103" s="45"/>
      <c r="E103" s="35"/>
      <c r="F103" s="42" t="str">
        <f t="array" ref="F103">INDEX('MASTER MANIFEST'!$D$3:$D1001,MATCH(1,($D103='MASTER MANIFEST'!$B$3:$B1001)*($E103='MASTER MANIFEST'!$C$3:$C1001),0))</f>
        <v/>
      </c>
      <c r="G103" s="42" t="str">
        <f t="array" ref="G103">INDEX('MASTER MANIFEST'!$G$3:$G1001,MATCH(1,($D103='MASTER MANIFEST'!$B$3:$B1001)*($E103='MASTER MANIFEST'!$C$3:$C1001),0))</f>
        <v/>
      </c>
      <c r="H103" s="43">
        <f t="shared" si="3"/>
        <v>-870.875</v>
      </c>
      <c r="I103" s="45"/>
      <c r="J103" s="35"/>
      <c r="K103" s="42" t="str">
        <f t="array" ref="K103">INDEX('MASTER MANIFEST'!$D$3:$D1001,MATCH(1,($I103='MASTER MANIFEST'!$B$3:$B1001)*($J103='MASTER MANIFEST'!$C$3:$C1001),0))</f>
        <v/>
      </c>
      <c r="L103" s="43" t="str">
        <f t="array" ref="L103">INDEX('MASTER MANIFEST'!$G$3:$G1001,MATCH(1,($I103='MASTER MANIFEST'!$B$3:$B1001)*($J103='MASTER MANIFEST'!$C$3:$C1001),0))</f>
        <v/>
      </c>
      <c r="M103" s="43">
        <f t="shared" si="4"/>
        <v>0</v>
      </c>
      <c r="N103" s="43">
        <f t="shared" si="5"/>
        <v>0</v>
      </c>
      <c r="O103" s="42">
        <f t="shared" si="6"/>
        <v>0</v>
      </c>
    </row>
    <row r="104">
      <c r="A104" s="42" t="str">
        <f>IFERROR(__xludf.DUMMYFUNCTION("""COMPUTED_VALUE"""),"KL187104")</f>
        <v>KL187104</v>
      </c>
      <c r="B104" s="44" t="s">
        <v>48</v>
      </c>
      <c r="C104" s="43">
        <f>IFERROR(VLOOKUP($A104,DETAIL!$C$4:$M1001,11,FALSE),0)</f>
        <v>904</v>
      </c>
      <c r="D104" s="45"/>
      <c r="E104" s="35"/>
      <c r="F104" s="42" t="str">
        <f t="array" ref="F104">INDEX('MASTER MANIFEST'!$D$3:$D1001,MATCH(1,($D104='MASTER MANIFEST'!$B$3:$B1001)*($E104='MASTER MANIFEST'!$C$3:$C1001),0))</f>
        <v/>
      </c>
      <c r="G104" s="42" t="str">
        <f t="array" ref="G104">INDEX('MASTER MANIFEST'!$G$3:$G1001,MATCH(1,($D104='MASTER MANIFEST'!$B$3:$B1001)*($E104='MASTER MANIFEST'!$C$3:$C1001),0))</f>
        <v/>
      </c>
      <c r="H104" s="43">
        <f t="shared" si="3"/>
        <v>-904</v>
      </c>
      <c r="I104" s="45"/>
      <c r="J104" s="35"/>
      <c r="K104" s="42" t="str">
        <f t="array" ref="K104">INDEX('MASTER MANIFEST'!$D$3:$D1001,MATCH(1,($I104='MASTER MANIFEST'!$B$3:$B1001)*($J104='MASTER MANIFEST'!$C$3:$C1001),0))</f>
        <v/>
      </c>
      <c r="L104" s="43" t="str">
        <f t="array" ref="L104">INDEX('MASTER MANIFEST'!$G$3:$G1001,MATCH(1,($I104='MASTER MANIFEST'!$B$3:$B1001)*($J104='MASTER MANIFEST'!$C$3:$C1001),0))</f>
        <v/>
      </c>
      <c r="M104" s="43">
        <f t="shared" si="4"/>
        <v>0</v>
      </c>
      <c r="N104" s="43">
        <f t="shared" si="5"/>
        <v>0</v>
      </c>
      <c r="O104" s="42">
        <f t="shared" si="6"/>
        <v>0</v>
      </c>
    </row>
    <row r="105">
      <c r="A105" s="42" t="str">
        <f>IFERROR(__xludf.DUMMYFUNCTION("""COMPUTED_VALUE"""),"KL187105")</f>
        <v>KL187105</v>
      </c>
      <c r="B105" s="44" t="s">
        <v>48</v>
      </c>
      <c r="C105" s="43">
        <f>IFERROR(VLOOKUP($A105,DETAIL!$C$4:$M1001,11,FALSE),0)</f>
        <v>870.875</v>
      </c>
      <c r="D105" s="45"/>
      <c r="E105" s="35"/>
      <c r="F105" s="42" t="str">
        <f t="array" ref="F105">INDEX('MASTER MANIFEST'!$D$3:$D1001,MATCH(1,($D105='MASTER MANIFEST'!$B$3:$B1001)*($E105='MASTER MANIFEST'!$C$3:$C1001),0))</f>
        <v/>
      </c>
      <c r="G105" s="42" t="str">
        <f t="array" ref="G105">INDEX('MASTER MANIFEST'!$G$3:$G1001,MATCH(1,($D105='MASTER MANIFEST'!$B$3:$B1001)*($E105='MASTER MANIFEST'!$C$3:$C1001),0))</f>
        <v/>
      </c>
      <c r="H105" s="43">
        <f t="shared" si="3"/>
        <v>-870.875</v>
      </c>
      <c r="I105" s="45"/>
      <c r="J105" s="35"/>
      <c r="K105" s="42" t="str">
        <f t="array" ref="K105">INDEX('MASTER MANIFEST'!$D$3:$D1001,MATCH(1,($I105='MASTER MANIFEST'!$B$3:$B1001)*($J105='MASTER MANIFEST'!$C$3:$C1001),0))</f>
        <v/>
      </c>
      <c r="L105" s="43" t="str">
        <f t="array" ref="L105">INDEX('MASTER MANIFEST'!$G$3:$G1001,MATCH(1,($I105='MASTER MANIFEST'!$B$3:$B1001)*($J105='MASTER MANIFEST'!$C$3:$C1001),0))</f>
        <v/>
      </c>
      <c r="M105" s="43">
        <f t="shared" si="4"/>
        <v>0</v>
      </c>
      <c r="N105" s="43">
        <f t="shared" si="5"/>
        <v>0</v>
      </c>
      <c r="O105" s="42">
        <f t="shared" si="6"/>
        <v>0</v>
      </c>
    </row>
    <row r="106">
      <c r="A106" s="42" t="str">
        <f>IFERROR(__xludf.DUMMYFUNCTION("""COMPUTED_VALUE"""),"KL187106")</f>
        <v>KL187106</v>
      </c>
      <c r="B106" s="44" t="s">
        <v>48</v>
      </c>
      <c r="C106" s="43">
        <f>IFERROR(VLOOKUP($A106,DETAIL!$C$4:$M1001,11,FALSE),0)</f>
        <v>806.945</v>
      </c>
      <c r="D106" s="45"/>
      <c r="E106" s="35"/>
      <c r="F106" s="42" t="str">
        <f t="array" ref="F106">INDEX('MASTER MANIFEST'!$D$3:$D1001,MATCH(1,($D106='MASTER MANIFEST'!$B$3:$B1001)*($E106='MASTER MANIFEST'!$C$3:$C1001),0))</f>
        <v/>
      </c>
      <c r="G106" s="42" t="str">
        <f t="array" ref="G106">INDEX('MASTER MANIFEST'!$G$3:$G1001,MATCH(1,($D106='MASTER MANIFEST'!$B$3:$B1001)*($E106='MASTER MANIFEST'!$C$3:$C1001),0))</f>
        <v/>
      </c>
      <c r="H106" s="43">
        <f t="shared" si="3"/>
        <v>-806.945</v>
      </c>
      <c r="I106" s="45"/>
      <c r="J106" s="35"/>
      <c r="K106" s="42" t="str">
        <f t="array" ref="K106">INDEX('MASTER MANIFEST'!$D$3:$D1001,MATCH(1,($I106='MASTER MANIFEST'!$B$3:$B1001)*($J106='MASTER MANIFEST'!$C$3:$C1001),0))</f>
        <v/>
      </c>
      <c r="L106" s="43" t="str">
        <f t="array" ref="L106">INDEX('MASTER MANIFEST'!$G$3:$G1001,MATCH(1,($I106='MASTER MANIFEST'!$B$3:$B1001)*($J106='MASTER MANIFEST'!$C$3:$C1001),0))</f>
        <v/>
      </c>
      <c r="M106" s="43">
        <f t="shared" si="4"/>
        <v>0</v>
      </c>
      <c r="N106" s="43">
        <f t="shared" si="5"/>
        <v>0</v>
      </c>
      <c r="O106" s="42">
        <f t="shared" si="6"/>
        <v>0</v>
      </c>
    </row>
    <row r="107">
      <c r="A107" s="42" t="str">
        <f>IFERROR(__xludf.DUMMYFUNCTION("""COMPUTED_VALUE"""),"KL187107")</f>
        <v>KL187107</v>
      </c>
      <c r="B107" s="44" t="s">
        <v>48</v>
      </c>
      <c r="C107" s="43">
        <f>IFERROR(VLOOKUP($A107,DETAIL!$C$4:$M1001,11,FALSE),0)</f>
        <v>1191.2975</v>
      </c>
      <c r="D107" s="45"/>
      <c r="E107" s="35"/>
      <c r="F107" s="42" t="str">
        <f t="array" ref="F107">INDEX('MASTER MANIFEST'!$D$3:$D1001,MATCH(1,($D107='MASTER MANIFEST'!$B$3:$B1001)*($E107='MASTER MANIFEST'!$C$3:$C1001),0))</f>
        <v/>
      </c>
      <c r="G107" s="42" t="str">
        <f t="array" ref="G107">INDEX('MASTER MANIFEST'!$G$3:$G1001,MATCH(1,($D107='MASTER MANIFEST'!$B$3:$B1001)*($E107='MASTER MANIFEST'!$C$3:$C1001),0))</f>
        <v/>
      </c>
      <c r="H107" s="43">
        <f t="shared" si="3"/>
        <v>-1191.2975</v>
      </c>
      <c r="I107" s="45"/>
      <c r="J107" s="35"/>
      <c r="K107" s="42" t="str">
        <f t="array" ref="K107">INDEX('MASTER MANIFEST'!$D$3:$D1001,MATCH(1,($I107='MASTER MANIFEST'!$B$3:$B1001)*($J107='MASTER MANIFEST'!$C$3:$C1001),0))</f>
        <v/>
      </c>
      <c r="L107" s="43" t="str">
        <f t="array" ref="L107">INDEX('MASTER MANIFEST'!$G$3:$G1001,MATCH(1,($I107='MASTER MANIFEST'!$B$3:$B1001)*($J107='MASTER MANIFEST'!$C$3:$C1001),0))</f>
        <v/>
      </c>
      <c r="M107" s="43">
        <f t="shared" si="4"/>
        <v>0</v>
      </c>
      <c r="N107" s="43">
        <f t="shared" si="5"/>
        <v>0</v>
      </c>
      <c r="O107" s="42">
        <f t="shared" si="6"/>
        <v>0</v>
      </c>
    </row>
    <row r="108">
      <c r="A108" s="42" t="str">
        <f>IFERROR(__xludf.DUMMYFUNCTION("""COMPUTED_VALUE"""),"KL187108")</f>
        <v>KL187108</v>
      </c>
      <c r="B108" s="44" t="s">
        <v>48</v>
      </c>
      <c r="C108" s="43">
        <f>IFERROR(VLOOKUP($A108,DETAIL!$C$4:$M1001,11,FALSE),0)</f>
        <v>1004.105</v>
      </c>
      <c r="D108" s="45"/>
      <c r="E108" s="35"/>
      <c r="F108" s="42" t="str">
        <f t="array" ref="F108">INDEX('MASTER MANIFEST'!$D$3:$D1001,MATCH(1,($D108='MASTER MANIFEST'!$B$3:$B1001)*($E108='MASTER MANIFEST'!$C$3:$C1001),0))</f>
        <v/>
      </c>
      <c r="G108" s="42" t="str">
        <f t="array" ref="G108">INDEX('MASTER MANIFEST'!$G$3:$G1001,MATCH(1,($D108='MASTER MANIFEST'!$B$3:$B1001)*($E108='MASTER MANIFEST'!$C$3:$C1001),0))</f>
        <v/>
      </c>
      <c r="H108" s="43">
        <f t="shared" si="3"/>
        <v>-1004.105</v>
      </c>
      <c r="I108" s="45"/>
      <c r="J108" s="35"/>
      <c r="K108" s="42" t="str">
        <f t="array" ref="K108">INDEX('MASTER MANIFEST'!$D$3:$D1001,MATCH(1,($I108='MASTER MANIFEST'!$B$3:$B1001)*($J108='MASTER MANIFEST'!$C$3:$C1001),0))</f>
        <v/>
      </c>
      <c r="L108" s="43" t="str">
        <f t="array" ref="L108">INDEX('MASTER MANIFEST'!$G$3:$G1001,MATCH(1,($I108='MASTER MANIFEST'!$B$3:$B1001)*($J108='MASTER MANIFEST'!$C$3:$C1001),0))</f>
        <v/>
      </c>
      <c r="M108" s="43">
        <f t="shared" si="4"/>
        <v>0</v>
      </c>
      <c r="N108" s="43">
        <f t="shared" si="5"/>
        <v>0</v>
      </c>
      <c r="O108" s="42">
        <f t="shared" si="6"/>
        <v>0</v>
      </c>
    </row>
    <row r="109">
      <c r="A109" s="42" t="str">
        <f>IFERROR(__xludf.DUMMYFUNCTION("""COMPUTED_VALUE"""),"KL187109")</f>
        <v>KL187109</v>
      </c>
      <c r="B109" s="44" t="s">
        <v>48</v>
      </c>
      <c r="C109" s="43">
        <f>IFERROR(VLOOKUP($A109,DETAIL!$C$4:$M1001,11,FALSE),0)</f>
        <v>1182.25</v>
      </c>
      <c r="D109" s="45"/>
      <c r="E109" s="35"/>
      <c r="F109" s="42" t="str">
        <f t="array" ref="F109">INDEX('MASTER MANIFEST'!$D$3:$D1001,MATCH(1,($D109='MASTER MANIFEST'!$B$3:$B1001)*($E109='MASTER MANIFEST'!$C$3:$C1001),0))</f>
        <v/>
      </c>
      <c r="G109" s="42" t="str">
        <f t="array" ref="G109">INDEX('MASTER MANIFEST'!$G$3:$G1001,MATCH(1,($D109='MASTER MANIFEST'!$B$3:$B1001)*($E109='MASTER MANIFEST'!$C$3:$C1001),0))</f>
        <v/>
      </c>
      <c r="H109" s="43">
        <f t="shared" si="3"/>
        <v>-1182.25</v>
      </c>
      <c r="I109" s="45"/>
      <c r="J109" s="35"/>
      <c r="K109" s="42" t="str">
        <f t="array" ref="K109">INDEX('MASTER MANIFEST'!$D$3:$D1001,MATCH(1,($I109='MASTER MANIFEST'!$B$3:$B1001)*($J109='MASTER MANIFEST'!$C$3:$C1001),0))</f>
        <v/>
      </c>
      <c r="L109" s="43" t="str">
        <f t="array" ref="L109">INDEX('MASTER MANIFEST'!$G$3:$G1001,MATCH(1,($I109='MASTER MANIFEST'!$B$3:$B1001)*($J109='MASTER MANIFEST'!$C$3:$C1001),0))</f>
        <v/>
      </c>
      <c r="M109" s="43">
        <f t="shared" si="4"/>
        <v>0</v>
      </c>
      <c r="N109" s="43">
        <f t="shared" si="5"/>
        <v>0</v>
      </c>
      <c r="O109" s="42">
        <f t="shared" si="6"/>
        <v>0</v>
      </c>
    </row>
    <row r="110">
      <c r="A110" s="42" t="str">
        <f>IFERROR(__xludf.DUMMYFUNCTION("""COMPUTED_VALUE"""),"KL187110")</f>
        <v>KL187110</v>
      </c>
      <c r="B110" s="44" t="s">
        <v>48</v>
      </c>
      <c r="C110" s="43">
        <f>IFERROR(VLOOKUP($A110,DETAIL!$C$4:$M1001,11,FALSE),0)</f>
        <v>984.765</v>
      </c>
      <c r="D110" s="45"/>
      <c r="E110" s="35"/>
      <c r="F110" s="42" t="str">
        <f t="array" ref="F110">INDEX('MASTER MANIFEST'!$D$3:$D1001,MATCH(1,($D110='MASTER MANIFEST'!$B$3:$B1001)*($E110='MASTER MANIFEST'!$C$3:$C1001),0))</f>
        <v/>
      </c>
      <c r="G110" s="42" t="str">
        <f t="array" ref="G110">INDEX('MASTER MANIFEST'!$G$3:$G1001,MATCH(1,($D110='MASTER MANIFEST'!$B$3:$B1001)*($E110='MASTER MANIFEST'!$C$3:$C1001),0))</f>
        <v/>
      </c>
      <c r="H110" s="43">
        <f t="shared" si="3"/>
        <v>-984.765</v>
      </c>
      <c r="I110" s="45"/>
      <c r="J110" s="35"/>
      <c r="K110" s="42" t="str">
        <f t="array" ref="K110">INDEX('MASTER MANIFEST'!$D$3:$D1001,MATCH(1,($I110='MASTER MANIFEST'!$B$3:$B1001)*($J110='MASTER MANIFEST'!$C$3:$C1001),0))</f>
        <v/>
      </c>
      <c r="L110" s="43" t="str">
        <f t="array" ref="L110">INDEX('MASTER MANIFEST'!$G$3:$G1001,MATCH(1,($I110='MASTER MANIFEST'!$B$3:$B1001)*($J110='MASTER MANIFEST'!$C$3:$C1001),0))</f>
        <v/>
      </c>
      <c r="M110" s="43">
        <f t="shared" si="4"/>
        <v>0</v>
      </c>
      <c r="N110" s="43">
        <f t="shared" si="5"/>
        <v>0</v>
      </c>
      <c r="O110" s="42">
        <f t="shared" si="6"/>
        <v>0</v>
      </c>
    </row>
    <row r="111">
      <c r="A111" s="42" t="str">
        <f>IFERROR(__xludf.DUMMYFUNCTION("""COMPUTED_VALUE"""),"KL187111")</f>
        <v>KL187111</v>
      </c>
      <c r="B111" s="44" t="s">
        <v>48</v>
      </c>
      <c r="C111" s="43">
        <f>IFERROR(VLOOKUP($A111,DETAIL!$C$4:$M1001,11,FALSE),0)</f>
        <v>1021.5875</v>
      </c>
      <c r="D111" s="45"/>
      <c r="E111" s="35"/>
      <c r="F111" s="42" t="str">
        <f t="array" ref="F111">INDEX('MASTER MANIFEST'!$D$3:$D1001,MATCH(1,($D111='MASTER MANIFEST'!$B$3:$B1001)*($E111='MASTER MANIFEST'!$C$3:$C1001),0))</f>
        <v/>
      </c>
      <c r="G111" s="42" t="str">
        <f t="array" ref="G111">INDEX('MASTER MANIFEST'!$G$3:$G1001,MATCH(1,($D111='MASTER MANIFEST'!$B$3:$B1001)*($E111='MASTER MANIFEST'!$C$3:$C1001),0))</f>
        <v/>
      </c>
      <c r="H111" s="43">
        <f t="shared" si="3"/>
        <v>-1021.5875</v>
      </c>
      <c r="I111" s="45"/>
      <c r="J111" s="35"/>
      <c r="K111" s="42" t="str">
        <f t="array" ref="K111">INDEX('MASTER MANIFEST'!$D$3:$D1001,MATCH(1,($I111='MASTER MANIFEST'!$B$3:$B1001)*($J111='MASTER MANIFEST'!$C$3:$C1001),0))</f>
        <v/>
      </c>
      <c r="L111" s="43" t="str">
        <f t="array" ref="L111">INDEX('MASTER MANIFEST'!$G$3:$G1001,MATCH(1,($I111='MASTER MANIFEST'!$B$3:$B1001)*($J111='MASTER MANIFEST'!$C$3:$C1001),0))</f>
        <v/>
      </c>
      <c r="M111" s="43">
        <f t="shared" si="4"/>
        <v>0</v>
      </c>
      <c r="N111" s="43">
        <f t="shared" si="5"/>
        <v>0</v>
      </c>
      <c r="O111" s="42">
        <f t="shared" si="6"/>
        <v>0</v>
      </c>
    </row>
    <row r="112">
      <c r="A112" s="42" t="str">
        <f>IFERROR(__xludf.DUMMYFUNCTION("""COMPUTED_VALUE"""),"KL187112")</f>
        <v>KL187112</v>
      </c>
      <c r="B112" s="44" t="s">
        <v>48</v>
      </c>
      <c r="C112" s="43">
        <f>IFERROR(VLOOKUP($A112,DETAIL!$C$4:$M1001,11,FALSE),0)</f>
        <v>1027.28</v>
      </c>
      <c r="D112" s="45"/>
      <c r="E112" s="35"/>
      <c r="F112" s="42" t="str">
        <f t="array" ref="F112">INDEX('MASTER MANIFEST'!$D$3:$D1001,MATCH(1,($D112='MASTER MANIFEST'!$B$3:$B1001)*($E112='MASTER MANIFEST'!$C$3:$C1001),0))</f>
        <v/>
      </c>
      <c r="G112" s="42" t="str">
        <f t="array" ref="G112">INDEX('MASTER MANIFEST'!$G$3:$G1001,MATCH(1,($D112='MASTER MANIFEST'!$B$3:$B1001)*($E112='MASTER MANIFEST'!$C$3:$C1001),0))</f>
        <v/>
      </c>
      <c r="H112" s="43">
        <f t="shared" si="3"/>
        <v>-1027.28</v>
      </c>
      <c r="I112" s="45"/>
      <c r="J112" s="35"/>
      <c r="K112" s="42" t="str">
        <f t="array" ref="K112">INDEX('MASTER MANIFEST'!$D$3:$D1001,MATCH(1,($I112='MASTER MANIFEST'!$B$3:$B1001)*($J112='MASTER MANIFEST'!$C$3:$C1001),0))</f>
        <v/>
      </c>
      <c r="L112" s="43" t="str">
        <f t="array" ref="L112">INDEX('MASTER MANIFEST'!$G$3:$G1001,MATCH(1,($I112='MASTER MANIFEST'!$B$3:$B1001)*($J112='MASTER MANIFEST'!$C$3:$C1001),0))</f>
        <v/>
      </c>
      <c r="M112" s="43">
        <f t="shared" si="4"/>
        <v>0</v>
      </c>
      <c r="N112" s="43">
        <f t="shared" si="5"/>
        <v>0</v>
      </c>
      <c r="O112" s="42">
        <f t="shared" si="6"/>
        <v>0</v>
      </c>
    </row>
    <row r="113">
      <c r="A113" s="42" t="str">
        <f>IFERROR(__xludf.DUMMYFUNCTION("""COMPUTED_VALUE"""),"KL187113")</f>
        <v>KL187113</v>
      </c>
      <c r="B113" s="44" t="s">
        <v>48</v>
      </c>
      <c r="C113" s="43">
        <f>IFERROR(VLOOKUP($A113,DETAIL!$C$4:$M1001,11,FALSE),0)</f>
        <v>1005.7325</v>
      </c>
      <c r="D113" s="45"/>
      <c r="E113" s="35"/>
      <c r="F113" s="42" t="str">
        <f t="array" ref="F113">INDEX('MASTER MANIFEST'!$D$3:$D1001,MATCH(1,($D113='MASTER MANIFEST'!$B$3:$B1001)*($E113='MASTER MANIFEST'!$C$3:$C1001),0))</f>
        <v/>
      </c>
      <c r="G113" s="42" t="str">
        <f t="array" ref="G113">INDEX('MASTER MANIFEST'!$G$3:$G1001,MATCH(1,($D113='MASTER MANIFEST'!$B$3:$B1001)*($E113='MASTER MANIFEST'!$C$3:$C1001),0))</f>
        <v/>
      </c>
      <c r="H113" s="43">
        <f t="shared" si="3"/>
        <v>-1005.7325</v>
      </c>
      <c r="I113" s="45"/>
      <c r="J113" s="35"/>
      <c r="K113" s="42" t="str">
        <f t="array" ref="K113">INDEX('MASTER MANIFEST'!$D$3:$D1001,MATCH(1,($I113='MASTER MANIFEST'!$B$3:$B1001)*($J113='MASTER MANIFEST'!$C$3:$C1001),0))</f>
        <v/>
      </c>
      <c r="L113" s="43" t="str">
        <f t="array" ref="L113">INDEX('MASTER MANIFEST'!$G$3:$G1001,MATCH(1,($I113='MASTER MANIFEST'!$B$3:$B1001)*($J113='MASTER MANIFEST'!$C$3:$C1001),0))</f>
        <v/>
      </c>
      <c r="M113" s="43">
        <f t="shared" si="4"/>
        <v>0</v>
      </c>
      <c r="N113" s="43">
        <f t="shared" si="5"/>
        <v>0</v>
      </c>
      <c r="O113" s="42">
        <f t="shared" si="6"/>
        <v>0</v>
      </c>
    </row>
    <row r="114">
      <c r="A114" s="42" t="str">
        <f>IFERROR(__xludf.DUMMYFUNCTION("""COMPUTED_VALUE"""),"KL187114")</f>
        <v>KL187114</v>
      </c>
      <c r="B114" s="44" t="s">
        <v>48</v>
      </c>
      <c r="C114" s="43">
        <f>IFERROR(VLOOKUP($A114,DETAIL!$C$4:$M1001,11,FALSE),0)</f>
        <v>901.3125</v>
      </c>
      <c r="D114" s="45"/>
      <c r="E114" s="35"/>
      <c r="F114" s="42" t="str">
        <f t="array" ref="F114">INDEX('MASTER MANIFEST'!$D$3:$D1001,MATCH(1,($D114='MASTER MANIFEST'!$B$3:$B1001)*($E114='MASTER MANIFEST'!$C$3:$C1001),0))</f>
        <v/>
      </c>
      <c r="G114" s="42" t="str">
        <f t="array" ref="G114">INDEX('MASTER MANIFEST'!$G$3:$G1001,MATCH(1,($D114='MASTER MANIFEST'!$B$3:$B1001)*($E114='MASTER MANIFEST'!$C$3:$C1001),0))</f>
        <v/>
      </c>
      <c r="H114" s="43">
        <f t="shared" si="3"/>
        <v>-901.3125</v>
      </c>
      <c r="I114" s="45"/>
      <c r="J114" s="35"/>
      <c r="K114" s="42" t="str">
        <f t="array" ref="K114">INDEX('MASTER MANIFEST'!$D$3:$D1001,MATCH(1,($I114='MASTER MANIFEST'!$B$3:$B1001)*($J114='MASTER MANIFEST'!$C$3:$C1001),0))</f>
        <v/>
      </c>
      <c r="L114" s="43" t="str">
        <f t="array" ref="L114">INDEX('MASTER MANIFEST'!$G$3:$G1001,MATCH(1,($I114='MASTER MANIFEST'!$B$3:$B1001)*($J114='MASTER MANIFEST'!$C$3:$C1001),0))</f>
        <v/>
      </c>
      <c r="M114" s="43">
        <f t="shared" si="4"/>
        <v>0</v>
      </c>
      <c r="N114" s="43">
        <f t="shared" si="5"/>
        <v>0</v>
      </c>
      <c r="O114" s="42">
        <f t="shared" si="6"/>
        <v>0</v>
      </c>
    </row>
    <row r="115">
      <c r="A115" s="42" t="str">
        <f>IFERROR(__xludf.DUMMYFUNCTION("""COMPUTED_VALUE"""),"KL187115")</f>
        <v>KL187115</v>
      </c>
      <c r="B115" s="44" t="s">
        <v>48</v>
      </c>
      <c r="C115" s="43">
        <f>IFERROR(VLOOKUP($A115,DETAIL!$C$4:$M1001,11,FALSE),0)</f>
        <v>965.37</v>
      </c>
      <c r="D115" s="45"/>
      <c r="E115" s="35"/>
      <c r="F115" s="42" t="str">
        <f t="array" ref="F115">INDEX('MASTER MANIFEST'!$D$3:$D1001,MATCH(1,($D115='MASTER MANIFEST'!$B$3:$B1001)*($E115='MASTER MANIFEST'!$C$3:$C1001),0))</f>
        <v/>
      </c>
      <c r="G115" s="42" t="str">
        <f t="array" ref="G115">INDEX('MASTER MANIFEST'!$G$3:$G1001,MATCH(1,($D115='MASTER MANIFEST'!$B$3:$B1001)*($E115='MASTER MANIFEST'!$C$3:$C1001),0))</f>
        <v/>
      </c>
      <c r="H115" s="43">
        <f t="shared" si="3"/>
        <v>-965.37</v>
      </c>
      <c r="I115" s="45"/>
      <c r="J115" s="35"/>
      <c r="K115" s="42" t="str">
        <f t="array" ref="K115">INDEX('MASTER MANIFEST'!$D$3:$D1001,MATCH(1,($I115='MASTER MANIFEST'!$B$3:$B1001)*($J115='MASTER MANIFEST'!$C$3:$C1001),0))</f>
        <v/>
      </c>
      <c r="L115" s="43" t="str">
        <f t="array" ref="L115">INDEX('MASTER MANIFEST'!$G$3:$G1001,MATCH(1,($I115='MASTER MANIFEST'!$B$3:$B1001)*($J115='MASTER MANIFEST'!$C$3:$C1001),0))</f>
        <v/>
      </c>
      <c r="M115" s="43">
        <f t="shared" si="4"/>
        <v>0</v>
      </c>
      <c r="N115" s="43">
        <f t="shared" si="5"/>
        <v>0</v>
      </c>
      <c r="O115" s="42">
        <f t="shared" si="6"/>
        <v>0</v>
      </c>
    </row>
    <row r="116">
      <c r="A116" s="42" t="str">
        <f>IFERROR(__xludf.DUMMYFUNCTION("""COMPUTED_VALUE"""),"KL187116")</f>
        <v>KL187116</v>
      </c>
      <c r="B116" s="44" t="s">
        <v>48</v>
      </c>
      <c r="C116" s="43">
        <f>IFERROR(VLOOKUP($A116,DETAIL!$C$4:$M1001,11,FALSE),0)</f>
        <v>879.7475</v>
      </c>
      <c r="D116" s="45"/>
      <c r="E116" s="35"/>
      <c r="F116" s="42" t="str">
        <f t="array" ref="F116">INDEX('MASTER MANIFEST'!$D$3:$D1001,MATCH(1,($D116='MASTER MANIFEST'!$B$3:$B1001)*($E116='MASTER MANIFEST'!$C$3:$C1001),0))</f>
        <v/>
      </c>
      <c r="G116" s="42" t="str">
        <f t="array" ref="G116">INDEX('MASTER MANIFEST'!$G$3:$G1001,MATCH(1,($D116='MASTER MANIFEST'!$B$3:$B1001)*($E116='MASTER MANIFEST'!$C$3:$C1001),0))</f>
        <v/>
      </c>
      <c r="H116" s="43">
        <f t="shared" si="3"/>
        <v>-879.7475</v>
      </c>
      <c r="I116" s="45"/>
      <c r="J116" s="35"/>
      <c r="K116" s="42" t="str">
        <f t="array" ref="K116">INDEX('MASTER MANIFEST'!$D$3:$D1001,MATCH(1,($I116='MASTER MANIFEST'!$B$3:$B1001)*($J116='MASTER MANIFEST'!$C$3:$C1001),0))</f>
        <v/>
      </c>
      <c r="L116" s="43" t="str">
        <f t="array" ref="L116">INDEX('MASTER MANIFEST'!$G$3:$G1001,MATCH(1,($I116='MASTER MANIFEST'!$B$3:$B1001)*($J116='MASTER MANIFEST'!$C$3:$C1001),0))</f>
        <v/>
      </c>
      <c r="M116" s="43">
        <f t="shared" si="4"/>
        <v>0</v>
      </c>
      <c r="N116" s="43">
        <f t="shared" si="5"/>
        <v>0</v>
      </c>
      <c r="O116" s="42">
        <f t="shared" si="6"/>
        <v>0</v>
      </c>
    </row>
    <row r="117">
      <c r="A117" s="42" t="str">
        <f>IFERROR(__xludf.DUMMYFUNCTION("""COMPUTED_VALUE"""),"KL187117")</f>
        <v>KL187117</v>
      </c>
      <c r="B117" s="44" t="s">
        <v>48</v>
      </c>
      <c r="C117" s="43">
        <f>IFERROR(VLOOKUP($A117,DETAIL!$C$4:$M1001,11,FALSE),0)</f>
        <v>928.5</v>
      </c>
      <c r="D117" s="45"/>
      <c r="E117" s="35"/>
      <c r="F117" s="42" t="str">
        <f t="array" ref="F117">INDEX('MASTER MANIFEST'!$D$3:$D1001,MATCH(1,($D117='MASTER MANIFEST'!$B$3:$B1001)*($E117='MASTER MANIFEST'!$C$3:$C1001),0))</f>
        <v/>
      </c>
      <c r="G117" s="42" t="str">
        <f t="array" ref="G117">INDEX('MASTER MANIFEST'!$G$3:$G1001,MATCH(1,($D117='MASTER MANIFEST'!$B$3:$B1001)*($E117='MASTER MANIFEST'!$C$3:$C1001),0))</f>
        <v/>
      </c>
      <c r="H117" s="43">
        <f t="shared" si="3"/>
        <v>-928.5</v>
      </c>
      <c r="I117" s="45"/>
      <c r="J117" s="35"/>
      <c r="K117" s="42" t="str">
        <f t="array" ref="K117">INDEX('MASTER MANIFEST'!$D$3:$D1001,MATCH(1,($I117='MASTER MANIFEST'!$B$3:$B1001)*($J117='MASTER MANIFEST'!$C$3:$C1001),0))</f>
        <v/>
      </c>
      <c r="L117" s="43" t="str">
        <f t="array" ref="L117">INDEX('MASTER MANIFEST'!$G$3:$G1001,MATCH(1,($I117='MASTER MANIFEST'!$B$3:$B1001)*($J117='MASTER MANIFEST'!$C$3:$C1001),0))</f>
        <v/>
      </c>
      <c r="M117" s="43">
        <f t="shared" si="4"/>
        <v>0</v>
      </c>
      <c r="N117" s="43">
        <f t="shared" si="5"/>
        <v>0</v>
      </c>
      <c r="O117" s="42">
        <f t="shared" si="6"/>
        <v>0</v>
      </c>
    </row>
    <row r="118">
      <c r="A118" s="42" t="str">
        <f>IFERROR(__xludf.DUMMYFUNCTION("""COMPUTED_VALUE"""),"LC18300")</f>
        <v>LC18300</v>
      </c>
      <c r="B118" s="44" t="s">
        <v>48</v>
      </c>
      <c r="C118" s="43">
        <f>IFERROR(VLOOKUP($A118,DETAIL!$C$4:$M1001,11,FALSE),0)</f>
        <v>1311.37</v>
      </c>
      <c r="D118" s="45"/>
      <c r="E118" s="35"/>
      <c r="F118" s="42" t="str">
        <f t="array" ref="F118">INDEX('MASTER MANIFEST'!$D$3:$D1001,MATCH(1,($D118='MASTER MANIFEST'!$B$3:$B1001)*($E118='MASTER MANIFEST'!$C$3:$C1001),0))</f>
        <v/>
      </c>
      <c r="G118" s="42" t="str">
        <f t="array" ref="G118">INDEX('MASTER MANIFEST'!$G$3:$G1001,MATCH(1,($D118='MASTER MANIFEST'!$B$3:$B1001)*($E118='MASTER MANIFEST'!$C$3:$C1001),0))</f>
        <v/>
      </c>
      <c r="H118" s="43">
        <f t="shared" si="3"/>
        <v>-1311.37</v>
      </c>
      <c r="I118" s="45"/>
      <c r="J118" s="35"/>
      <c r="K118" s="42" t="str">
        <f t="array" ref="K118">INDEX('MASTER MANIFEST'!$D$3:$D1001,MATCH(1,($I118='MASTER MANIFEST'!$B$3:$B1001)*($J118='MASTER MANIFEST'!$C$3:$C1001),0))</f>
        <v/>
      </c>
      <c r="L118" s="43" t="str">
        <f t="array" ref="L118">INDEX('MASTER MANIFEST'!$G$3:$G1001,MATCH(1,($I118='MASTER MANIFEST'!$B$3:$B1001)*($J118='MASTER MANIFEST'!$C$3:$C1001),0))</f>
        <v/>
      </c>
      <c r="M118" s="43">
        <f t="shared" si="4"/>
        <v>0</v>
      </c>
      <c r="N118" s="43">
        <f t="shared" si="5"/>
        <v>0</v>
      </c>
      <c r="O118" s="42">
        <f t="shared" si="6"/>
        <v>0</v>
      </c>
    </row>
    <row r="119">
      <c r="A119" s="42" t="str">
        <f>IFERROR(__xludf.DUMMYFUNCTION("""COMPUTED_VALUE"""),"LC18301")</f>
        <v>LC18301</v>
      </c>
      <c r="B119" s="44" t="s">
        <v>48</v>
      </c>
      <c r="C119" s="43">
        <f>IFERROR(VLOOKUP($A119,DETAIL!$C$4:$M1001,11,FALSE),0)</f>
        <v>863.4725</v>
      </c>
      <c r="D119" s="45"/>
      <c r="E119" s="35"/>
      <c r="F119" s="42" t="str">
        <f t="array" ref="F119">INDEX('MASTER MANIFEST'!$D$3:$D1001,MATCH(1,($D119='MASTER MANIFEST'!$B$3:$B1001)*($E119='MASTER MANIFEST'!$C$3:$C1001),0))</f>
        <v/>
      </c>
      <c r="G119" s="42" t="str">
        <f t="array" ref="G119">INDEX('MASTER MANIFEST'!$G$3:$G1001,MATCH(1,($D119='MASTER MANIFEST'!$B$3:$B1001)*($E119='MASTER MANIFEST'!$C$3:$C1001),0))</f>
        <v/>
      </c>
      <c r="H119" s="43">
        <f t="shared" si="3"/>
        <v>-863.4725</v>
      </c>
      <c r="I119" s="45"/>
      <c r="J119" s="35"/>
      <c r="K119" s="42" t="str">
        <f t="array" ref="K119">INDEX('MASTER MANIFEST'!$D$3:$D1001,MATCH(1,($I119='MASTER MANIFEST'!$B$3:$B1001)*($J119='MASTER MANIFEST'!$C$3:$C1001),0))</f>
        <v/>
      </c>
      <c r="L119" s="43" t="str">
        <f t="array" ref="L119">INDEX('MASTER MANIFEST'!$G$3:$G1001,MATCH(1,($I119='MASTER MANIFEST'!$B$3:$B1001)*($J119='MASTER MANIFEST'!$C$3:$C1001),0))</f>
        <v/>
      </c>
      <c r="M119" s="43">
        <f t="shared" si="4"/>
        <v>0</v>
      </c>
      <c r="N119" s="43">
        <f t="shared" si="5"/>
        <v>0</v>
      </c>
      <c r="O119" s="42">
        <f t="shared" si="6"/>
        <v>0</v>
      </c>
    </row>
    <row r="120">
      <c r="A120" s="42" t="str">
        <f>IFERROR(__xludf.DUMMYFUNCTION("""COMPUTED_VALUE"""),"LC18303")</f>
        <v>LC18303</v>
      </c>
      <c r="B120" s="44" t="s">
        <v>48</v>
      </c>
      <c r="C120" s="43">
        <f>IFERROR(VLOOKUP($A120,DETAIL!$C$4:$M1001,11,FALSE),0)</f>
        <v>246.75</v>
      </c>
      <c r="D120" s="45"/>
      <c r="E120" s="35"/>
      <c r="F120" s="42" t="str">
        <f t="array" ref="F120">INDEX('MASTER MANIFEST'!$D$3:$D1001,MATCH(1,($D120='MASTER MANIFEST'!$B$3:$B1001)*($E120='MASTER MANIFEST'!$C$3:$C1001),0))</f>
        <v/>
      </c>
      <c r="G120" s="42" t="str">
        <f t="array" ref="G120">INDEX('MASTER MANIFEST'!$G$3:$G1001,MATCH(1,($D120='MASTER MANIFEST'!$B$3:$B1001)*($E120='MASTER MANIFEST'!$C$3:$C1001),0))</f>
        <v/>
      </c>
      <c r="H120" s="43">
        <f t="shared" si="3"/>
        <v>-246.75</v>
      </c>
      <c r="I120" s="45"/>
      <c r="J120" s="35"/>
      <c r="K120" s="42" t="str">
        <f t="array" ref="K120">INDEX('MASTER MANIFEST'!$D$3:$D1001,MATCH(1,($I120='MASTER MANIFEST'!$B$3:$B1001)*($J120='MASTER MANIFEST'!$C$3:$C1001),0))</f>
        <v/>
      </c>
      <c r="L120" s="43" t="str">
        <f t="array" ref="L120">INDEX('MASTER MANIFEST'!$G$3:$G1001,MATCH(1,($I120='MASTER MANIFEST'!$B$3:$B1001)*($J120='MASTER MANIFEST'!$C$3:$C1001),0))</f>
        <v/>
      </c>
      <c r="M120" s="43">
        <f t="shared" si="4"/>
        <v>0</v>
      </c>
      <c r="N120" s="43">
        <f t="shared" si="5"/>
        <v>0</v>
      </c>
      <c r="O120" s="42">
        <f t="shared" si="6"/>
        <v>0</v>
      </c>
    </row>
    <row r="121">
      <c r="A121" s="42" t="str">
        <f>IFERROR(__xludf.DUMMYFUNCTION("""COMPUTED_VALUE"""),"LC18304")</f>
        <v>LC18304</v>
      </c>
      <c r="B121" s="44" t="s">
        <v>48</v>
      </c>
      <c r="C121" s="43">
        <f>IFERROR(VLOOKUP($A121,DETAIL!$C$4:$M1001,11,FALSE),0)</f>
        <v>324.495</v>
      </c>
      <c r="D121" s="45"/>
      <c r="E121" s="35"/>
      <c r="F121" s="42" t="str">
        <f t="array" ref="F121">INDEX('MASTER MANIFEST'!$D$3:$D1001,MATCH(1,($D121='MASTER MANIFEST'!$B$3:$B1001)*($E121='MASTER MANIFEST'!$C$3:$C1001),0))</f>
        <v/>
      </c>
      <c r="G121" s="42" t="str">
        <f t="array" ref="G121">INDEX('MASTER MANIFEST'!$G$3:$G1001,MATCH(1,($D121='MASTER MANIFEST'!$B$3:$B1001)*($E121='MASTER MANIFEST'!$C$3:$C1001),0))</f>
        <v/>
      </c>
      <c r="H121" s="43">
        <f t="shared" si="3"/>
        <v>-324.495</v>
      </c>
      <c r="I121" s="45"/>
      <c r="J121" s="35"/>
      <c r="K121" s="42" t="str">
        <f t="array" ref="K121">INDEX('MASTER MANIFEST'!$D$3:$D1001,MATCH(1,($I121='MASTER MANIFEST'!$B$3:$B1001)*($J121='MASTER MANIFEST'!$C$3:$C1001),0))</f>
        <v/>
      </c>
      <c r="L121" s="43" t="str">
        <f t="array" ref="L121">INDEX('MASTER MANIFEST'!$G$3:$G1001,MATCH(1,($I121='MASTER MANIFEST'!$B$3:$B1001)*($J121='MASTER MANIFEST'!$C$3:$C1001),0))</f>
        <v/>
      </c>
      <c r="M121" s="43">
        <f t="shared" si="4"/>
        <v>0</v>
      </c>
      <c r="N121" s="43">
        <f t="shared" si="5"/>
        <v>0</v>
      </c>
      <c r="O121" s="42">
        <f t="shared" si="6"/>
        <v>0</v>
      </c>
    </row>
    <row r="122">
      <c r="A122" s="42" t="str">
        <f>IFERROR(__xludf.DUMMYFUNCTION("""COMPUTED_VALUE"""),"LC18305")</f>
        <v>LC18305</v>
      </c>
      <c r="B122" s="44" t="s">
        <v>48</v>
      </c>
      <c r="C122" s="43">
        <f>IFERROR(VLOOKUP($A122,DETAIL!$C$4:$M1001,11,FALSE),0)</f>
        <v>376.25</v>
      </c>
      <c r="D122" s="45"/>
      <c r="E122" s="35"/>
      <c r="F122" s="42" t="str">
        <f t="array" ref="F122">INDEX('MASTER MANIFEST'!$D$3:$D1001,MATCH(1,($D122='MASTER MANIFEST'!$B$3:$B1001)*($E122='MASTER MANIFEST'!$C$3:$C1001),0))</f>
        <v/>
      </c>
      <c r="G122" s="42" t="str">
        <f t="array" ref="G122">INDEX('MASTER MANIFEST'!$G$3:$G1001,MATCH(1,($D122='MASTER MANIFEST'!$B$3:$B1001)*($E122='MASTER MANIFEST'!$C$3:$C1001),0))</f>
        <v/>
      </c>
      <c r="H122" s="43">
        <f t="shared" si="3"/>
        <v>-376.25</v>
      </c>
      <c r="I122" s="45"/>
      <c r="J122" s="35"/>
      <c r="K122" s="42" t="str">
        <f t="array" ref="K122">INDEX('MASTER MANIFEST'!$D$3:$D1001,MATCH(1,($I122='MASTER MANIFEST'!$B$3:$B1001)*($J122='MASTER MANIFEST'!$C$3:$C1001),0))</f>
        <v/>
      </c>
      <c r="L122" s="43" t="str">
        <f t="array" ref="L122">INDEX('MASTER MANIFEST'!$G$3:$G1001,MATCH(1,($I122='MASTER MANIFEST'!$B$3:$B1001)*($J122='MASTER MANIFEST'!$C$3:$C1001),0))</f>
        <v/>
      </c>
      <c r="M122" s="43">
        <f t="shared" si="4"/>
        <v>0</v>
      </c>
      <c r="N122" s="43">
        <f t="shared" si="5"/>
        <v>0</v>
      </c>
      <c r="O122" s="42">
        <f t="shared" si="6"/>
        <v>0</v>
      </c>
    </row>
    <row r="123">
      <c r="A123" s="42" t="str">
        <f>IFERROR(__xludf.DUMMYFUNCTION("""COMPUTED_VALUE"""),"LC18306")</f>
        <v>LC18306</v>
      </c>
      <c r="B123" s="44" t="s">
        <v>48</v>
      </c>
      <c r="C123" s="43">
        <f>IFERROR(VLOOKUP($A123,DETAIL!$C$4:$M1001,11,FALSE),0)</f>
        <v>175.5</v>
      </c>
      <c r="D123" s="45"/>
      <c r="E123" s="35"/>
      <c r="F123" s="42" t="str">
        <f t="array" ref="F123">INDEX('MASTER MANIFEST'!$D$3:$D1001,MATCH(1,($D123='MASTER MANIFEST'!$B$3:$B1001)*($E123='MASTER MANIFEST'!$C$3:$C1001),0))</f>
        <v/>
      </c>
      <c r="G123" s="42" t="str">
        <f t="array" ref="G123">INDEX('MASTER MANIFEST'!$G$3:$G1001,MATCH(1,($D123='MASTER MANIFEST'!$B$3:$B1001)*($E123='MASTER MANIFEST'!$C$3:$C1001),0))</f>
        <v/>
      </c>
      <c r="H123" s="43">
        <f t="shared" si="3"/>
        <v>-175.5</v>
      </c>
      <c r="I123" s="45"/>
      <c r="J123" s="35"/>
      <c r="K123" s="42" t="str">
        <f t="array" ref="K123">INDEX('MASTER MANIFEST'!$D$3:$D1001,MATCH(1,($I123='MASTER MANIFEST'!$B$3:$B1001)*($J123='MASTER MANIFEST'!$C$3:$C1001),0))</f>
        <v/>
      </c>
      <c r="L123" s="43" t="str">
        <f t="array" ref="L123">INDEX('MASTER MANIFEST'!$G$3:$G1001,MATCH(1,($I123='MASTER MANIFEST'!$B$3:$B1001)*($J123='MASTER MANIFEST'!$C$3:$C1001),0))</f>
        <v/>
      </c>
      <c r="M123" s="43">
        <f t="shared" si="4"/>
        <v>0</v>
      </c>
      <c r="N123" s="43">
        <f t="shared" si="5"/>
        <v>0</v>
      </c>
      <c r="O123" s="42">
        <f t="shared" si="6"/>
        <v>0</v>
      </c>
    </row>
    <row r="124">
      <c r="A124" s="42" t="str">
        <f>IFERROR(__xludf.DUMMYFUNCTION("""COMPUTED_VALUE"""),"LC18307")</f>
        <v>LC18307</v>
      </c>
      <c r="B124" s="44" t="s">
        <v>48</v>
      </c>
      <c r="C124" s="43">
        <f>IFERROR(VLOOKUP($A124,DETAIL!$C$4:$M1001,11,FALSE),0)</f>
        <v>214.6225</v>
      </c>
      <c r="D124" s="45"/>
      <c r="E124" s="35"/>
      <c r="F124" s="42" t="str">
        <f t="array" ref="F124">INDEX('MASTER MANIFEST'!$D$3:$D1001,MATCH(1,($D124='MASTER MANIFEST'!$B$3:$B1001)*($E124='MASTER MANIFEST'!$C$3:$C1001),0))</f>
        <v/>
      </c>
      <c r="G124" s="42" t="str">
        <f t="array" ref="G124">INDEX('MASTER MANIFEST'!$G$3:$G1001,MATCH(1,($D124='MASTER MANIFEST'!$B$3:$B1001)*($E124='MASTER MANIFEST'!$C$3:$C1001),0))</f>
        <v/>
      </c>
      <c r="H124" s="43">
        <f t="shared" si="3"/>
        <v>-214.6225</v>
      </c>
      <c r="I124" s="45"/>
      <c r="J124" s="35"/>
      <c r="K124" s="42" t="str">
        <f t="array" ref="K124">INDEX('MASTER MANIFEST'!$D$3:$D1001,MATCH(1,($I124='MASTER MANIFEST'!$B$3:$B1001)*($J124='MASTER MANIFEST'!$C$3:$C1001),0))</f>
        <v/>
      </c>
      <c r="L124" s="43" t="str">
        <f t="array" ref="L124">INDEX('MASTER MANIFEST'!$G$3:$G1001,MATCH(1,($I124='MASTER MANIFEST'!$B$3:$B1001)*($J124='MASTER MANIFEST'!$C$3:$C1001),0))</f>
        <v/>
      </c>
      <c r="M124" s="43">
        <f t="shared" si="4"/>
        <v>0</v>
      </c>
      <c r="N124" s="43">
        <f t="shared" si="5"/>
        <v>0</v>
      </c>
      <c r="O124" s="42">
        <f t="shared" si="6"/>
        <v>0</v>
      </c>
    </row>
    <row r="125">
      <c r="A125" s="42" t="str">
        <f>IFERROR(__xludf.DUMMYFUNCTION("""COMPUTED_VALUE"""),"LC18308")</f>
        <v>LC18308</v>
      </c>
      <c r="B125" s="44" t="s">
        <v>48</v>
      </c>
      <c r="C125" s="43">
        <f>IFERROR(VLOOKUP($A125,DETAIL!$C$4:$M1001,11,FALSE),0)</f>
        <v>279.8575</v>
      </c>
      <c r="D125" s="45"/>
      <c r="E125" s="35"/>
      <c r="F125" s="42" t="str">
        <f t="array" ref="F125">INDEX('MASTER MANIFEST'!$D$3:$D1001,MATCH(1,($D125='MASTER MANIFEST'!$B$3:$B1001)*($E125='MASTER MANIFEST'!$C$3:$C1001),0))</f>
        <v/>
      </c>
      <c r="G125" s="42" t="str">
        <f t="array" ref="G125">INDEX('MASTER MANIFEST'!$G$3:$G1001,MATCH(1,($D125='MASTER MANIFEST'!$B$3:$B1001)*($E125='MASTER MANIFEST'!$C$3:$C1001),0))</f>
        <v/>
      </c>
      <c r="H125" s="43">
        <f t="shared" si="3"/>
        <v>-279.8575</v>
      </c>
      <c r="I125" s="45"/>
      <c r="J125" s="35"/>
      <c r="K125" s="42" t="str">
        <f t="array" ref="K125">INDEX('MASTER MANIFEST'!$D$3:$D1001,MATCH(1,($I125='MASTER MANIFEST'!$B$3:$B1001)*($J125='MASTER MANIFEST'!$C$3:$C1001),0))</f>
        <v/>
      </c>
      <c r="L125" s="43" t="str">
        <f t="array" ref="L125">INDEX('MASTER MANIFEST'!$G$3:$G1001,MATCH(1,($I125='MASTER MANIFEST'!$B$3:$B1001)*($J125='MASTER MANIFEST'!$C$3:$C1001),0))</f>
        <v/>
      </c>
      <c r="M125" s="43">
        <f t="shared" si="4"/>
        <v>0</v>
      </c>
      <c r="N125" s="43">
        <f t="shared" si="5"/>
        <v>0</v>
      </c>
      <c r="O125" s="42">
        <f t="shared" si="6"/>
        <v>0</v>
      </c>
    </row>
    <row r="126">
      <c r="A126" s="42" t="str">
        <f>IFERROR(__xludf.DUMMYFUNCTION("""COMPUTED_VALUE"""),"LC18309")</f>
        <v>LC18309</v>
      </c>
      <c r="B126" s="44" t="s">
        <v>48</v>
      </c>
      <c r="C126" s="43">
        <f>IFERROR(VLOOKUP($A126,DETAIL!$C$4:$M1001,11,FALSE),0)</f>
        <v>86.875</v>
      </c>
      <c r="D126" s="45"/>
      <c r="E126" s="35"/>
      <c r="F126" s="42" t="str">
        <f t="array" ref="F126">INDEX('MASTER MANIFEST'!$D$3:$D1001,MATCH(1,($D126='MASTER MANIFEST'!$B$3:$B1001)*($E126='MASTER MANIFEST'!$C$3:$C1001),0))</f>
        <v/>
      </c>
      <c r="G126" s="42" t="str">
        <f t="array" ref="G126">INDEX('MASTER MANIFEST'!$G$3:$G1001,MATCH(1,($D126='MASTER MANIFEST'!$B$3:$B1001)*($E126='MASTER MANIFEST'!$C$3:$C1001),0))</f>
        <v/>
      </c>
      <c r="H126" s="43">
        <f t="shared" si="3"/>
        <v>-86.875</v>
      </c>
      <c r="I126" s="45"/>
      <c r="J126" s="35"/>
      <c r="K126" s="42" t="str">
        <f t="array" ref="K126">INDEX('MASTER MANIFEST'!$D$3:$D1001,MATCH(1,($I126='MASTER MANIFEST'!$B$3:$B1001)*($J126='MASTER MANIFEST'!$C$3:$C1001),0))</f>
        <v/>
      </c>
      <c r="L126" s="43" t="str">
        <f t="array" ref="L126">INDEX('MASTER MANIFEST'!$G$3:$G1001,MATCH(1,($I126='MASTER MANIFEST'!$B$3:$B1001)*($J126='MASTER MANIFEST'!$C$3:$C1001),0))</f>
        <v/>
      </c>
      <c r="M126" s="43">
        <f t="shared" si="4"/>
        <v>0</v>
      </c>
      <c r="N126" s="43">
        <f t="shared" si="5"/>
        <v>0</v>
      </c>
      <c r="O126" s="42">
        <f t="shared" si="6"/>
        <v>0</v>
      </c>
    </row>
    <row r="127">
      <c r="A127" s="42" t="str">
        <f>IFERROR(__xludf.DUMMYFUNCTION("""COMPUTED_VALUE"""),"MF18850")</f>
        <v>MF18850</v>
      </c>
      <c r="B127" s="44" t="s">
        <v>48</v>
      </c>
      <c r="C127" s="43">
        <f>IFERROR(VLOOKUP($A127,DETAIL!$C$4:$M1001,11,FALSE),0)</f>
        <v>1084.2</v>
      </c>
      <c r="D127" s="45"/>
      <c r="E127" s="35"/>
      <c r="F127" s="42" t="str">
        <f t="array" ref="F127">INDEX('MASTER MANIFEST'!$D$3:$D1001,MATCH(1,($D127='MASTER MANIFEST'!$B$3:$B1001)*($E127='MASTER MANIFEST'!$C$3:$C1001),0))</f>
        <v/>
      </c>
      <c r="G127" s="42" t="str">
        <f t="array" ref="G127">INDEX('MASTER MANIFEST'!$G$3:$G1001,MATCH(1,($D127='MASTER MANIFEST'!$B$3:$B1001)*($E127='MASTER MANIFEST'!$C$3:$C1001),0))</f>
        <v/>
      </c>
      <c r="H127" s="43">
        <f t="shared" si="3"/>
        <v>-1084.2</v>
      </c>
      <c r="I127" s="45"/>
      <c r="J127" s="35"/>
      <c r="K127" s="42" t="str">
        <f t="array" ref="K127">INDEX('MASTER MANIFEST'!$D$3:$D1001,MATCH(1,($I127='MASTER MANIFEST'!$B$3:$B1001)*($J127='MASTER MANIFEST'!$C$3:$C1001),0))</f>
        <v/>
      </c>
      <c r="L127" s="43" t="str">
        <f t="array" ref="L127">INDEX('MASTER MANIFEST'!$G$3:$G1001,MATCH(1,($I127='MASTER MANIFEST'!$B$3:$B1001)*($J127='MASTER MANIFEST'!$C$3:$C1001),0))</f>
        <v/>
      </c>
      <c r="M127" s="43">
        <f t="shared" si="4"/>
        <v>0</v>
      </c>
      <c r="N127" s="43">
        <f t="shared" si="5"/>
        <v>0</v>
      </c>
      <c r="O127" s="42">
        <f t="shared" si="6"/>
        <v>0</v>
      </c>
    </row>
    <row r="128">
      <c r="A128" s="42" t="str">
        <f>IFERROR(__xludf.DUMMYFUNCTION("""COMPUTED_VALUE"""),"MF18851")</f>
        <v>MF18851</v>
      </c>
      <c r="B128" s="44" t="s">
        <v>48</v>
      </c>
      <c r="C128" s="43">
        <f>IFERROR(VLOOKUP($A128,DETAIL!$C$4:$M1001,11,FALSE),0)</f>
        <v>629.9975</v>
      </c>
      <c r="D128" s="45"/>
      <c r="E128" s="35"/>
      <c r="F128" s="42" t="str">
        <f t="array" ref="F128">INDEX('MASTER MANIFEST'!$D$3:$D1001,MATCH(1,($D128='MASTER MANIFEST'!$B$3:$B1001)*($E128='MASTER MANIFEST'!$C$3:$C1001),0))</f>
        <v/>
      </c>
      <c r="G128" s="42" t="str">
        <f t="array" ref="G128">INDEX('MASTER MANIFEST'!$G$3:$G1001,MATCH(1,($D128='MASTER MANIFEST'!$B$3:$B1001)*($E128='MASTER MANIFEST'!$C$3:$C1001),0))</f>
        <v/>
      </c>
      <c r="H128" s="43">
        <f t="shared" si="3"/>
        <v>-629.9975</v>
      </c>
      <c r="I128" s="45"/>
      <c r="J128" s="35"/>
      <c r="K128" s="42" t="str">
        <f t="array" ref="K128">INDEX('MASTER MANIFEST'!$D$3:$D1001,MATCH(1,($I128='MASTER MANIFEST'!$B$3:$B1001)*($J128='MASTER MANIFEST'!$C$3:$C1001),0))</f>
        <v/>
      </c>
      <c r="L128" s="43" t="str">
        <f t="array" ref="L128">INDEX('MASTER MANIFEST'!$G$3:$G1001,MATCH(1,($I128='MASTER MANIFEST'!$B$3:$B1001)*($J128='MASTER MANIFEST'!$C$3:$C1001),0))</f>
        <v/>
      </c>
      <c r="M128" s="43">
        <f t="shared" si="4"/>
        <v>0</v>
      </c>
      <c r="N128" s="43">
        <f t="shared" si="5"/>
        <v>0</v>
      </c>
      <c r="O128" s="42">
        <f t="shared" si="6"/>
        <v>0</v>
      </c>
    </row>
    <row r="129">
      <c r="A129" s="42" t="str">
        <f>IFERROR(__xludf.DUMMYFUNCTION("""COMPUTED_VALUE"""),"MF18852")</f>
        <v>MF18852</v>
      </c>
      <c r="B129" s="44" t="s">
        <v>48</v>
      </c>
      <c r="C129" s="43">
        <f>IFERROR(VLOOKUP($A129,DETAIL!$C$4:$M1001,11,FALSE),0)</f>
        <v>565.625</v>
      </c>
      <c r="D129" s="45"/>
      <c r="E129" s="35"/>
      <c r="F129" s="42" t="str">
        <f t="array" ref="F129">INDEX('MASTER MANIFEST'!$D$3:$D1001,MATCH(1,($D129='MASTER MANIFEST'!$B$3:$B1001)*($E129='MASTER MANIFEST'!$C$3:$C1001),0))</f>
        <v/>
      </c>
      <c r="G129" s="42" t="str">
        <f t="array" ref="G129">INDEX('MASTER MANIFEST'!$G$3:$G1001,MATCH(1,($D129='MASTER MANIFEST'!$B$3:$B1001)*($E129='MASTER MANIFEST'!$C$3:$C1001),0))</f>
        <v/>
      </c>
      <c r="H129" s="43">
        <f t="shared" si="3"/>
        <v>-565.625</v>
      </c>
      <c r="I129" s="45"/>
      <c r="J129" s="35"/>
      <c r="K129" s="42" t="str">
        <f t="array" ref="K129">INDEX('MASTER MANIFEST'!$D$3:$D1001,MATCH(1,($I129='MASTER MANIFEST'!$B$3:$B1001)*($J129='MASTER MANIFEST'!$C$3:$C1001),0))</f>
        <v/>
      </c>
      <c r="L129" s="43" t="str">
        <f t="array" ref="L129">INDEX('MASTER MANIFEST'!$G$3:$G1001,MATCH(1,($I129='MASTER MANIFEST'!$B$3:$B1001)*($J129='MASTER MANIFEST'!$C$3:$C1001),0))</f>
        <v/>
      </c>
      <c r="M129" s="43">
        <f t="shared" si="4"/>
        <v>0</v>
      </c>
      <c r="N129" s="43">
        <f t="shared" si="5"/>
        <v>0</v>
      </c>
      <c r="O129" s="42">
        <f t="shared" si="6"/>
        <v>0</v>
      </c>
    </row>
    <row r="130">
      <c r="A130" s="42" t="str">
        <f>IFERROR(__xludf.DUMMYFUNCTION("""COMPUTED_VALUE"""),"MG18601 ")</f>
        <v>MG18601 </v>
      </c>
      <c r="B130" s="44" t="s">
        <v>48</v>
      </c>
      <c r="C130" s="43">
        <f>IFERROR(VLOOKUP($A130,DETAIL!$C$4:$M1001,11,FALSE),0)</f>
        <v>292.8766667</v>
      </c>
      <c r="D130" s="45"/>
      <c r="E130" s="35"/>
      <c r="F130" s="42" t="str">
        <f t="array" ref="F130">INDEX('MASTER MANIFEST'!$D$3:$D1001,MATCH(1,($D130='MASTER MANIFEST'!$B$3:$B1001)*($E130='MASTER MANIFEST'!$C$3:$C1001),0))</f>
        <v/>
      </c>
      <c r="G130" s="42" t="str">
        <f t="array" ref="G130">INDEX('MASTER MANIFEST'!$G$3:$G1001,MATCH(1,($D130='MASTER MANIFEST'!$B$3:$B1001)*($E130='MASTER MANIFEST'!$C$3:$C1001),0))</f>
        <v/>
      </c>
      <c r="H130" s="43">
        <f t="shared" si="3"/>
        <v>-292.8766667</v>
      </c>
      <c r="I130" s="45"/>
      <c r="J130" s="35"/>
      <c r="K130" s="42" t="str">
        <f t="array" ref="K130">INDEX('MASTER MANIFEST'!$D$3:$D1001,MATCH(1,($I130='MASTER MANIFEST'!$B$3:$B1001)*($J130='MASTER MANIFEST'!$C$3:$C1001),0))</f>
        <v/>
      </c>
      <c r="L130" s="43" t="str">
        <f t="array" ref="L130">INDEX('MASTER MANIFEST'!$G$3:$G1001,MATCH(1,($I130='MASTER MANIFEST'!$B$3:$B1001)*($J130='MASTER MANIFEST'!$C$3:$C1001),0))</f>
        <v/>
      </c>
      <c r="M130" s="43">
        <f t="shared" si="4"/>
        <v>0</v>
      </c>
      <c r="N130" s="43">
        <f t="shared" si="5"/>
        <v>0</v>
      </c>
      <c r="O130" s="42">
        <f t="shared" si="6"/>
        <v>0</v>
      </c>
    </row>
    <row r="131">
      <c r="A131" s="42" t="str">
        <f>IFERROR(__xludf.DUMMYFUNCTION("""COMPUTED_VALUE"""),"MG18602 ")</f>
        <v>MG18602 </v>
      </c>
      <c r="B131" s="44" t="s">
        <v>48</v>
      </c>
      <c r="C131" s="43">
        <f>IFERROR(VLOOKUP($A131,DETAIL!$C$4:$M1001,11,FALSE),0)</f>
        <v>313.6666667</v>
      </c>
      <c r="D131" s="45"/>
      <c r="E131" s="35"/>
      <c r="F131" s="42" t="str">
        <f t="array" ref="F131">INDEX('MASTER MANIFEST'!$D$3:$D1001,MATCH(1,($D131='MASTER MANIFEST'!$B$3:$B1001)*($E131='MASTER MANIFEST'!$C$3:$C1001),0))</f>
        <v/>
      </c>
      <c r="G131" s="42" t="str">
        <f t="array" ref="G131">INDEX('MASTER MANIFEST'!$G$3:$G1001,MATCH(1,($D131='MASTER MANIFEST'!$B$3:$B1001)*($E131='MASTER MANIFEST'!$C$3:$C1001),0))</f>
        <v/>
      </c>
      <c r="H131" s="43">
        <f t="shared" si="3"/>
        <v>-313.6666667</v>
      </c>
      <c r="I131" s="45"/>
      <c r="J131" s="35"/>
      <c r="K131" s="42" t="str">
        <f t="array" ref="K131">INDEX('MASTER MANIFEST'!$D$3:$D1001,MATCH(1,($I131='MASTER MANIFEST'!$B$3:$B1001)*($J131='MASTER MANIFEST'!$C$3:$C1001),0))</f>
        <v/>
      </c>
      <c r="L131" s="43" t="str">
        <f t="array" ref="L131">INDEX('MASTER MANIFEST'!$G$3:$G1001,MATCH(1,($I131='MASTER MANIFEST'!$B$3:$B1001)*($J131='MASTER MANIFEST'!$C$3:$C1001),0))</f>
        <v/>
      </c>
      <c r="M131" s="43">
        <f t="shared" si="4"/>
        <v>0</v>
      </c>
      <c r="N131" s="43">
        <f t="shared" si="5"/>
        <v>0</v>
      </c>
      <c r="O131" s="42">
        <f t="shared" si="6"/>
        <v>0</v>
      </c>
    </row>
    <row r="132">
      <c r="A132" s="42" t="str">
        <f>IFERROR(__xludf.DUMMYFUNCTION("""COMPUTED_VALUE"""),"MG18603 ")</f>
        <v>MG18603 </v>
      </c>
      <c r="B132" s="44" t="s">
        <v>48</v>
      </c>
      <c r="C132" s="43">
        <f>IFERROR(VLOOKUP($A132,DETAIL!$C$4:$M1001,11,FALSE),0)</f>
        <v>211.2</v>
      </c>
      <c r="D132" s="45"/>
      <c r="E132" s="35"/>
      <c r="F132" s="42" t="str">
        <f t="array" ref="F132">INDEX('MASTER MANIFEST'!$D$3:$D1001,MATCH(1,($D132='MASTER MANIFEST'!$B$3:$B1001)*($E132='MASTER MANIFEST'!$C$3:$C1001),0))</f>
        <v/>
      </c>
      <c r="G132" s="42" t="str">
        <f t="array" ref="G132">INDEX('MASTER MANIFEST'!$G$3:$G1001,MATCH(1,($D132='MASTER MANIFEST'!$B$3:$B1001)*($E132='MASTER MANIFEST'!$C$3:$C1001),0))</f>
        <v/>
      </c>
      <c r="H132" s="43">
        <f t="shared" si="3"/>
        <v>-211.2</v>
      </c>
      <c r="I132" s="45"/>
      <c r="J132" s="35"/>
      <c r="K132" s="42" t="str">
        <f t="array" ref="K132">INDEX('MASTER MANIFEST'!$D$3:$D1001,MATCH(1,($I132='MASTER MANIFEST'!$B$3:$B1001)*($J132='MASTER MANIFEST'!$C$3:$C1001),0))</f>
        <v/>
      </c>
      <c r="L132" s="43" t="str">
        <f t="array" ref="L132">INDEX('MASTER MANIFEST'!$G$3:$G1001,MATCH(1,($I132='MASTER MANIFEST'!$B$3:$B1001)*($J132='MASTER MANIFEST'!$C$3:$C1001),0))</f>
        <v/>
      </c>
      <c r="M132" s="43">
        <f t="shared" si="4"/>
        <v>0</v>
      </c>
      <c r="N132" s="43">
        <f t="shared" si="5"/>
        <v>0</v>
      </c>
      <c r="O132" s="42">
        <f t="shared" si="6"/>
        <v>0</v>
      </c>
    </row>
    <row r="133">
      <c r="A133" s="42" t="str">
        <f>IFERROR(__xludf.DUMMYFUNCTION("""COMPUTED_VALUE"""),"MG18604 ")</f>
        <v>MG18604 </v>
      </c>
      <c r="B133" s="44" t="s">
        <v>48</v>
      </c>
      <c r="C133" s="43">
        <f>IFERROR(VLOOKUP($A133,DETAIL!$C$4:$M1001,11,FALSE),0)</f>
        <v>543.8333333</v>
      </c>
      <c r="D133" s="45"/>
      <c r="E133" s="35"/>
      <c r="F133" s="42" t="str">
        <f t="array" ref="F133">INDEX('MASTER MANIFEST'!$D$3:$D1001,MATCH(1,($D133='MASTER MANIFEST'!$B$3:$B1001)*($E133='MASTER MANIFEST'!$C$3:$C1001),0))</f>
        <v/>
      </c>
      <c r="G133" s="42" t="str">
        <f t="array" ref="G133">INDEX('MASTER MANIFEST'!$G$3:$G1001,MATCH(1,($D133='MASTER MANIFEST'!$B$3:$B1001)*($E133='MASTER MANIFEST'!$C$3:$C1001),0))</f>
        <v/>
      </c>
      <c r="H133" s="43">
        <f t="shared" si="3"/>
        <v>-543.8333333</v>
      </c>
      <c r="I133" s="45"/>
      <c r="J133" s="35"/>
      <c r="K133" s="42" t="str">
        <f t="array" ref="K133">INDEX('MASTER MANIFEST'!$D$3:$D1001,MATCH(1,($I133='MASTER MANIFEST'!$B$3:$B1001)*($J133='MASTER MANIFEST'!$C$3:$C1001),0))</f>
        <v/>
      </c>
      <c r="L133" s="43" t="str">
        <f t="array" ref="L133">INDEX('MASTER MANIFEST'!$G$3:$G1001,MATCH(1,($I133='MASTER MANIFEST'!$B$3:$B1001)*($J133='MASTER MANIFEST'!$C$3:$C1001),0))</f>
        <v/>
      </c>
      <c r="M133" s="43">
        <f t="shared" si="4"/>
        <v>0</v>
      </c>
      <c r="N133" s="43">
        <f t="shared" si="5"/>
        <v>0</v>
      </c>
      <c r="O133" s="42">
        <f t="shared" si="6"/>
        <v>0</v>
      </c>
    </row>
    <row r="134">
      <c r="A134" s="42" t="str">
        <f>IFERROR(__xludf.DUMMYFUNCTION("""COMPUTED_VALUE"""),"MG18605 ")</f>
        <v>MG18605 </v>
      </c>
      <c r="B134" s="44" t="s">
        <v>48</v>
      </c>
      <c r="C134" s="43">
        <f>IFERROR(VLOOKUP($A134,DETAIL!$C$4:$M1001,11,FALSE),0)</f>
        <v>490.3333333</v>
      </c>
      <c r="D134" s="45"/>
      <c r="E134" s="35"/>
      <c r="F134" s="42" t="str">
        <f t="array" ref="F134">INDEX('MASTER MANIFEST'!$D$3:$D1001,MATCH(1,($D134='MASTER MANIFEST'!$B$3:$B1001)*($E134='MASTER MANIFEST'!$C$3:$C1001),0))</f>
        <v/>
      </c>
      <c r="G134" s="42" t="str">
        <f t="array" ref="G134">INDEX('MASTER MANIFEST'!$G$3:$G1001,MATCH(1,($D134='MASTER MANIFEST'!$B$3:$B1001)*($E134='MASTER MANIFEST'!$C$3:$C1001),0))</f>
        <v/>
      </c>
      <c r="H134" s="43">
        <f t="shared" si="3"/>
        <v>-490.3333333</v>
      </c>
      <c r="I134" s="45"/>
      <c r="J134" s="35"/>
      <c r="K134" s="42" t="str">
        <f t="array" ref="K134">INDEX('MASTER MANIFEST'!$D$3:$D1001,MATCH(1,($I134='MASTER MANIFEST'!$B$3:$B1001)*($J134='MASTER MANIFEST'!$C$3:$C1001),0))</f>
        <v/>
      </c>
      <c r="L134" s="43" t="str">
        <f t="array" ref="L134">INDEX('MASTER MANIFEST'!$G$3:$G1001,MATCH(1,($I134='MASTER MANIFEST'!$B$3:$B1001)*($J134='MASTER MANIFEST'!$C$3:$C1001),0))</f>
        <v/>
      </c>
      <c r="M134" s="43">
        <f t="shared" si="4"/>
        <v>0</v>
      </c>
      <c r="N134" s="43">
        <f t="shared" si="5"/>
        <v>0</v>
      </c>
      <c r="O134" s="42">
        <f t="shared" si="6"/>
        <v>0</v>
      </c>
    </row>
    <row r="135">
      <c r="A135" s="42" t="str">
        <f>IFERROR(__xludf.DUMMYFUNCTION("""COMPUTED_VALUE"""),"MG18606 ")</f>
        <v>MG18606 </v>
      </c>
      <c r="B135" s="44" t="s">
        <v>48</v>
      </c>
      <c r="C135" s="43">
        <f>IFERROR(VLOOKUP($A135,DETAIL!$C$4:$M1001,11,FALSE),0)</f>
        <v>410.3333333</v>
      </c>
      <c r="D135" s="45"/>
      <c r="E135" s="35"/>
      <c r="F135" s="42" t="str">
        <f t="array" ref="F135">INDEX('MASTER MANIFEST'!$D$3:$D1001,MATCH(1,($D135='MASTER MANIFEST'!$B$3:$B1001)*($E135='MASTER MANIFEST'!$C$3:$C1001),0))</f>
        <v/>
      </c>
      <c r="G135" s="42" t="str">
        <f t="array" ref="G135">INDEX('MASTER MANIFEST'!$G$3:$G1001,MATCH(1,($D135='MASTER MANIFEST'!$B$3:$B1001)*($E135='MASTER MANIFEST'!$C$3:$C1001),0))</f>
        <v/>
      </c>
      <c r="H135" s="43">
        <f t="shared" si="3"/>
        <v>-410.3333333</v>
      </c>
      <c r="I135" s="45"/>
      <c r="J135" s="35"/>
      <c r="K135" s="42" t="str">
        <f t="array" ref="K135">INDEX('MASTER MANIFEST'!$D$3:$D1001,MATCH(1,($I135='MASTER MANIFEST'!$B$3:$B1001)*($J135='MASTER MANIFEST'!$C$3:$C1001),0))</f>
        <v/>
      </c>
      <c r="L135" s="43" t="str">
        <f t="array" ref="L135">INDEX('MASTER MANIFEST'!$G$3:$G1001,MATCH(1,($I135='MASTER MANIFEST'!$B$3:$B1001)*($J135='MASTER MANIFEST'!$C$3:$C1001),0))</f>
        <v/>
      </c>
      <c r="M135" s="43">
        <f t="shared" si="4"/>
        <v>0</v>
      </c>
      <c r="N135" s="43">
        <f t="shared" si="5"/>
        <v>0</v>
      </c>
      <c r="O135" s="42">
        <f t="shared" si="6"/>
        <v>0</v>
      </c>
    </row>
    <row r="136">
      <c r="A136" s="42" t="str">
        <f>IFERROR(__xludf.DUMMYFUNCTION("""COMPUTED_VALUE"""),"MG18607 ")</f>
        <v>MG18607 </v>
      </c>
      <c r="B136" s="44" t="s">
        <v>48</v>
      </c>
      <c r="C136" s="43">
        <f>IFERROR(VLOOKUP($A136,DETAIL!$C$4:$M1001,11,FALSE),0)</f>
        <v>265</v>
      </c>
      <c r="D136" s="45"/>
      <c r="E136" s="35"/>
      <c r="F136" s="42" t="str">
        <f t="array" ref="F136">INDEX('MASTER MANIFEST'!$D$3:$D1001,MATCH(1,($D136='MASTER MANIFEST'!$B$3:$B1001)*($E136='MASTER MANIFEST'!$C$3:$C1001),0))</f>
        <v/>
      </c>
      <c r="G136" s="42" t="str">
        <f t="array" ref="G136">INDEX('MASTER MANIFEST'!$G$3:$G1001,MATCH(1,($D136='MASTER MANIFEST'!$B$3:$B1001)*($E136='MASTER MANIFEST'!$C$3:$C1001),0))</f>
        <v/>
      </c>
      <c r="H136" s="43">
        <f t="shared" si="3"/>
        <v>-265</v>
      </c>
      <c r="I136" s="45"/>
      <c r="J136" s="35"/>
      <c r="K136" s="42" t="str">
        <f t="array" ref="K136">INDEX('MASTER MANIFEST'!$D$3:$D1001,MATCH(1,($I136='MASTER MANIFEST'!$B$3:$B1001)*($J136='MASTER MANIFEST'!$C$3:$C1001),0))</f>
        <v/>
      </c>
      <c r="L136" s="43" t="str">
        <f t="array" ref="L136">INDEX('MASTER MANIFEST'!$G$3:$G1001,MATCH(1,($I136='MASTER MANIFEST'!$B$3:$B1001)*($J136='MASTER MANIFEST'!$C$3:$C1001),0))</f>
        <v/>
      </c>
      <c r="M136" s="43">
        <f t="shared" si="4"/>
        <v>0</v>
      </c>
      <c r="N136" s="43">
        <f t="shared" si="5"/>
        <v>0</v>
      </c>
      <c r="O136" s="42">
        <f t="shared" si="6"/>
        <v>0</v>
      </c>
    </row>
    <row r="137">
      <c r="A137" s="42" t="str">
        <f>IFERROR(__xludf.DUMMYFUNCTION("""COMPUTED_VALUE"""),"MG18608 ")</f>
        <v>MG18608 </v>
      </c>
      <c r="B137" s="44" t="s">
        <v>48</v>
      </c>
      <c r="C137" s="43">
        <f>IFERROR(VLOOKUP($A137,DETAIL!$C$4:$M1001,11,FALSE),0)</f>
        <v>334</v>
      </c>
      <c r="D137" s="45"/>
      <c r="E137" s="35"/>
      <c r="F137" s="42" t="str">
        <f t="array" ref="F137">INDEX('MASTER MANIFEST'!$D$3:$D1001,MATCH(1,($D137='MASTER MANIFEST'!$B$3:$B1001)*($E137='MASTER MANIFEST'!$C$3:$C1001),0))</f>
        <v/>
      </c>
      <c r="G137" s="42" t="str">
        <f t="array" ref="G137">INDEX('MASTER MANIFEST'!$G$3:$G1001,MATCH(1,($D137='MASTER MANIFEST'!$B$3:$B1001)*($E137='MASTER MANIFEST'!$C$3:$C1001),0))</f>
        <v/>
      </c>
      <c r="H137" s="43">
        <f t="shared" si="3"/>
        <v>-334</v>
      </c>
      <c r="I137" s="45"/>
      <c r="J137" s="35"/>
      <c r="K137" s="42" t="str">
        <f t="array" ref="K137">INDEX('MASTER MANIFEST'!$D$3:$D1001,MATCH(1,($I137='MASTER MANIFEST'!$B$3:$B1001)*($J137='MASTER MANIFEST'!$C$3:$C1001),0))</f>
        <v/>
      </c>
      <c r="L137" s="43" t="str">
        <f t="array" ref="L137">INDEX('MASTER MANIFEST'!$G$3:$G1001,MATCH(1,($I137='MASTER MANIFEST'!$B$3:$B1001)*($J137='MASTER MANIFEST'!$C$3:$C1001),0))</f>
        <v/>
      </c>
      <c r="M137" s="43">
        <f t="shared" si="4"/>
        <v>0</v>
      </c>
      <c r="N137" s="43">
        <f t="shared" si="5"/>
        <v>0</v>
      </c>
      <c r="O137" s="42">
        <f t="shared" si="6"/>
        <v>0</v>
      </c>
    </row>
    <row r="138">
      <c r="A138" s="42" t="str">
        <f>IFERROR(__xludf.DUMMYFUNCTION("""COMPUTED_VALUE"""),"MG18609 ")</f>
        <v>MG18609 </v>
      </c>
      <c r="B138" s="44" t="s">
        <v>48</v>
      </c>
      <c r="C138" s="43">
        <f>IFERROR(VLOOKUP($A138,DETAIL!$C$4:$M1001,11,FALSE),0)</f>
        <v>278.6666667</v>
      </c>
      <c r="D138" s="45"/>
      <c r="E138" s="35"/>
      <c r="F138" s="42" t="str">
        <f t="array" ref="F138">INDEX('MASTER MANIFEST'!$D$3:$D1001,MATCH(1,($D138='MASTER MANIFEST'!$B$3:$B1001)*($E138='MASTER MANIFEST'!$C$3:$C1001),0))</f>
        <v/>
      </c>
      <c r="G138" s="42" t="str">
        <f t="array" ref="G138">INDEX('MASTER MANIFEST'!$G$3:$G1001,MATCH(1,($D138='MASTER MANIFEST'!$B$3:$B1001)*($E138='MASTER MANIFEST'!$C$3:$C1001),0))</f>
        <v/>
      </c>
      <c r="H138" s="43">
        <f t="shared" si="3"/>
        <v>-278.6666667</v>
      </c>
      <c r="I138" s="45"/>
      <c r="J138" s="35"/>
      <c r="K138" s="42" t="str">
        <f t="array" ref="K138">INDEX('MASTER MANIFEST'!$D$3:$D1001,MATCH(1,($I138='MASTER MANIFEST'!$B$3:$B1001)*($J138='MASTER MANIFEST'!$C$3:$C1001),0))</f>
        <v/>
      </c>
      <c r="L138" s="43" t="str">
        <f t="array" ref="L138">INDEX('MASTER MANIFEST'!$G$3:$G1001,MATCH(1,($I138='MASTER MANIFEST'!$B$3:$B1001)*($J138='MASTER MANIFEST'!$C$3:$C1001),0))</f>
        <v/>
      </c>
      <c r="M138" s="43">
        <f t="shared" si="4"/>
        <v>0</v>
      </c>
      <c r="N138" s="43">
        <f t="shared" si="5"/>
        <v>0</v>
      </c>
      <c r="O138" s="42">
        <f t="shared" si="6"/>
        <v>0</v>
      </c>
    </row>
    <row r="139">
      <c r="A139" s="42" t="str">
        <f>IFERROR(__xludf.DUMMYFUNCTION("""COMPUTED_VALUE"""),"MG18610 ")</f>
        <v>MG18610 </v>
      </c>
      <c r="B139" s="44" t="s">
        <v>48</v>
      </c>
      <c r="C139" s="43">
        <f>IFERROR(VLOOKUP($A139,DETAIL!$C$4:$M1001,11,FALSE),0)</f>
        <v>205.3333333</v>
      </c>
      <c r="D139" s="45"/>
      <c r="E139" s="35"/>
      <c r="F139" s="42" t="str">
        <f t="array" ref="F139">INDEX('MASTER MANIFEST'!$D$3:$D1001,MATCH(1,($D139='MASTER MANIFEST'!$B$3:$B1001)*($E139='MASTER MANIFEST'!$C$3:$C1001),0))</f>
        <v/>
      </c>
      <c r="G139" s="42" t="str">
        <f t="array" ref="G139">INDEX('MASTER MANIFEST'!$G$3:$G1001,MATCH(1,($D139='MASTER MANIFEST'!$B$3:$B1001)*($E139='MASTER MANIFEST'!$C$3:$C1001),0))</f>
        <v/>
      </c>
      <c r="H139" s="43">
        <f t="shared" si="3"/>
        <v>-205.3333333</v>
      </c>
      <c r="I139" s="45"/>
      <c r="J139" s="35"/>
      <c r="K139" s="42" t="str">
        <f t="array" ref="K139">INDEX('MASTER MANIFEST'!$D$3:$D1001,MATCH(1,($I139='MASTER MANIFEST'!$B$3:$B1001)*($J139='MASTER MANIFEST'!$C$3:$C1001),0))</f>
        <v/>
      </c>
      <c r="L139" s="43" t="str">
        <f t="array" ref="L139">INDEX('MASTER MANIFEST'!$G$3:$G1001,MATCH(1,($I139='MASTER MANIFEST'!$B$3:$B1001)*($J139='MASTER MANIFEST'!$C$3:$C1001),0))</f>
        <v/>
      </c>
      <c r="M139" s="43">
        <f t="shared" si="4"/>
        <v>0</v>
      </c>
      <c r="N139" s="43">
        <f t="shared" si="5"/>
        <v>0</v>
      </c>
      <c r="O139" s="42">
        <f t="shared" si="6"/>
        <v>0</v>
      </c>
    </row>
    <row r="140">
      <c r="A140" s="42" t="str">
        <f>IFERROR(__xludf.DUMMYFUNCTION("""COMPUTED_VALUE"""),"MG18611 ")</f>
        <v>MG18611 </v>
      </c>
      <c r="B140" s="44" t="s">
        <v>48</v>
      </c>
      <c r="C140" s="43">
        <f>IFERROR(VLOOKUP($A140,DETAIL!$C$4:$M1001,11,FALSE),0)</f>
        <v>194.6666667</v>
      </c>
      <c r="D140" s="45"/>
      <c r="E140" s="35"/>
      <c r="F140" s="42" t="str">
        <f t="array" ref="F140">INDEX('MASTER MANIFEST'!$D$3:$D1001,MATCH(1,($D140='MASTER MANIFEST'!$B$3:$B1001)*($E140='MASTER MANIFEST'!$C$3:$C1001),0))</f>
        <v/>
      </c>
      <c r="G140" s="42" t="str">
        <f t="array" ref="G140">INDEX('MASTER MANIFEST'!$G$3:$G1001,MATCH(1,($D140='MASTER MANIFEST'!$B$3:$B1001)*($E140='MASTER MANIFEST'!$C$3:$C1001),0))</f>
        <v/>
      </c>
      <c r="H140" s="43">
        <f t="shared" si="3"/>
        <v>-194.6666667</v>
      </c>
      <c r="I140" s="45"/>
      <c r="J140" s="35"/>
      <c r="K140" s="42" t="str">
        <f t="array" ref="K140">INDEX('MASTER MANIFEST'!$D$3:$D1001,MATCH(1,($I140='MASTER MANIFEST'!$B$3:$B1001)*($J140='MASTER MANIFEST'!$C$3:$C1001),0))</f>
        <v/>
      </c>
      <c r="L140" s="43" t="str">
        <f t="array" ref="L140">INDEX('MASTER MANIFEST'!$G$3:$G1001,MATCH(1,($I140='MASTER MANIFEST'!$B$3:$B1001)*($J140='MASTER MANIFEST'!$C$3:$C1001),0))</f>
        <v/>
      </c>
      <c r="M140" s="43">
        <f t="shared" si="4"/>
        <v>0</v>
      </c>
      <c r="N140" s="43">
        <f t="shared" si="5"/>
        <v>0</v>
      </c>
      <c r="O140" s="42">
        <f t="shared" si="6"/>
        <v>0</v>
      </c>
    </row>
    <row r="141">
      <c r="A141" s="42" t="str">
        <f>IFERROR(__xludf.DUMMYFUNCTION("""COMPUTED_VALUE"""),"MG18612 ")</f>
        <v>MG18612 </v>
      </c>
      <c r="B141" s="44" t="s">
        <v>48</v>
      </c>
      <c r="C141" s="43">
        <f>IFERROR(VLOOKUP($A141,DETAIL!$C$4:$M1001,11,FALSE),0)</f>
        <v>142</v>
      </c>
      <c r="D141" s="45"/>
      <c r="E141" s="35"/>
      <c r="F141" s="42" t="str">
        <f t="array" ref="F141">INDEX('MASTER MANIFEST'!$D$3:$D1001,MATCH(1,($D141='MASTER MANIFEST'!$B$3:$B1001)*($E141='MASTER MANIFEST'!$C$3:$C1001),0))</f>
        <v/>
      </c>
      <c r="G141" s="42" t="str">
        <f t="array" ref="G141">INDEX('MASTER MANIFEST'!$G$3:$G1001,MATCH(1,($D141='MASTER MANIFEST'!$B$3:$B1001)*($E141='MASTER MANIFEST'!$C$3:$C1001),0))</f>
        <v/>
      </c>
      <c r="H141" s="43">
        <f t="shared" si="3"/>
        <v>-142</v>
      </c>
      <c r="I141" s="45"/>
      <c r="J141" s="35"/>
      <c r="K141" s="42" t="str">
        <f t="array" ref="K141">INDEX('MASTER MANIFEST'!$D$3:$D1001,MATCH(1,($I141='MASTER MANIFEST'!$B$3:$B1001)*($J141='MASTER MANIFEST'!$C$3:$C1001),0))</f>
        <v/>
      </c>
      <c r="L141" s="43" t="str">
        <f t="array" ref="L141">INDEX('MASTER MANIFEST'!$G$3:$G1001,MATCH(1,($I141='MASTER MANIFEST'!$B$3:$B1001)*($J141='MASTER MANIFEST'!$C$3:$C1001),0))</f>
        <v/>
      </c>
      <c r="M141" s="43">
        <f t="shared" si="4"/>
        <v>0</v>
      </c>
      <c r="N141" s="43">
        <f t="shared" si="5"/>
        <v>0</v>
      </c>
      <c r="O141" s="42">
        <f t="shared" si="6"/>
        <v>0</v>
      </c>
    </row>
    <row r="142">
      <c r="A142" s="42" t="str">
        <f>IFERROR(__xludf.DUMMYFUNCTION("""COMPUTED_VALUE"""),"MG18613 ")</f>
        <v>MG18613 </v>
      </c>
      <c r="B142" s="44" t="s">
        <v>48</v>
      </c>
      <c r="C142" s="43">
        <f>IFERROR(VLOOKUP($A142,DETAIL!$C$4:$M1001,11,FALSE),0)</f>
        <v>260.3266667</v>
      </c>
      <c r="D142" s="45"/>
      <c r="E142" s="35"/>
      <c r="F142" s="42" t="str">
        <f t="array" ref="F142">INDEX('MASTER MANIFEST'!$D$3:$D1001,MATCH(1,($D142='MASTER MANIFEST'!$B$3:$B1001)*($E142='MASTER MANIFEST'!$C$3:$C1001),0))</f>
        <v/>
      </c>
      <c r="G142" s="42" t="str">
        <f t="array" ref="G142">INDEX('MASTER MANIFEST'!$G$3:$G1001,MATCH(1,($D142='MASTER MANIFEST'!$B$3:$B1001)*($E142='MASTER MANIFEST'!$C$3:$C1001),0))</f>
        <v/>
      </c>
      <c r="H142" s="43">
        <f t="shared" si="3"/>
        <v>-260.3266667</v>
      </c>
      <c r="I142" s="45"/>
      <c r="J142" s="35"/>
      <c r="K142" s="42" t="str">
        <f t="array" ref="K142">INDEX('MASTER MANIFEST'!$D$3:$D1001,MATCH(1,($I142='MASTER MANIFEST'!$B$3:$B1001)*($J142='MASTER MANIFEST'!$C$3:$C1001),0))</f>
        <v/>
      </c>
      <c r="L142" s="43" t="str">
        <f t="array" ref="L142">INDEX('MASTER MANIFEST'!$G$3:$G1001,MATCH(1,($I142='MASTER MANIFEST'!$B$3:$B1001)*($J142='MASTER MANIFEST'!$C$3:$C1001),0))</f>
        <v/>
      </c>
      <c r="M142" s="43">
        <f t="shared" si="4"/>
        <v>0</v>
      </c>
      <c r="N142" s="43">
        <f t="shared" si="5"/>
        <v>0</v>
      </c>
      <c r="O142" s="42">
        <f t="shared" si="6"/>
        <v>0</v>
      </c>
    </row>
    <row r="143">
      <c r="A143" s="42" t="str">
        <f>IFERROR(__xludf.DUMMYFUNCTION("""COMPUTED_VALUE"""),"MG18614 ")</f>
        <v>MG18614 </v>
      </c>
      <c r="B143" s="44" t="s">
        <v>48</v>
      </c>
      <c r="C143" s="43">
        <f>IFERROR(VLOOKUP($A143,DETAIL!$C$4:$M1001,11,FALSE),0)</f>
        <v>42.66666667</v>
      </c>
      <c r="D143" s="45"/>
      <c r="E143" s="35"/>
      <c r="F143" s="42" t="str">
        <f t="array" ref="F143">INDEX('MASTER MANIFEST'!$D$3:$D1001,MATCH(1,($D143='MASTER MANIFEST'!$B$3:$B1001)*($E143='MASTER MANIFEST'!$C$3:$C1001),0))</f>
        <v/>
      </c>
      <c r="G143" s="42" t="str">
        <f t="array" ref="G143">INDEX('MASTER MANIFEST'!$G$3:$G1001,MATCH(1,($D143='MASTER MANIFEST'!$B$3:$B1001)*($E143='MASTER MANIFEST'!$C$3:$C1001),0))</f>
        <v/>
      </c>
      <c r="H143" s="43">
        <f t="shared" si="3"/>
        <v>-42.66666667</v>
      </c>
      <c r="I143" s="45"/>
      <c r="J143" s="35"/>
      <c r="K143" s="42" t="str">
        <f t="array" ref="K143">INDEX('MASTER MANIFEST'!$D$3:$D1001,MATCH(1,($I143='MASTER MANIFEST'!$B$3:$B1001)*($J143='MASTER MANIFEST'!$C$3:$C1001),0))</f>
        <v/>
      </c>
      <c r="L143" s="43" t="str">
        <f t="array" ref="L143">INDEX('MASTER MANIFEST'!$G$3:$G1001,MATCH(1,($I143='MASTER MANIFEST'!$B$3:$B1001)*($J143='MASTER MANIFEST'!$C$3:$C1001),0))</f>
        <v/>
      </c>
      <c r="M143" s="43">
        <f t="shared" si="4"/>
        <v>0</v>
      </c>
      <c r="N143" s="43">
        <f t="shared" si="5"/>
        <v>0</v>
      </c>
      <c r="O143" s="42">
        <f t="shared" si="6"/>
        <v>0</v>
      </c>
    </row>
    <row r="144">
      <c r="A144" s="42" t="str">
        <f>IFERROR(__xludf.DUMMYFUNCTION("""COMPUTED_VALUE"""),"MG18615 ")</f>
        <v>MG18615 </v>
      </c>
      <c r="B144" s="44" t="s">
        <v>48</v>
      </c>
      <c r="C144" s="43">
        <f>IFERROR(VLOOKUP($A144,DETAIL!$C$4:$M1001,11,FALSE),0)</f>
        <v>66</v>
      </c>
      <c r="D144" s="45"/>
      <c r="E144" s="35"/>
      <c r="F144" s="42" t="str">
        <f t="array" ref="F144">INDEX('MASTER MANIFEST'!$D$3:$D1001,MATCH(1,($D144='MASTER MANIFEST'!$B$3:$B1001)*($E144='MASTER MANIFEST'!$C$3:$C1001),0))</f>
        <v/>
      </c>
      <c r="G144" s="42" t="str">
        <f t="array" ref="G144">INDEX('MASTER MANIFEST'!$G$3:$G1001,MATCH(1,($D144='MASTER MANIFEST'!$B$3:$B1001)*($E144='MASTER MANIFEST'!$C$3:$C1001),0))</f>
        <v/>
      </c>
      <c r="H144" s="43">
        <f t="shared" si="3"/>
        <v>-66</v>
      </c>
      <c r="I144" s="45"/>
      <c r="J144" s="35"/>
      <c r="K144" s="42" t="str">
        <f t="array" ref="K144">INDEX('MASTER MANIFEST'!$D$3:$D1001,MATCH(1,($I144='MASTER MANIFEST'!$B$3:$B1001)*($J144='MASTER MANIFEST'!$C$3:$C1001),0))</f>
        <v/>
      </c>
      <c r="L144" s="43" t="str">
        <f t="array" ref="L144">INDEX('MASTER MANIFEST'!$G$3:$G1001,MATCH(1,($I144='MASTER MANIFEST'!$B$3:$B1001)*($J144='MASTER MANIFEST'!$C$3:$C1001),0))</f>
        <v/>
      </c>
      <c r="M144" s="43">
        <f t="shared" si="4"/>
        <v>0</v>
      </c>
      <c r="N144" s="43">
        <f t="shared" si="5"/>
        <v>0</v>
      </c>
      <c r="O144" s="42">
        <f t="shared" si="6"/>
        <v>0</v>
      </c>
    </row>
    <row r="145">
      <c r="A145" s="42" t="str">
        <f>IFERROR(__xludf.DUMMYFUNCTION("""COMPUTED_VALUE"""),"MG18616 ")</f>
        <v>MG18616 </v>
      </c>
      <c r="B145" s="44" t="s">
        <v>48</v>
      </c>
      <c r="C145" s="43">
        <f>IFERROR(VLOOKUP($A145,DETAIL!$C$4:$M1001,11,FALSE),0)</f>
        <v>49.5</v>
      </c>
      <c r="D145" s="45"/>
      <c r="E145" s="35"/>
      <c r="F145" s="42" t="str">
        <f t="array" ref="F145">INDEX('MASTER MANIFEST'!$D$3:$D1001,MATCH(1,($D145='MASTER MANIFEST'!$B$3:$B1001)*($E145='MASTER MANIFEST'!$C$3:$C1001),0))</f>
        <v/>
      </c>
      <c r="G145" s="42" t="str">
        <f t="array" ref="G145">INDEX('MASTER MANIFEST'!$G$3:$G1001,MATCH(1,($D145='MASTER MANIFEST'!$B$3:$B1001)*($E145='MASTER MANIFEST'!$C$3:$C1001),0))</f>
        <v/>
      </c>
      <c r="H145" s="43">
        <f t="shared" si="3"/>
        <v>-49.5</v>
      </c>
      <c r="I145" s="45"/>
      <c r="J145" s="35"/>
      <c r="K145" s="42" t="str">
        <f t="array" ref="K145">INDEX('MASTER MANIFEST'!$D$3:$D1001,MATCH(1,($I145='MASTER MANIFEST'!$B$3:$B1001)*($J145='MASTER MANIFEST'!$C$3:$C1001),0))</f>
        <v/>
      </c>
      <c r="L145" s="43" t="str">
        <f t="array" ref="L145">INDEX('MASTER MANIFEST'!$G$3:$G1001,MATCH(1,($I145='MASTER MANIFEST'!$B$3:$B1001)*($J145='MASTER MANIFEST'!$C$3:$C1001),0))</f>
        <v/>
      </c>
      <c r="M145" s="43">
        <f t="shared" si="4"/>
        <v>0</v>
      </c>
      <c r="N145" s="43">
        <f t="shared" si="5"/>
        <v>0</v>
      </c>
      <c r="O145" s="42">
        <f t="shared" si="6"/>
        <v>0</v>
      </c>
    </row>
    <row r="146">
      <c r="A146" s="42" t="str">
        <f>IFERROR(__xludf.DUMMYFUNCTION("""COMPUTED_VALUE"""),"mm18853")</f>
        <v>mm18853</v>
      </c>
      <c r="B146" s="44" t="s">
        <v>48</v>
      </c>
      <c r="C146" s="43">
        <f>IFERROR(VLOOKUP($A146,DETAIL!$C$4:$M1001,11,FALSE),0)</f>
        <v>1035.62</v>
      </c>
      <c r="D146" s="45"/>
      <c r="E146" s="35"/>
      <c r="F146" s="42" t="str">
        <f t="array" ref="F146">INDEX('MASTER MANIFEST'!$D$3:$D1001,MATCH(1,($D146='MASTER MANIFEST'!$B$3:$B1001)*($E146='MASTER MANIFEST'!$C$3:$C1001),0))</f>
        <v/>
      </c>
      <c r="G146" s="42" t="str">
        <f t="array" ref="G146">INDEX('MASTER MANIFEST'!$G$3:$G1001,MATCH(1,($D146='MASTER MANIFEST'!$B$3:$B1001)*($E146='MASTER MANIFEST'!$C$3:$C1001),0))</f>
        <v/>
      </c>
      <c r="H146" s="43">
        <f t="shared" si="3"/>
        <v>-1035.62</v>
      </c>
      <c r="I146" s="45"/>
      <c r="J146" s="35"/>
      <c r="K146" s="42" t="str">
        <f t="array" ref="K146">INDEX('MASTER MANIFEST'!$D$3:$D1001,MATCH(1,($I146='MASTER MANIFEST'!$B$3:$B1001)*($J146='MASTER MANIFEST'!$C$3:$C1001),0))</f>
        <v/>
      </c>
      <c r="L146" s="43" t="str">
        <f t="array" ref="L146">INDEX('MASTER MANIFEST'!$G$3:$G1001,MATCH(1,($I146='MASTER MANIFEST'!$B$3:$B1001)*($J146='MASTER MANIFEST'!$C$3:$C1001),0))</f>
        <v/>
      </c>
      <c r="M146" s="43">
        <f t="shared" si="4"/>
        <v>0</v>
      </c>
      <c r="N146" s="43">
        <f t="shared" si="5"/>
        <v>0</v>
      </c>
      <c r="O146" s="42">
        <f t="shared" si="6"/>
        <v>0</v>
      </c>
    </row>
    <row r="147">
      <c r="A147" s="42" t="str">
        <f>IFERROR(__xludf.DUMMYFUNCTION("""COMPUTED_VALUE"""),"mm18854")</f>
        <v>mm18854</v>
      </c>
      <c r="B147" s="44" t="s">
        <v>48</v>
      </c>
      <c r="C147" s="43">
        <f>IFERROR(VLOOKUP($A147,DETAIL!$C$4:$M1001,11,FALSE),0)</f>
        <v>1075.1875</v>
      </c>
      <c r="D147" s="45"/>
      <c r="E147" s="35"/>
      <c r="F147" s="42" t="str">
        <f t="array" ref="F147">INDEX('MASTER MANIFEST'!$D$3:$D1001,MATCH(1,($D147='MASTER MANIFEST'!$B$3:$B1001)*($E147='MASTER MANIFEST'!$C$3:$C1001),0))</f>
        <v/>
      </c>
      <c r="G147" s="42" t="str">
        <f t="array" ref="G147">INDEX('MASTER MANIFEST'!$G$3:$G1001,MATCH(1,($D147='MASTER MANIFEST'!$B$3:$B1001)*($E147='MASTER MANIFEST'!$C$3:$C1001),0))</f>
        <v/>
      </c>
      <c r="H147" s="43">
        <f t="shared" si="3"/>
        <v>-1075.1875</v>
      </c>
      <c r="I147" s="45"/>
      <c r="J147" s="35"/>
      <c r="K147" s="42" t="str">
        <f t="array" ref="K147">INDEX('MASTER MANIFEST'!$D$3:$D1001,MATCH(1,($I147='MASTER MANIFEST'!$B$3:$B1001)*($J147='MASTER MANIFEST'!$C$3:$C1001),0))</f>
        <v/>
      </c>
      <c r="L147" s="43" t="str">
        <f t="array" ref="L147">INDEX('MASTER MANIFEST'!$G$3:$G1001,MATCH(1,($I147='MASTER MANIFEST'!$B$3:$B1001)*($J147='MASTER MANIFEST'!$C$3:$C1001),0))</f>
        <v/>
      </c>
      <c r="M147" s="43">
        <f t="shared" si="4"/>
        <v>0</v>
      </c>
      <c r="N147" s="43">
        <f t="shared" si="5"/>
        <v>0</v>
      </c>
      <c r="O147" s="42">
        <f t="shared" si="6"/>
        <v>0</v>
      </c>
    </row>
    <row r="148">
      <c r="A148" s="42" t="str">
        <f>IFERROR(__xludf.DUMMYFUNCTION("""COMPUTED_VALUE"""),"mm18855")</f>
        <v>mm18855</v>
      </c>
      <c r="B148" s="44" t="s">
        <v>48</v>
      </c>
      <c r="C148" s="43">
        <f>IFERROR(VLOOKUP($A148,DETAIL!$C$4:$M1001,11,FALSE),0)</f>
        <v>1172.3925</v>
      </c>
      <c r="D148" s="45"/>
      <c r="E148" s="35"/>
      <c r="F148" s="42" t="str">
        <f t="array" ref="F148">INDEX('MASTER MANIFEST'!$D$3:$D1001,MATCH(1,($D148='MASTER MANIFEST'!$B$3:$B1001)*($E148='MASTER MANIFEST'!$C$3:$C1001),0))</f>
        <v/>
      </c>
      <c r="G148" s="42" t="str">
        <f t="array" ref="G148">INDEX('MASTER MANIFEST'!$G$3:$G1001,MATCH(1,($D148='MASTER MANIFEST'!$B$3:$B1001)*($E148='MASTER MANIFEST'!$C$3:$C1001),0))</f>
        <v/>
      </c>
      <c r="H148" s="43">
        <f t="shared" si="3"/>
        <v>-1172.3925</v>
      </c>
      <c r="I148" s="45"/>
      <c r="J148" s="35"/>
      <c r="K148" s="42" t="str">
        <f t="array" ref="K148">INDEX('MASTER MANIFEST'!$D$3:$D1001,MATCH(1,($I148='MASTER MANIFEST'!$B$3:$B1001)*($J148='MASTER MANIFEST'!$C$3:$C1001),0))</f>
        <v/>
      </c>
      <c r="L148" s="43" t="str">
        <f t="array" ref="L148">INDEX('MASTER MANIFEST'!$G$3:$G1001,MATCH(1,($I148='MASTER MANIFEST'!$B$3:$B1001)*($J148='MASTER MANIFEST'!$C$3:$C1001),0))</f>
        <v/>
      </c>
      <c r="M148" s="43">
        <f t="shared" si="4"/>
        <v>0</v>
      </c>
      <c r="N148" s="43">
        <f t="shared" si="5"/>
        <v>0</v>
      </c>
      <c r="O148" s="42">
        <f t="shared" si="6"/>
        <v>0</v>
      </c>
    </row>
    <row r="149">
      <c r="A149" s="42" t="str">
        <f>IFERROR(__xludf.DUMMYFUNCTION("""COMPUTED_VALUE"""),"mm18856")</f>
        <v>mm18856</v>
      </c>
      <c r="B149" s="44" t="s">
        <v>48</v>
      </c>
      <c r="C149" s="43">
        <f>IFERROR(VLOOKUP($A149,DETAIL!$C$4:$M1001,11,FALSE),0)</f>
        <v>875.8425</v>
      </c>
      <c r="D149" s="45"/>
      <c r="E149" s="35"/>
      <c r="F149" s="42" t="str">
        <f t="array" ref="F149">INDEX('MASTER MANIFEST'!$D$3:$D1001,MATCH(1,($D149='MASTER MANIFEST'!$B$3:$B1001)*($E149='MASTER MANIFEST'!$C$3:$C1001),0))</f>
        <v/>
      </c>
      <c r="G149" s="42" t="str">
        <f t="array" ref="G149">INDEX('MASTER MANIFEST'!$G$3:$G1001,MATCH(1,($D149='MASTER MANIFEST'!$B$3:$B1001)*($E149='MASTER MANIFEST'!$C$3:$C1001),0))</f>
        <v/>
      </c>
      <c r="H149" s="43">
        <f t="shared" si="3"/>
        <v>-875.8425</v>
      </c>
      <c r="I149" s="45"/>
      <c r="J149" s="35"/>
      <c r="K149" s="42" t="str">
        <f t="array" ref="K149">INDEX('MASTER MANIFEST'!$D$3:$D1001,MATCH(1,($I149='MASTER MANIFEST'!$B$3:$B1001)*($J149='MASTER MANIFEST'!$C$3:$C1001),0))</f>
        <v/>
      </c>
      <c r="L149" s="43" t="str">
        <f t="array" ref="L149">INDEX('MASTER MANIFEST'!$G$3:$G1001,MATCH(1,($I149='MASTER MANIFEST'!$B$3:$B1001)*($J149='MASTER MANIFEST'!$C$3:$C1001),0))</f>
        <v/>
      </c>
      <c r="M149" s="43">
        <f t="shared" si="4"/>
        <v>0</v>
      </c>
      <c r="N149" s="43">
        <f t="shared" si="5"/>
        <v>0</v>
      </c>
      <c r="O149" s="42">
        <f t="shared" si="6"/>
        <v>0</v>
      </c>
    </row>
    <row r="150">
      <c r="A150" s="42" t="str">
        <f>IFERROR(__xludf.DUMMYFUNCTION("""COMPUTED_VALUE"""),"mm18857")</f>
        <v>mm18857</v>
      </c>
      <c r="B150" s="44" t="s">
        <v>48</v>
      </c>
      <c r="C150" s="43">
        <f>IFERROR(VLOOKUP($A150,DETAIL!$C$4:$M1001,11,FALSE),0)</f>
        <v>621.5825</v>
      </c>
      <c r="D150" s="45"/>
      <c r="E150" s="35"/>
      <c r="F150" s="42" t="str">
        <f t="array" ref="F150">INDEX('MASTER MANIFEST'!$D$3:$D1001,MATCH(1,($D150='MASTER MANIFEST'!$B$3:$B1001)*($E150='MASTER MANIFEST'!$C$3:$C1001),0))</f>
        <v/>
      </c>
      <c r="G150" s="42" t="str">
        <f t="array" ref="G150">INDEX('MASTER MANIFEST'!$G$3:$G1001,MATCH(1,($D150='MASTER MANIFEST'!$B$3:$B1001)*($E150='MASTER MANIFEST'!$C$3:$C1001),0))</f>
        <v/>
      </c>
      <c r="H150" s="43">
        <f t="shared" si="3"/>
        <v>-621.5825</v>
      </c>
      <c r="I150" s="45"/>
      <c r="J150" s="35"/>
      <c r="K150" s="42" t="str">
        <f t="array" ref="K150">INDEX('MASTER MANIFEST'!$D$3:$D1001,MATCH(1,($I150='MASTER MANIFEST'!$B$3:$B1001)*($J150='MASTER MANIFEST'!$C$3:$C1001),0))</f>
        <v/>
      </c>
      <c r="L150" s="43" t="str">
        <f t="array" ref="L150">INDEX('MASTER MANIFEST'!$G$3:$G1001,MATCH(1,($I150='MASTER MANIFEST'!$B$3:$B1001)*($J150='MASTER MANIFEST'!$C$3:$C1001),0))</f>
        <v/>
      </c>
      <c r="M150" s="43">
        <f t="shared" si="4"/>
        <v>0</v>
      </c>
      <c r="N150" s="43">
        <f t="shared" si="5"/>
        <v>0</v>
      </c>
      <c r="O150" s="42">
        <f t="shared" si="6"/>
        <v>0</v>
      </c>
    </row>
    <row r="151">
      <c r="A151" s="42" t="str">
        <f>IFERROR(__xludf.DUMMYFUNCTION("""COMPUTED_VALUE"""),"mm18858")</f>
        <v>mm18858</v>
      </c>
      <c r="B151" s="44" t="s">
        <v>48</v>
      </c>
      <c r="C151" s="43">
        <f>IFERROR(VLOOKUP($A151,DETAIL!$C$4:$M1001,11,FALSE),0)</f>
        <v>428.625</v>
      </c>
      <c r="D151" s="45"/>
      <c r="E151" s="35"/>
      <c r="F151" s="42" t="str">
        <f t="array" ref="F151">INDEX('MASTER MANIFEST'!$D$3:$D1001,MATCH(1,($D151='MASTER MANIFEST'!$B$3:$B1001)*($E151='MASTER MANIFEST'!$C$3:$C1001),0))</f>
        <v/>
      </c>
      <c r="G151" s="42" t="str">
        <f t="array" ref="G151">INDEX('MASTER MANIFEST'!$G$3:$G1001,MATCH(1,($D151='MASTER MANIFEST'!$B$3:$B1001)*($E151='MASTER MANIFEST'!$C$3:$C1001),0))</f>
        <v/>
      </c>
      <c r="H151" s="43">
        <f t="shared" si="3"/>
        <v>-428.625</v>
      </c>
      <c r="I151" s="45"/>
      <c r="J151" s="35"/>
      <c r="K151" s="42" t="str">
        <f t="array" ref="K151">INDEX('MASTER MANIFEST'!$D$3:$D1001,MATCH(1,($I151='MASTER MANIFEST'!$B$3:$B1001)*($J151='MASTER MANIFEST'!$C$3:$C1001),0))</f>
        <v/>
      </c>
      <c r="L151" s="43" t="str">
        <f t="array" ref="L151">INDEX('MASTER MANIFEST'!$G$3:$G1001,MATCH(1,($I151='MASTER MANIFEST'!$B$3:$B1001)*($J151='MASTER MANIFEST'!$C$3:$C1001),0))</f>
        <v/>
      </c>
      <c r="M151" s="43">
        <f t="shared" si="4"/>
        <v>0</v>
      </c>
      <c r="N151" s="43">
        <f t="shared" si="5"/>
        <v>0</v>
      </c>
      <c r="O151" s="42">
        <f t="shared" si="6"/>
        <v>0</v>
      </c>
    </row>
    <row r="152">
      <c r="A152" s="42" t="str">
        <f>IFERROR(__xludf.DUMMYFUNCTION("""COMPUTED_VALUE"""),"mm18859")</f>
        <v>mm18859</v>
      </c>
      <c r="B152" s="44" t="s">
        <v>48</v>
      </c>
      <c r="C152" s="43">
        <f>IFERROR(VLOOKUP($A152,DETAIL!$C$4:$M1001,11,FALSE),0)</f>
        <v>1086.2575</v>
      </c>
      <c r="D152" s="45"/>
      <c r="E152" s="35"/>
      <c r="F152" s="42" t="str">
        <f t="array" ref="F152">INDEX('MASTER MANIFEST'!$D$3:$D1001,MATCH(1,($D152='MASTER MANIFEST'!$B$3:$B1001)*($E152='MASTER MANIFEST'!$C$3:$C1001),0))</f>
        <v/>
      </c>
      <c r="G152" s="42" t="str">
        <f t="array" ref="G152">INDEX('MASTER MANIFEST'!$G$3:$G1001,MATCH(1,($D152='MASTER MANIFEST'!$B$3:$B1001)*($E152='MASTER MANIFEST'!$C$3:$C1001),0))</f>
        <v/>
      </c>
      <c r="H152" s="43">
        <f t="shared" si="3"/>
        <v>-1086.2575</v>
      </c>
      <c r="I152" s="45"/>
      <c r="J152" s="35"/>
      <c r="K152" s="42" t="str">
        <f t="array" ref="K152">INDEX('MASTER MANIFEST'!$D$3:$D1001,MATCH(1,($I152='MASTER MANIFEST'!$B$3:$B1001)*($J152='MASTER MANIFEST'!$C$3:$C1001),0))</f>
        <v/>
      </c>
      <c r="L152" s="43" t="str">
        <f t="array" ref="L152">INDEX('MASTER MANIFEST'!$G$3:$G1001,MATCH(1,($I152='MASTER MANIFEST'!$B$3:$B1001)*($J152='MASTER MANIFEST'!$C$3:$C1001),0))</f>
        <v/>
      </c>
      <c r="M152" s="43">
        <f t="shared" si="4"/>
        <v>0</v>
      </c>
      <c r="N152" s="43">
        <f t="shared" si="5"/>
        <v>0</v>
      </c>
      <c r="O152" s="42">
        <f t="shared" si="6"/>
        <v>0</v>
      </c>
    </row>
    <row r="153">
      <c r="A153" s="42" t="str">
        <f>IFERROR(__xludf.DUMMYFUNCTION("""COMPUTED_VALUE"""),"mm18860")</f>
        <v>mm18860</v>
      </c>
      <c r="B153" s="44" t="s">
        <v>48</v>
      </c>
      <c r="C153" s="43">
        <f>IFERROR(VLOOKUP($A153,DETAIL!$C$4:$M1001,11,FALSE),0)</f>
        <v>1197.965</v>
      </c>
      <c r="D153" s="45"/>
      <c r="E153" s="35"/>
      <c r="F153" s="42" t="str">
        <f t="array" ref="F153">INDEX('MASTER MANIFEST'!$D$3:$D1001,MATCH(1,($D153='MASTER MANIFEST'!$B$3:$B1001)*($E153='MASTER MANIFEST'!$C$3:$C1001),0))</f>
        <v/>
      </c>
      <c r="G153" s="42" t="str">
        <f t="array" ref="G153">INDEX('MASTER MANIFEST'!$G$3:$G1001,MATCH(1,($D153='MASTER MANIFEST'!$B$3:$B1001)*($E153='MASTER MANIFEST'!$C$3:$C1001),0))</f>
        <v/>
      </c>
      <c r="H153" s="43">
        <f t="shared" si="3"/>
        <v>-1197.965</v>
      </c>
      <c r="I153" s="45"/>
      <c r="J153" s="35"/>
      <c r="K153" s="42" t="str">
        <f t="array" ref="K153">INDEX('MASTER MANIFEST'!$D$3:$D1001,MATCH(1,($I153='MASTER MANIFEST'!$B$3:$B1001)*($J153='MASTER MANIFEST'!$C$3:$C1001),0))</f>
        <v/>
      </c>
      <c r="L153" s="43" t="str">
        <f t="array" ref="L153">INDEX('MASTER MANIFEST'!$G$3:$G1001,MATCH(1,($I153='MASTER MANIFEST'!$B$3:$B1001)*($J153='MASTER MANIFEST'!$C$3:$C1001),0))</f>
        <v/>
      </c>
      <c r="M153" s="43">
        <f t="shared" si="4"/>
        <v>0</v>
      </c>
      <c r="N153" s="43">
        <f t="shared" si="5"/>
        <v>0</v>
      </c>
      <c r="O153" s="42">
        <f t="shared" si="6"/>
        <v>0</v>
      </c>
    </row>
    <row r="154">
      <c r="A154" s="42" t="str">
        <f>IFERROR(__xludf.DUMMYFUNCTION("""COMPUTED_VALUE"""),"mm18861")</f>
        <v>mm18861</v>
      </c>
      <c r="B154" s="44" t="s">
        <v>48</v>
      </c>
      <c r="C154" s="43">
        <f>IFERROR(VLOOKUP($A154,DETAIL!$C$4:$M1001,11,FALSE),0)</f>
        <v>563.9775</v>
      </c>
      <c r="D154" s="45"/>
      <c r="E154" s="35"/>
      <c r="F154" s="42" t="str">
        <f t="array" ref="F154">INDEX('MASTER MANIFEST'!$D$3:$D1001,MATCH(1,($D154='MASTER MANIFEST'!$B$3:$B1001)*($E154='MASTER MANIFEST'!$C$3:$C1001),0))</f>
        <v/>
      </c>
      <c r="G154" s="42" t="str">
        <f t="array" ref="G154">INDEX('MASTER MANIFEST'!$G$3:$G1001,MATCH(1,($D154='MASTER MANIFEST'!$B$3:$B1001)*($E154='MASTER MANIFEST'!$C$3:$C1001),0))</f>
        <v/>
      </c>
      <c r="H154" s="43">
        <f t="shared" si="3"/>
        <v>-563.9775</v>
      </c>
      <c r="I154" s="45"/>
      <c r="J154" s="35"/>
      <c r="K154" s="42" t="str">
        <f t="array" ref="K154">INDEX('MASTER MANIFEST'!$D$3:$D1001,MATCH(1,($I154='MASTER MANIFEST'!$B$3:$B1001)*($J154='MASTER MANIFEST'!$C$3:$C1001),0))</f>
        <v/>
      </c>
      <c r="L154" s="43" t="str">
        <f t="array" ref="L154">INDEX('MASTER MANIFEST'!$G$3:$G1001,MATCH(1,($I154='MASTER MANIFEST'!$B$3:$B1001)*($J154='MASTER MANIFEST'!$C$3:$C1001),0))</f>
        <v/>
      </c>
      <c r="M154" s="43">
        <f t="shared" si="4"/>
        <v>0</v>
      </c>
      <c r="N154" s="43">
        <f t="shared" si="5"/>
        <v>0</v>
      </c>
      <c r="O154" s="42">
        <f t="shared" si="6"/>
        <v>0</v>
      </c>
    </row>
    <row r="155">
      <c r="A155" s="42" t="str">
        <f>IFERROR(__xludf.DUMMYFUNCTION("""COMPUTED_VALUE"""),"NSHIP")</f>
        <v>NSHIP</v>
      </c>
      <c r="B155" s="44" t="s">
        <v>48</v>
      </c>
      <c r="C155" s="43">
        <f>IFERROR(VLOOKUP($A155,DETAIL!$C$4:$M1001,11,FALSE),0)</f>
        <v>0</v>
      </c>
      <c r="D155" s="45"/>
      <c r="E155" s="35"/>
      <c r="F155" s="42" t="str">
        <f t="array" ref="F155">INDEX('MASTER MANIFEST'!$D$3:$D1001,MATCH(1,($D155='MASTER MANIFEST'!$B$3:$B1001)*($E155='MASTER MANIFEST'!$C$3:$C1001),0))</f>
        <v/>
      </c>
      <c r="G155" s="42" t="str">
        <f t="array" ref="G155">INDEX('MASTER MANIFEST'!$G$3:$G1001,MATCH(1,($D155='MASTER MANIFEST'!$B$3:$B1001)*($E155='MASTER MANIFEST'!$C$3:$C1001),0))</f>
        <v/>
      </c>
      <c r="H155" s="43">
        <f t="shared" si="3"/>
        <v>0</v>
      </c>
      <c r="I155" s="45"/>
      <c r="J155" s="35"/>
      <c r="K155" s="42" t="str">
        <f t="array" ref="K155">INDEX('MASTER MANIFEST'!$D$3:$D1001,MATCH(1,($I155='MASTER MANIFEST'!$B$3:$B1001)*($J155='MASTER MANIFEST'!$C$3:$C1001),0))</f>
        <v/>
      </c>
      <c r="L155" s="43" t="str">
        <f t="array" ref="L155">INDEX('MASTER MANIFEST'!$G$3:$G1001,MATCH(1,($I155='MASTER MANIFEST'!$B$3:$B1001)*($J155='MASTER MANIFEST'!$C$3:$C1001),0))</f>
        <v/>
      </c>
      <c r="M155" s="43">
        <f t="shared" si="4"/>
        <v>0</v>
      </c>
      <c r="N155" s="43">
        <f t="shared" si="5"/>
        <v>0</v>
      </c>
      <c r="O155" s="42">
        <f t="shared" si="6"/>
        <v>0</v>
      </c>
    </row>
    <row r="156">
      <c r="A156" s="42" t="str">
        <f>IFERROR(__xludf.DUMMYFUNCTION("""COMPUTED_VALUE"""),"SHIP")</f>
        <v>SHIP</v>
      </c>
      <c r="B156" s="44" t="s">
        <v>48</v>
      </c>
      <c r="C156" s="43">
        <f>IFERROR(VLOOKUP($A156,DETAIL!$C$4:$M1001,11,FALSE),0)</f>
        <v>0</v>
      </c>
      <c r="D156" s="45"/>
      <c r="E156" s="35"/>
      <c r="F156" s="42" t="str">
        <f t="array" ref="F156">INDEX('MASTER MANIFEST'!$D$3:$D1001,MATCH(1,($D156='MASTER MANIFEST'!$B$3:$B1001)*($E156='MASTER MANIFEST'!$C$3:$C1001),0))</f>
        <v/>
      </c>
      <c r="G156" s="42" t="str">
        <f t="array" ref="G156">INDEX('MASTER MANIFEST'!$G$3:$G1001,MATCH(1,($D156='MASTER MANIFEST'!$B$3:$B1001)*($E156='MASTER MANIFEST'!$C$3:$C1001),0))</f>
        <v/>
      </c>
      <c r="H156" s="43">
        <f t="shared" si="3"/>
        <v>0</v>
      </c>
      <c r="I156" s="45"/>
      <c r="J156" s="35"/>
      <c r="K156" s="42" t="str">
        <f t="array" ref="K156">INDEX('MASTER MANIFEST'!$D$3:$D1001,MATCH(1,($I156='MASTER MANIFEST'!$B$3:$B1001)*($J156='MASTER MANIFEST'!$C$3:$C1001),0))</f>
        <v/>
      </c>
      <c r="L156" s="43" t="str">
        <f t="array" ref="L156">INDEX('MASTER MANIFEST'!$G$3:$G1001,MATCH(1,($I156='MASTER MANIFEST'!$B$3:$B1001)*($J156='MASTER MANIFEST'!$C$3:$C1001),0))</f>
        <v/>
      </c>
      <c r="M156" s="43">
        <f t="shared" si="4"/>
        <v>0</v>
      </c>
      <c r="N156" s="43">
        <f t="shared" si="5"/>
        <v>0</v>
      </c>
      <c r="O156" s="42">
        <f t="shared" si="6"/>
        <v>0</v>
      </c>
    </row>
    <row r="157">
      <c r="A157" s="42" t="str">
        <f>IFERROR(__xludf.DUMMYFUNCTION("""COMPUTED_VALUE"""),"XM18286")</f>
        <v>XM18286</v>
      </c>
      <c r="B157" s="44" t="s">
        <v>48</v>
      </c>
      <c r="C157" s="43">
        <f>IFERROR(VLOOKUP($A157,DETAIL!$C$4:$M1001,11,FALSE),0)</f>
        <v>405</v>
      </c>
      <c r="D157" s="45"/>
      <c r="E157" s="35"/>
      <c r="F157" s="42" t="str">
        <f t="array" ref="F157">INDEX('MASTER MANIFEST'!$D$3:$D1001,MATCH(1,($D157='MASTER MANIFEST'!$B$3:$B1001)*($E157='MASTER MANIFEST'!$C$3:$C1001),0))</f>
        <v/>
      </c>
      <c r="G157" s="42" t="str">
        <f t="array" ref="G157">INDEX('MASTER MANIFEST'!$G$3:$G1001,MATCH(1,($D157='MASTER MANIFEST'!$B$3:$B1001)*($E157='MASTER MANIFEST'!$C$3:$C1001),0))</f>
        <v/>
      </c>
      <c r="H157" s="43">
        <f t="shared" si="3"/>
        <v>-405</v>
      </c>
      <c r="I157" s="45"/>
      <c r="J157" s="35"/>
      <c r="K157" s="42" t="str">
        <f t="array" ref="K157">INDEX('MASTER MANIFEST'!$D$3:$D1001,MATCH(1,($I157='MASTER MANIFEST'!$B$3:$B1001)*($J157='MASTER MANIFEST'!$C$3:$C1001),0))</f>
        <v/>
      </c>
      <c r="L157" s="43" t="str">
        <f t="array" ref="L157">INDEX('MASTER MANIFEST'!$G$3:$G1001,MATCH(1,($I157='MASTER MANIFEST'!$B$3:$B1001)*($J157='MASTER MANIFEST'!$C$3:$C1001),0))</f>
        <v/>
      </c>
      <c r="M157" s="43">
        <f t="shared" si="4"/>
        <v>0</v>
      </c>
      <c r="N157" s="43">
        <f t="shared" si="5"/>
        <v>0</v>
      </c>
      <c r="O157" s="42">
        <f t="shared" si="6"/>
        <v>0</v>
      </c>
    </row>
    <row r="158">
      <c r="A158" s="42" t="str">
        <f>IFERROR(__xludf.DUMMYFUNCTION("""COMPUTED_VALUE"""),"XM18287")</f>
        <v>XM18287</v>
      </c>
      <c r="B158" s="44" t="s">
        <v>48</v>
      </c>
      <c r="C158" s="43">
        <f>IFERROR(VLOOKUP($A158,DETAIL!$C$4:$M1001,11,FALSE),0)</f>
        <v>441.6666667</v>
      </c>
      <c r="D158" s="45"/>
      <c r="E158" s="35"/>
      <c r="F158" s="42" t="str">
        <f t="array" ref="F158">INDEX('MASTER MANIFEST'!$D$3:$D1001,MATCH(1,($D158='MASTER MANIFEST'!$B$3:$B1001)*($E158='MASTER MANIFEST'!$C$3:$C1001),0))</f>
        <v/>
      </c>
      <c r="G158" s="42" t="str">
        <f t="array" ref="G158">INDEX('MASTER MANIFEST'!$G$3:$G1001,MATCH(1,($D158='MASTER MANIFEST'!$B$3:$B1001)*($E158='MASTER MANIFEST'!$C$3:$C1001),0))</f>
        <v/>
      </c>
      <c r="H158" s="43">
        <f t="shared" si="3"/>
        <v>-441.6666667</v>
      </c>
      <c r="I158" s="45"/>
      <c r="J158" s="35"/>
      <c r="K158" s="42" t="str">
        <f t="array" ref="K158">INDEX('MASTER MANIFEST'!$D$3:$D1001,MATCH(1,($I158='MASTER MANIFEST'!$B$3:$B1001)*($J158='MASTER MANIFEST'!$C$3:$C1001),0))</f>
        <v/>
      </c>
      <c r="L158" s="43" t="str">
        <f t="array" ref="L158">INDEX('MASTER MANIFEST'!$G$3:$G1001,MATCH(1,($I158='MASTER MANIFEST'!$B$3:$B1001)*($J158='MASTER MANIFEST'!$C$3:$C1001),0))</f>
        <v/>
      </c>
      <c r="M158" s="43">
        <f t="shared" si="4"/>
        <v>0</v>
      </c>
      <c r="N158" s="43">
        <f t="shared" si="5"/>
        <v>0</v>
      </c>
      <c r="O158" s="42">
        <f t="shared" si="6"/>
        <v>0</v>
      </c>
    </row>
    <row r="159">
      <c r="A159" s="42" t="str">
        <f>IFERROR(__xludf.DUMMYFUNCTION("""COMPUTED_VALUE"""),"XM18288")</f>
        <v>XM18288</v>
      </c>
      <c r="B159" s="44" t="s">
        <v>48</v>
      </c>
      <c r="C159" s="43">
        <f>IFERROR(VLOOKUP($A159,DETAIL!$C$4:$M1001,11,FALSE),0)</f>
        <v>623.3333333</v>
      </c>
      <c r="D159" s="45"/>
      <c r="E159" s="35"/>
      <c r="F159" s="42" t="str">
        <f t="array" ref="F159">INDEX('MASTER MANIFEST'!$D$3:$D1001,MATCH(1,($D159='MASTER MANIFEST'!$B$3:$B1001)*($E159='MASTER MANIFEST'!$C$3:$C1001),0))</f>
        <v/>
      </c>
      <c r="G159" s="42" t="str">
        <f t="array" ref="G159">INDEX('MASTER MANIFEST'!$G$3:$G1001,MATCH(1,($D159='MASTER MANIFEST'!$B$3:$B1001)*($E159='MASTER MANIFEST'!$C$3:$C1001),0))</f>
        <v/>
      </c>
      <c r="H159" s="43">
        <f t="shared" si="3"/>
        <v>-623.3333333</v>
      </c>
      <c r="I159" s="45"/>
      <c r="J159" s="35"/>
      <c r="K159" s="42" t="str">
        <f t="array" ref="K159">INDEX('MASTER MANIFEST'!$D$3:$D1001,MATCH(1,($I159='MASTER MANIFEST'!$B$3:$B1001)*($J159='MASTER MANIFEST'!$C$3:$C1001),0))</f>
        <v/>
      </c>
      <c r="L159" s="43" t="str">
        <f t="array" ref="L159">INDEX('MASTER MANIFEST'!$G$3:$G1001,MATCH(1,($I159='MASTER MANIFEST'!$B$3:$B1001)*($J159='MASTER MANIFEST'!$C$3:$C1001),0))</f>
        <v/>
      </c>
      <c r="M159" s="43">
        <f t="shared" si="4"/>
        <v>0</v>
      </c>
      <c r="N159" s="43">
        <f t="shared" si="5"/>
        <v>0</v>
      </c>
      <c r="O159" s="42">
        <f t="shared" si="6"/>
        <v>0</v>
      </c>
    </row>
    <row r="160">
      <c r="A160" s="42" t="str">
        <f>IFERROR(__xludf.DUMMYFUNCTION("""COMPUTED_VALUE"""),"XM18289")</f>
        <v>XM18289</v>
      </c>
      <c r="B160" s="44" t="s">
        <v>48</v>
      </c>
      <c r="C160" s="43">
        <f>IFERROR(VLOOKUP($A160,DETAIL!$C$4:$M1001,11,FALSE),0)</f>
        <v>555</v>
      </c>
      <c r="D160" s="45"/>
      <c r="E160" s="35"/>
      <c r="F160" s="42" t="str">
        <f t="array" ref="F160">INDEX('MASTER MANIFEST'!$D$3:$D1001,MATCH(1,($D160='MASTER MANIFEST'!$B$3:$B1001)*($E160='MASTER MANIFEST'!$C$3:$C1001),0))</f>
        <v/>
      </c>
      <c r="G160" s="42" t="str">
        <f t="array" ref="G160">INDEX('MASTER MANIFEST'!$G$3:$G1001,MATCH(1,($D160='MASTER MANIFEST'!$B$3:$B1001)*($E160='MASTER MANIFEST'!$C$3:$C1001),0))</f>
        <v/>
      </c>
      <c r="H160" s="43">
        <f t="shared" si="3"/>
        <v>-555</v>
      </c>
      <c r="I160" s="45"/>
      <c r="J160" s="35"/>
      <c r="K160" s="42" t="str">
        <f t="array" ref="K160">INDEX('MASTER MANIFEST'!$D$3:$D1001,MATCH(1,($I160='MASTER MANIFEST'!$B$3:$B1001)*($J160='MASTER MANIFEST'!$C$3:$C1001),0))</f>
        <v/>
      </c>
      <c r="L160" s="43" t="str">
        <f t="array" ref="L160">INDEX('MASTER MANIFEST'!$G$3:$G1001,MATCH(1,($I160='MASTER MANIFEST'!$B$3:$B1001)*($J160='MASTER MANIFEST'!$C$3:$C1001),0))</f>
        <v/>
      </c>
      <c r="M160" s="43">
        <f t="shared" si="4"/>
        <v>0</v>
      </c>
      <c r="N160" s="43">
        <f t="shared" si="5"/>
        <v>0</v>
      </c>
      <c r="O160" s="42">
        <f t="shared" si="6"/>
        <v>0</v>
      </c>
    </row>
    <row r="161">
      <c r="A161" s="26" t="str">
        <f>IFERROR(__xludf.DUMMYFUNCTION("""COMPUTED_VALUE"""),"XM18290")</f>
        <v>XM18290</v>
      </c>
      <c r="B161" s="53"/>
      <c r="C161" s="54"/>
      <c r="D161" s="55"/>
      <c r="F161" s="26"/>
      <c r="G161" s="54"/>
      <c r="H161" s="26"/>
      <c r="I161" s="55"/>
      <c r="K161" s="26"/>
      <c r="L161" s="54"/>
      <c r="M161" s="54"/>
      <c r="N161" s="54"/>
      <c r="O161" s="26"/>
    </row>
    <row r="162">
      <c r="A162" s="26" t="str">
        <f>IFERROR(__xludf.DUMMYFUNCTION("""COMPUTED_VALUE"""),"XM18291")</f>
        <v>XM18291</v>
      </c>
      <c r="B162" s="53"/>
      <c r="C162" s="54"/>
      <c r="D162" s="55"/>
      <c r="F162" s="26"/>
      <c r="G162" s="54"/>
      <c r="H162" s="26"/>
      <c r="I162" s="55"/>
      <c r="K162" s="26"/>
      <c r="L162" s="54"/>
      <c r="M162" s="54"/>
      <c r="N162" s="54"/>
      <c r="O162" s="26"/>
    </row>
    <row r="163">
      <c r="A163" s="26" t="str">
        <f>IFERROR(__xludf.DUMMYFUNCTION("""COMPUTED_VALUE"""),"XM18292")</f>
        <v>XM18292</v>
      </c>
      <c r="B163" s="53"/>
      <c r="C163" s="54"/>
      <c r="D163" s="55"/>
      <c r="F163" s="26"/>
      <c r="G163" s="54"/>
      <c r="H163" s="26"/>
      <c r="I163" s="55"/>
      <c r="K163" s="26"/>
      <c r="L163" s="54"/>
      <c r="M163" s="54"/>
      <c r="N163" s="54"/>
      <c r="O163" s="26"/>
    </row>
    <row r="164">
      <c r="A164" s="26" t="str">
        <f>IFERROR(__xludf.DUMMYFUNCTION("""COMPUTED_VALUE"""),"XM18293")</f>
        <v>XM18293</v>
      </c>
      <c r="B164" s="53"/>
      <c r="C164" s="54"/>
      <c r="D164" s="55"/>
      <c r="F164" s="26"/>
      <c r="G164" s="54"/>
      <c r="H164" s="26"/>
      <c r="I164" s="55"/>
      <c r="K164" s="26"/>
      <c r="L164" s="54"/>
      <c r="M164" s="54"/>
      <c r="N164" s="54"/>
      <c r="O164" s="26"/>
    </row>
    <row r="165">
      <c r="A165" s="26" t="str">
        <f>IFERROR(__xludf.DUMMYFUNCTION("""COMPUTED_VALUE"""),"XM18294")</f>
        <v>XM18294</v>
      </c>
      <c r="B165" s="53"/>
      <c r="C165" s="54"/>
      <c r="D165" s="55"/>
      <c r="F165" s="26"/>
      <c r="G165" s="54"/>
      <c r="H165" s="26"/>
      <c r="I165" s="55"/>
      <c r="K165" s="26"/>
      <c r="L165" s="54"/>
      <c r="M165" s="54"/>
      <c r="N165" s="54"/>
      <c r="O165" s="26"/>
    </row>
    <row r="166">
      <c r="A166" s="26" t="str">
        <f>IFERROR(__xludf.DUMMYFUNCTION("""COMPUTED_VALUE"""),"XM18862")</f>
        <v>XM18862</v>
      </c>
      <c r="B166" s="53"/>
      <c r="C166" s="54"/>
      <c r="D166" s="55"/>
      <c r="F166" s="26"/>
      <c r="G166" s="54"/>
      <c r="H166" s="26"/>
      <c r="I166" s="55"/>
      <c r="K166" s="26"/>
      <c r="L166" s="54"/>
      <c r="M166" s="54"/>
      <c r="N166" s="54"/>
      <c r="O166" s="26"/>
    </row>
    <row r="167">
      <c r="A167" s="26" t="str">
        <f>IFERROR(__xludf.DUMMYFUNCTION("""COMPUTED_VALUE"""),"XM18863")</f>
        <v>XM18863</v>
      </c>
      <c r="B167" s="53"/>
      <c r="C167" s="54"/>
      <c r="D167" s="55"/>
      <c r="F167" s="26"/>
      <c r="G167" s="54"/>
      <c r="H167" s="26"/>
      <c r="I167" s="55"/>
      <c r="K167" s="26"/>
      <c r="L167" s="54"/>
      <c r="M167" s="54"/>
      <c r="N167" s="54"/>
      <c r="O167" s="26"/>
    </row>
    <row r="168">
      <c r="A168" s="26" t="str">
        <f>IFERROR(__xludf.DUMMYFUNCTION("""COMPUTED_VALUE"""),"XM18864")</f>
        <v>XM18864</v>
      </c>
      <c r="B168" s="53"/>
      <c r="C168" s="54"/>
      <c r="D168" s="55"/>
      <c r="F168" s="26"/>
      <c r="G168" s="54"/>
      <c r="H168" s="26"/>
      <c r="I168" s="55"/>
      <c r="K168" s="26"/>
      <c r="L168" s="54"/>
      <c r="M168" s="54"/>
      <c r="N168" s="54"/>
      <c r="O168" s="26"/>
    </row>
    <row r="169">
      <c r="A169" s="26" t="str">
        <f>IFERROR(__xludf.DUMMYFUNCTION("""COMPUTED_VALUE"""),"XM18865")</f>
        <v>XM18865</v>
      </c>
      <c r="B169" s="53"/>
      <c r="C169" s="54"/>
      <c r="D169" s="55"/>
      <c r="F169" s="26"/>
      <c r="G169" s="54"/>
      <c r="H169" s="26"/>
      <c r="I169" s="55"/>
      <c r="K169" s="26"/>
      <c r="L169" s="54"/>
      <c r="M169" s="54"/>
      <c r="N169" s="54"/>
      <c r="O169" s="26"/>
    </row>
    <row r="170">
      <c r="A170" s="26" t="str">
        <f>IFERROR(__xludf.DUMMYFUNCTION("""COMPUTED_VALUE"""),"XM18866")</f>
        <v>XM18866</v>
      </c>
      <c r="B170" s="53"/>
      <c r="C170" s="54"/>
      <c r="D170" s="55"/>
      <c r="F170" s="26"/>
      <c r="G170" s="54"/>
      <c r="H170" s="26"/>
      <c r="I170" s="55"/>
      <c r="K170" s="26"/>
      <c r="L170" s="54"/>
      <c r="M170" s="54"/>
      <c r="N170" s="54"/>
      <c r="O170" s="26"/>
    </row>
    <row r="171">
      <c r="A171" s="26" t="str">
        <f>IFERROR(__xludf.DUMMYFUNCTION("""COMPUTED_VALUE"""),"XM18867")</f>
        <v>XM18867</v>
      </c>
      <c r="B171" s="53"/>
      <c r="C171" s="54"/>
      <c r="D171" s="55"/>
      <c r="F171" s="26"/>
      <c r="G171" s="54"/>
      <c r="H171" s="26"/>
      <c r="I171" s="55"/>
      <c r="K171" s="26"/>
      <c r="L171" s="54"/>
      <c r="M171" s="54"/>
      <c r="N171" s="54"/>
      <c r="O171" s="26"/>
    </row>
    <row r="172">
      <c r="A172" s="26" t="str">
        <f>IFERROR(__xludf.DUMMYFUNCTION("""COMPUTED_VALUE"""),"XM18868")</f>
        <v>XM18868</v>
      </c>
      <c r="B172" s="53"/>
      <c r="C172" s="54"/>
      <c r="D172" s="55"/>
      <c r="F172" s="26"/>
      <c r="G172" s="54"/>
      <c r="H172" s="26"/>
      <c r="I172" s="55"/>
      <c r="K172" s="26"/>
      <c r="L172" s="54"/>
      <c r="M172" s="54"/>
      <c r="N172" s="54"/>
      <c r="O172" s="26"/>
    </row>
    <row r="173">
      <c r="A173" s="26" t="str">
        <f>IFERROR(__xludf.DUMMYFUNCTION("""COMPUTED_VALUE"""),"XM18869")</f>
        <v>XM18869</v>
      </c>
      <c r="B173" s="53"/>
      <c r="C173" s="54"/>
      <c r="D173" s="55"/>
      <c r="F173" s="26"/>
      <c r="G173" s="54"/>
      <c r="H173" s="26"/>
      <c r="I173" s="55"/>
      <c r="K173" s="26"/>
      <c r="L173" s="54"/>
      <c r="M173" s="54"/>
      <c r="N173" s="54"/>
      <c r="O173" s="26"/>
    </row>
    <row r="174">
      <c r="A174" s="26" t="str">
        <f>IFERROR(__xludf.DUMMYFUNCTION("""COMPUTED_VALUE"""),"XM18870")</f>
        <v>XM18870</v>
      </c>
      <c r="B174" s="53"/>
      <c r="C174" s="54"/>
      <c r="D174" s="55"/>
      <c r="F174" s="26"/>
      <c r="G174" s="54"/>
      <c r="H174" s="26"/>
      <c r="I174" s="55"/>
      <c r="K174" s="26"/>
      <c r="L174" s="54"/>
      <c r="M174" s="54"/>
      <c r="N174" s="54"/>
      <c r="O174" s="26"/>
    </row>
    <row r="175">
      <c r="A175" s="26" t="str">
        <f>IFERROR(__xludf.DUMMYFUNCTION("""COMPUTED_VALUE"""),"XM18871")</f>
        <v>XM18871</v>
      </c>
      <c r="B175" s="53"/>
      <c r="C175" s="54"/>
      <c r="D175" s="55"/>
      <c r="F175" s="26"/>
      <c r="G175" s="54"/>
      <c r="H175" s="26"/>
      <c r="I175" s="55"/>
      <c r="K175" s="26"/>
      <c r="L175" s="54"/>
      <c r="M175" s="54"/>
      <c r="N175" s="54"/>
      <c r="O175" s="26"/>
    </row>
    <row r="176">
      <c r="A176" s="26" t="str">
        <f>IFERROR(__xludf.DUMMYFUNCTION("""COMPUTED_VALUE"""),"XM18872")</f>
        <v>XM18872</v>
      </c>
      <c r="B176" s="53"/>
      <c r="C176" s="54"/>
      <c r="D176" s="55"/>
      <c r="F176" s="26"/>
      <c r="G176" s="54"/>
      <c r="H176" s="26"/>
      <c r="I176" s="55"/>
      <c r="K176" s="26"/>
      <c r="L176" s="54"/>
      <c r="M176" s="54"/>
      <c r="N176" s="54"/>
      <c r="O176" s="26"/>
    </row>
    <row r="177">
      <c r="A177" s="26" t="str">
        <f>IFERROR(__xludf.DUMMYFUNCTION("""COMPUTED_VALUE"""),"XM18873")</f>
        <v>XM18873</v>
      </c>
      <c r="B177" s="53"/>
      <c r="C177" s="54"/>
      <c r="D177" s="55"/>
      <c r="F177" s="26"/>
      <c r="G177" s="54"/>
      <c r="H177" s="26"/>
      <c r="I177" s="55"/>
      <c r="K177" s="26"/>
      <c r="L177" s="54"/>
      <c r="M177" s="54"/>
      <c r="N177" s="54"/>
      <c r="O177" s="26"/>
    </row>
    <row r="178">
      <c r="A178" s="26" t="str">
        <f>IFERROR(__xludf.DUMMYFUNCTION("""COMPUTED_VALUE"""),"XM18874")</f>
        <v>XM18874</v>
      </c>
      <c r="B178" s="53"/>
      <c r="C178" s="54"/>
      <c r="D178" s="55"/>
      <c r="F178" s="26"/>
      <c r="G178" s="54"/>
      <c r="H178" s="26"/>
      <c r="I178" s="55"/>
      <c r="K178" s="26"/>
      <c r="L178" s="54"/>
      <c r="M178" s="54"/>
      <c r="N178" s="54"/>
      <c r="O178" s="26"/>
    </row>
    <row r="179">
      <c r="A179" s="26" t="str">
        <f>IFERROR(__xludf.DUMMYFUNCTION("""COMPUTED_VALUE"""),"XM18875")</f>
        <v>XM18875</v>
      </c>
      <c r="B179" s="53"/>
      <c r="C179" s="54"/>
      <c r="D179" s="55"/>
      <c r="F179" s="26"/>
      <c r="G179" s="54"/>
      <c r="H179" s="26"/>
      <c r="I179" s="55"/>
      <c r="K179" s="26"/>
      <c r="L179" s="54"/>
      <c r="M179" s="54"/>
      <c r="N179" s="54"/>
      <c r="O179" s="26"/>
    </row>
    <row r="180">
      <c r="A180" s="26" t="str">
        <f>IFERROR(__xludf.DUMMYFUNCTION("""COMPUTED_VALUE"""),"XM18876")</f>
        <v>XM18876</v>
      </c>
      <c r="B180" s="53"/>
      <c r="C180" s="54"/>
      <c r="D180" s="55"/>
      <c r="F180" s="26"/>
      <c r="G180" s="54"/>
      <c r="H180" s="26"/>
      <c r="I180" s="55"/>
      <c r="K180" s="26"/>
      <c r="L180" s="54"/>
      <c r="M180" s="54"/>
      <c r="N180" s="54"/>
      <c r="O180" s="26"/>
    </row>
    <row r="181">
      <c r="A181" s="26" t="str">
        <f>IFERROR(__xludf.DUMMYFUNCTION("""COMPUTED_VALUE"""),"XM18877")</f>
        <v>XM18877</v>
      </c>
      <c r="B181" s="53"/>
      <c r="C181" s="54"/>
      <c r="D181" s="55"/>
      <c r="F181" s="26"/>
      <c r="G181" s="54"/>
      <c r="H181" s="26"/>
      <c r="I181" s="55"/>
      <c r="K181" s="26"/>
      <c r="L181" s="54"/>
      <c r="M181" s="54"/>
      <c r="N181" s="54"/>
      <c r="O181" s="26"/>
    </row>
    <row r="182">
      <c r="A182" s="26" t="str">
        <f>IFERROR(__xludf.DUMMYFUNCTION("""COMPUTED_VALUE"""),"XM18878")</f>
        <v>XM18878</v>
      </c>
      <c r="B182" s="53"/>
      <c r="C182" s="54"/>
      <c r="D182" s="55"/>
      <c r="F182" s="26"/>
      <c r="G182" s="54"/>
      <c r="H182" s="26"/>
      <c r="I182" s="55"/>
      <c r="K182" s="26"/>
      <c r="L182" s="54"/>
      <c r="M182" s="54"/>
      <c r="N182" s="54"/>
      <c r="O182" s="26"/>
    </row>
    <row r="183">
      <c r="A183" s="26" t="str">
        <f>IFERROR(__xludf.DUMMYFUNCTION("""COMPUTED_VALUE"""),"XM18879")</f>
        <v>XM18879</v>
      </c>
      <c r="B183" s="53"/>
      <c r="C183" s="54"/>
      <c r="D183" s="55"/>
      <c r="F183" s="26"/>
      <c r="G183" s="54"/>
      <c r="H183" s="26"/>
      <c r="I183" s="55"/>
      <c r="K183" s="26"/>
      <c r="L183" s="54"/>
      <c r="M183" s="54"/>
      <c r="N183" s="54"/>
      <c r="O183" s="26"/>
    </row>
    <row r="184">
      <c r="A184" s="26" t="str">
        <f>IFERROR(__xludf.DUMMYFUNCTION("""COMPUTED_VALUE"""),"XM18880")</f>
        <v>XM18880</v>
      </c>
      <c r="B184" s="53"/>
      <c r="C184" s="54"/>
      <c r="D184" s="55"/>
      <c r="F184" s="26"/>
      <c r="G184" s="54"/>
      <c r="H184" s="26"/>
      <c r="I184" s="55"/>
      <c r="K184" s="26"/>
      <c r="L184" s="54"/>
      <c r="M184" s="54"/>
      <c r="N184" s="54"/>
      <c r="O184" s="26"/>
    </row>
    <row r="185">
      <c r="A185" s="26" t="str">
        <f>IFERROR(__xludf.DUMMYFUNCTION("""COMPUTED_VALUE"""),"XM18881")</f>
        <v>XM18881</v>
      </c>
      <c r="B185" s="53"/>
      <c r="C185" s="54"/>
      <c r="D185" s="55"/>
      <c r="F185" s="26"/>
      <c r="G185" s="54"/>
      <c r="H185" s="26"/>
      <c r="I185" s="55"/>
      <c r="K185" s="26"/>
      <c r="L185" s="54"/>
      <c r="M185" s="54"/>
      <c r="N185" s="54"/>
      <c r="O185" s="26"/>
    </row>
    <row r="186">
      <c r="A186" s="26" t="str">
        <f>IFERROR(__xludf.DUMMYFUNCTION("""COMPUTED_VALUE"""),"XM18882")</f>
        <v>XM18882</v>
      </c>
      <c r="B186" s="53"/>
      <c r="C186" s="54"/>
      <c r="D186" s="55"/>
      <c r="F186" s="26"/>
      <c r="G186" s="54"/>
      <c r="H186" s="26"/>
      <c r="I186" s="55"/>
      <c r="K186" s="26"/>
      <c r="L186" s="54"/>
      <c r="M186" s="54"/>
      <c r="N186" s="54"/>
      <c r="O186" s="26"/>
    </row>
    <row r="187">
      <c r="A187" s="26" t="str">
        <f>IFERROR(__xludf.DUMMYFUNCTION("""COMPUTED_VALUE"""),"XM18883")</f>
        <v>XM18883</v>
      </c>
      <c r="B187" s="53"/>
      <c r="C187" s="54"/>
      <c r="D187" s="55"/>
      <c r="F187" s="26"/>
      <c r="G187" s="54"/>
      <c r="H187" s="26"/>
      <c r="I187" s="55"/>
      <c r="K187" s="26"/>
      <c r="L187" s="54"/>
      <c r="M187" s="54"/>
      <c r="N187" s="54"/>
      <c r="O187" s="26"/>
    </row>
    <row r="188">
      <c r="A188" s="26" t="str">
        <f>IFERROR(__xludf.DUMMYFUNCTION("""COMPUTED_VALUE"""),"XM18884")</f>
        <v>XM18884</v>
      </c>
      <c r="B188" s="53"/>
      <c r="C188" s="54"/>
      <c r="D188" s="55"/>
      <c r="F188" s="26"/>
      <c r="G188" s="54"/>
      <c r="H188" s="26"/>
      <c r="I188" s="55"/>
      <c r="K188" s="26"/>
      <c r="L188" s="54"/>
      <c r="M188" s="54"/>
      <c r="N188" s="54"/>
      <c r="O188" s="26"/>
    </row>
    <row r="189">
      <c r="A189" s="26" t="str">
        <f>IFERROR(__xludf.DUMMYFUNCTION("""COMPUTED_VALUE"""),"XM18885")</f>
        <v>XM18885</v>
      </c>
      <c r="B189" s="53"/>
      <c r="C189" s="54"/>
      <c r="D189" s="55"/>
      <c r="F189" s="26"/>
      <c r="G189" s="54"/>
      <c r="H189" s="26"/>
      <c r="I189" s="55"/>
      <c r="K189" s="26"/>
      <c r="L189" s="54"/>
      <c r="M189" s="54"/>
      <c r="N189" s="54"/>
      <c r="O189" s="26"/>
    </row>
    <row r="190">
      <c r="A190" s="26" t="str">
        <f>IFERROR(__xludf.DUMMYFUNCTION("""COMPUTED_VALUE"""),"XM18886")</f>
        <v>XM18886</v>
      </c>
      <c r="B190" s="53"/>
      <c r="C190" s="54"/>
      <c r="D190" s="55"/>
      <c r="F190" s="26"/>
      <c r="G190" s="54"/>
      <c r="H190" s="26"/>
      <c r="I190" s="55"/>
      <c r="K190" s="26"/>
      <c r="L190" s="54"/>
      <c r="M190" s="54"/>
      <c r="N190" s="54"/>
      <c r="O190" s="26"/>
    </row>
    <row r="191">
      <c r="A191" s="26" t="str">
        <f>IFERROR(__xludf.DUMMYFUNCTION("""COMPUTED_VALUE"""),"XM18887")</f>
        <v>XM18887</v>
      </c>
      <c r="B191" s="53"/>
      <c r="C191" s="54"/>
      <c r="D191" s="55"/>
      <c r="F191" s="26"/>
      <c r="G191" s="54"/>
      <c r="H191" s="26"/>
      <c r="I191" s="55"/>
      <c r="K191" s="26"/>
      <c r="L191" s="54"/>
      <c r="M191" s="54"/>
      <c r="N191" s="54"/>
      <c r="O191" s="26"/>
    </row>
    <row r="192">
      <c r="A192" s="26" t="str">
        <f>IFERROR(__xludf.DUMMYFUNCTION("""COMPUTED_VALUE"""),"XM18888")</f>
        <v>XM18888</v>
      </c>
      <c r="B192" s="53"/>
      <c r="C192" s="54"/>
      <c r="D192" s="55"/>
      <c r="F192" s="26"/>
      <c r="G192" s="54"/>
      <c r="H192" s="26"/>
      <c r="I192" s="55"/>
      <c r="K192" s="26"/>
      <c r="L192" s="54"/>
      <c r="M192" s="54"/>
      <c r="N192" s="54"/>
      <c r="O192" s="26"/>
    </row>
    <row r="193">
      <c r="A193" s="26" t="str">
        <f>IFERROR(__xludf.DUMMYFUNCTION("""COMPUTED_VALUE"""),"XM18889")</f>
        <v>XM18889</v>
      </c>
      <c r="B193" s="53"/>
      <c r="C193" s="54"/>
      <c r="D193" s="55"/>
      <c r="F193" s="26"/>
      <c r="G193" s="54"/>
      <c r="H193" s="26"/>
      <c r="I193" s="55"/>
      <c r="K193" s="26"/>
      <c r="L193" s="54"/>
      <c r="M193" s="54"/>
      <c r="N193" s="54"/>
      <c r="O193" s="26"/>
    </row>
    <row r="194">
      <c r="A194" s="26" t="str">
        <f>IFERROR(__xludf.DUMMYFUNCTION("""COMPUTED_VALUE"""),"XM18890")</f>
        <v>XM18890</v>
      </c>
      <c r="B194" s="53"/>
      <c r="C194" s="54"/>
      <c r="D194" s="55"/>
      <c r="F194" s="26"/>
      <c r="G194" s="54"/>
      <c r="H194" s="26"/>
      <c r="I194" s="55"/>
      <c r="K194" s="26"/>
      <c r="L194" s="54"/>
      <c r="M194" s="54"/>
      <c r="N194" s="54"/>
      <c r="O194" s="26"/>
    </row>
    <row r="195">
      <c r="A195" s="26" t="str">
        <f>IFERROR(__xludf.DUMMYFUNCTION("""COMPUTED_VALUE"""),"XM18891")</f>
        <v>XM18891</v>
      </c>
      <c r="B195" s="53"/>
      <c r="C195" s="54"/>
      <c r="D195" s="55"/>
      <c r="F195" s="26"/>
      <c r="G195" s="54"/>
      <c r="H195" s="26"/>
      <c r="I195" s="55"/>
      <c r="K195" s="26"/>
      <c r="L195" s="54"/>
      <c r="M195" s="54"/>
      <c r="N195" s="54"/>
      <c r="O195" s="26"/>
    </row>
    <row r="196">
      <c r="A196" s="26" t="str">
        <f>IFERROR(__xludf.DUMMYFUNCTION("""COMPUTED_VALUE"""),"XM18892")</f>
        <v>XM18892</v>
      </c>
      <c r="B196" s="53"/>
      <c r="C196" s="54"/>
      <c r="D196" s="55"/>
      <c r="F196" s="26"/>
      <c r="G196" s="54"/>
      <c r="H196" s="26"/>
      <c r="I196" s="55"/>
      <c r="K196" s="26"/>
      <c r="L196" s="54"/>
      <c r="M196" s="54"/>
      <c r="N196" s="54"/>
      <c r="O196" s="26"/>
    </row>
    <row r="197">
      <c r="A197" s="26" t="str">
        <f>IFERROR(__xludf.DUMMYFUNCTION("""COMPUTED_VALUE"""),"XM18893")</f>
        <v>XM18893</v>
      </c>
      <c r="B197" s="53"/>
      <c r="C197" s="54"/>
      <c r="D197" s="55"/>
      <c r="F197" s="26"/>
      <c r="G197" s="54"/>
      <c r="H197" s="26"/>
      <c r="I197" s="55"/>
      <c r="K197" s="26"/>
      <c r="L197" s="54"/>
      <c r="M197" s="54"/>
      <c r="N197" s="54"/>
      <c r="O197" s="26"/>
    </row>
    <row r="198">
      <c r="A198" s="26"/>
      <c r="B198" s="53"/>
      <c r="C198" s="54"/>
      <c r="D198" s="55"/>
      <c r="F198" s="26"/>
      <c r="G198" s="54"/>
      <c r="H198" s="26"/>
      <c r="I198" s="55"/>
      <c r="K198" s="26"/>
      <c r="L198" s="54"/>
      <c r="M198" s="54"/>
      <c r="N198" s="54"/>
      <c r="O198" s="26"/>
    </row>
    <row r="199">
      <c r="A199" s="26"/>
      <c r="B199" s="53"/>
      <c r="C199" s="54"/>
      <c r="D199" s="55"/>
      <c r="F199" s="26"/>
      <c r="G199" s="54"/>
      <c r="H199" s="26"/>
      <c r="I199" s="55"/>
      <c r="K199" s="26"/>
      <c r="L199" s="54"/>
      <c r="M199" s="54"/>
      <c r="N199" s="54"/>
      <c r="O199" s="26"/>
    </row>
    <row r="200">
      <c r="A200" s="26"/>
      <c r="B200" s="53"/>
      <c r="C200" s="54"/>
      <c r="D200" s="55"/>
      <c r="F200" s="26"/>
      <c r="G200" s="54"/>
      <c r="H200" s="26"/>
      <c r="I200" s="55"/>
      <c r="K200" s="26"/>
      <c r="L200" s="54"/>
      <c r="M200" s="54"/>
      <c r="N200" s="54"/>
      <c r="O200" s="26"/>
    </row>
    <row r="201">
      <c r="A201" s="26"/>
      <c r="B201" s="53"/>
      <c r="C201" s="54"/>
      <c r="D201" s="55"/>
      <c r="F201" s="26"/>
      <c r="G201" s="54"/>
      <c r="H201" s="26"/>
      <c r="I201" s="55"/>
      <c r="K201" s="26"/>
      <c r="L201" s="54"/>
      <c r="M201" s="54"/>
      <c r="N201" s="54"/>
      <c r="O201" s="26"/>
    </row>
    <row r="202">
      <c r="A202" s="26"/>
      <c r="B202" s="53"/>
      <c r="C202" s="54"/>
      <c r="D202" s="55"/>
      <c r="F202" s="26"/>
      <c r="G202" s="54"/>
      <c r="H202" s="26"/>
      <c r="I202" s="55"/>
      <c r="K202" s="26"/>
      <c r="L202" s="54"/>
      <c r="M202" s="54"/>
      <c r="N202" s="54"/>
      <c r="O202" s="26"/>
    </row>
    <row r="203">
      <c r="A203" s="26"/>
      <c r="B203" s="53"/>
      <c r="C203" s="54"/>
      <c r="D203" s="55"/>
      <c r="F203" s="26"/>
      <c r="G203" s="54"/>
      <c r="H203" s="26"/>
      <c r="I203" s="55"/>
      <c r="K203" s="26"/>
      <c r="L203" s="54"/>
      <c r="M203" s="54"/>
      <c r="N203" s="54"/>
      <c r="O203" s="26"/>
    </row>
    <row r="204">
      <c r="A204" s="26"/>
      <c r="B204" s="53"/>
      <c r="C204" s="54"/>
      <c r="D204" s="55"/>
      <c r="F204" s="26"/>
      <c r="G204" s="54"/>
      <c r="H204" s="26"/>
      <c r="I204" s="55"/>
      <c r="K204" s="26"/>
      <c r="L204" s="54"/>
      <c r="M204" s="54"/>
      <c r="N204" s="54"/>
      <c r="O204" s="26"/>
    </row>
    <row r="205">
      <c r="A205" s="26"/>
      <c r="B205" s="53"/>
      <c r="C205" s="54"/>
      <c r="D205" s="55"/>
      <c r="F205" s="26"/>
      <c r="G205" s="54"/>
      <c r="H205" s="26"/>
      <c r="I205" s="55"/>
      <c r="K205" s="26"/>
      <c r="L205" s="54"/>
      <c r="M205" s="54"/>
      <c r="N205" s="54"/>
      <c r="O205" s="26"/>
    </row>
    <row r="206">
      <c r="A206" s="26"/>
      <c r="B206" s="53"/>
      <c r="C206" s="54"/>
      <c r="D206" s="55"/>
      <c r="F206" s="26"/>
      <c r="G206" s="54"/>
      <c r="H206" s="26"/>
      <c r="I206" s="55"/>
      <c r="K206" s="26"/>
      <c r="L206" s="54"/>
      <c r="M206" s="54"/>
      <c r="N206" s="54"/>
      <c r="O206" s="26"/>
    </row>
    <row r="207">
      <c r="A207" s="26"/>
      <c r="B207" s="53"/>
      <c r="C207" s="54"/>
      <c r="D207" s="55"/>
      <c r="F207" s="26"/>
      <c r="G207" s="54"/>
      <c r="H207" s="26"/>
      <c r="I207" s="55"/>
      <c r="K207" s="26"/>
      <c r="L207" s="54"/>
      <c r="M207" s="54"/>
      <c r="N207" s="54"/>
      <c r="O207" s="26"/>
    </row>
    <row r="208">
      <c r="A208" s="26"/>
      <c r="B208" s="53"/>
      <c r="C208" s="54"/>
      <c r="D208" s="55"/>
      <c r="F208" s="26"/>
      <c r="G208" s="54"/>
      <c r="H208" s="26"/>
      <c r="I208" s="55"/>
      <c r="K208" s="26"/>
      <c r="L208" s="54"/>
      <c r="M208" s="54"/>
      <c r="N208" s="54"/>
      <c r="O208" s="26"/>
    </row>
    <row r="209">
      <c r="A209" s="26"/>
      <c r="B209" s="53"/>
      <c r="C209" s="54"/>
      <c r="D209" s="55"/>
      <c r="F209" s="26"/>
      <c r="G209" s="54"/>
      <c r="H209" s="26"/>
      <c r="I209" s="55"/>
      <c r="K209" s="26"/>
      <c r="L209" s="54"/>
      <c r="M209" s="54"/>
      <c r="N209" s="54"/>
      <c r="O209" s="26"/>
    </row>
    <row r="210">
      <c r="A210" s="26"/>
      <c r="B210" s="53"/>
      <c r="C210" s="54"/>
      <c r="D210" s="55"/>
      <c r="F210" s="26"/>
      <c r="G210" s="54"/>
      <c r="H210" s="26"/>
      <c r="I210" s="55"/>
      <c r="K210" s="26"/>
      <c r="L210" s="54"/>
      <c r="M210" s="54"/>
      <c r="N210" s="54"/>
      <c r="O210" s="26"/>
    </row>
    <row r="211">
      <c r="A211" s="26"/>
      <c r="B211" s="53"/>
      <c r="C211" s="54"/>
      <c r="D211" s="55"/>
      <c r="F211" s="26"/>
      <c r="G211" s="54"/>
      <c r="H211" s="26"/>
      <c r="I211" s="55"/>
      <c r="K211" s="26"/>
      <c r="L211" s="54"/>
      <c r="M211" s="54"/>
      <c r="N211" s="54"/>
      <c r="O211" s="26"/>
    </row>
    <row r="212">
      <c r="A212" s="26"/>
      <c r="B212" s="53"/>
      <c r="C212" s="54"/>
      <c r="D212" s="55"/>
      <c r="F212" s="26"/>
      <c r="G212" s="54"/>
      <c r="H212" s="26"/>
      <c r="I212" s="55"/>
      <c r="K212" s="26"/>
      <c r="L212" s="54"/>
      <c r="M212" s="54"/>
      <c r="N212" s="54"/>
      <c r="O212" s="26"/>
    </row>
    <row r="213">
      <c r="A213" s="26"/>
      <c r="B213" s="53"/>
      <c r="C213" s="54"/>
      <c r="D213" s="55"/>
      <c r="F213" s="26"/>
      <c r="G213" s="54"/>
      <c r="H213" s="26"/>
      <c r="I213" s="55"/>
      <c r="K213" s="26"/>
      <c r="L213" s="54"/>
      <c r="M213" s="54"/>
      <c r="N213" s="54"/>
      <c r="O213" s="26"/>
    </row>
    <row r="214">
      <c r="A214" s="26"/>
      <c r="B214" s="53"/>
      <c r="C214" s="54"/>
      <c r="D214" s="55"/>
      <c r="F214" s="26"/>
      <c r="G214" s="54"/>
      <c r="H214" s="26"/>
      <c r="I214" s="55"/>
      <c r="K214" s="26"/>
      <c r="L214" s="54"/>
      <c r="M214" s="54"/>
      <c r="N214" s="54"/>
      <c r="O214" s="26"/>
    </row>
    <row r="215">
      <c r="A215" s="26"/>
      <c r="B215" s="53"/>
      <c r="C215" s="54"/>
      <c r="D215" s="55"/>
      <c r="F215" s="26"/>
      <c r="G215" s="54"/>
      <c r="H215" s="26"/>
      <c r="I215" s="55"/>
      <c r="K215" s="26"/>
      <c r="L215" s="54"/>
      <c r="M215" s="54"/>
      <c r="N215" s="54"/>
      <c r="O215" s="26"/>
    </row>
    <row r="216">
      <c r="A216" s="26"/>
      <c r="B216" s="53"/>
      <c r="C216" s="54"/>
      <c r="D216" s="55"/>
      <c r="F216" s="26"/>
      <c r="G216" s="54"/>
      <c r="H216" s="26"/>
      <c r="I216" s="55"/>
      <c r="K216" s="26"/>
      <c r="L216" s="54"/>
      <c r="M216" s="54"/>
      <c r="N216" s="54"/>
      <c r="O216" s="26"/>
    </row>
    <row r="217">
      <c r="A217" s="26"/>
      <c r="B217" s="53"/>
      <c r="C217" s="54"/>
      <c r="D217" s="55"/>
      <c r="F217" s="26"/>
      <c r="G217" s="54"/>
      <c r="H217" s="26"/>
      <c r="I217" s="55"/>
      <c r="K217" s="26"/>
      <c r="L217" s="54"/>
      <c r="M217" s="54"/>
      <c r="N217" s="54"/>
      <c r="O217" s="26"/>
    </row>
    <row r="218">
      <c r="A218" s="26"/>
      <c r="B218" s="53"/>
      <c r="C218" s="54"/>
      <c r="D218" s="55"/>
      <c r="F218" s="26"/>
      <c r="G218" s="54"/>
      <c r="H218" s="26"/>
      <c r="I218" s="55"/>
      <c r="K218" s="26"/>
      <c r="L218" s="54"/>
      <c r="M218" s="54"/>
      <c r="N218" s="54"/>
      <c r="O218" s="26"/>
    </row>
    <row r="219">
      <c r="A219" s="26"/>
      <c r="B219" s="53"/>
      <c r="C219" s="54"/>
      <c r="D219" s="55"/>
      <c r="F219" s="26"/>
      <c r="G219" s="54"/>
      <c r="H219" s="26"/>
      <c r="I219" s="55"/>
      <c r="K219" s="26"/>
      <c r="L219" s="54"/>
      <c r="M219" s="54"/>
      <c r="N219" s="54"/>
      <c r="O219" s="26"/>
    </row>
    <row r="220">
      <c r="A220" s="26"/>
      <c r="B220" s="53"/>
      <c r="C220" s="54"/>
      <c r="D220" s="55"/>
      <c r="F220" s="26"/>
      <c r="G220" s="54"/>
      <c r="H220" s="26"/>
      <c r="I220" s="55"/>
      <c r="K220" s="26"/>
      <c r="L220" s="54"/>
      <c r="M220" s="54"/>
      <c r="N220" s="54"/>
      <c r="O220" s="26"/>
    </row>
    <row r="221">
      <c r="A221" s="26"/>
      <c r="B221" s="53"/>
      <c r="C221" s="54"/>
      <c r="D221" s="55"/>
      <c r="F221" s="26"/>
      <c r="G221" s="54"/>
      <c r="H221" s="26"/>
      <c r="I221" s="55"/>
      <c r="K221" s="26"/>
      <c r="L221" s="54"/>
      <c r="M221" s="54"/>
      <c r="N221" s="54"/>
      <c r="O221" s="26"/>
    </row>
    <row r="222">
      <c r="A222" s="26"/>
      <c r="B222" s="53"/>
      <c r="C222" s="54"/>
      <c r="D222" s="55"/>
      <c r="F222" s="26"/>
      <c r="G222" s="54"/>
      <c r="H222" s="26"/>
      <c r="I222" s="55"/>
      <c r="K222" s="26"/>
      <c r="L222" s="54"/>
      <c r="M222" s="54"/>
      <c r="N222" s="54"/>
      <c r="O222" s="26"/>
    </row>
    <row r="223">
      <c r="A223" s="26"/>
      <c r="B223" s="53"/>
      <c r="C223" s="54"/>
      <c r="D223" s="55"/>
      <c r="F223" s="26"/>
      <c r="G223" s="54"/>
      <c r="H223" s="26"/>
      <c r="I223" s="55"/>
      <c r="K223" s="26"/>
      <c r="L223" s="54"/>
      <c r="M223" s="54"/>
      <c r="N223" s="54"/>
      <c r="O223" s="26"/>
    </row>
    <row r="224">
      <c r="A224" s="26"/>
      <c r="B224" s="53"/>
      <c r="C224" s="54"/>
      <c r="D224" s="55"/>
      <c r="F224" s="26"/>
      <c r="G224" s="54"/>
      <c r="H224" s="26"/>
      <c r="I224" s="55"/>
      <c r="K224" s="26"/>
      <c r="L224" s="54"/>
      <c r="M224" s="54"/>
      <c r="N224" s="54"/>
      <c r="O224" s="26"/>
    </row>
    <row r="225">
      <c r="A225" s="26"/>
      <c r="B225" s="53"/>
      <c r="C225" s="54"/>
      <c r="D225" s="55"/>
      <c r="F225" s="26"/>
      <c r="G225" s="54"/>
      <c r="H225" s="26"/>
      <c r="I225" s="55"/>
      <c r="K225" s="26"/>
      <c r="L225" s="54"/>
      <c r="M225" s="54"/>
      <c r="N225" s="54"/>
      <c r="O225" s="26"/>
    </row>
    <row r="226">
      <c r="A226" s="26"/>
      <c r="B226" s="53"/>
      <c r="C226" s="54"/>
      <c r="D226" s="55"/>
      <c r="F226" s="26"/>
      <c r="G226" s="54"/>
      <c r="H226" s="26"/>
      <c r="I226" s="55"/>
      <c r="K226" s="26"/>
      <c r="L226" s="54"/>
      <c r="M226" s="54"/>
      <c r="N226" s="54"/>
      <c r="O226" s="26"/>
    </row>
    <row r="227">
      <c r="A227" s="26"/>
      <c r="B227" s="53"/>
      <c r="C227" s="54"/>
      <c r="D227" s="55"/>
      <c r="F227" s="26"/>
      <c r="G227" s="54"/>
      <c r="H227" s="26"/>
      <c r="I227" s="55"/>
      <c r="K227" s="26"/>
      <c r="L227" s="54"/>
      <c r="M227" s="54"/>
      <c r="N227" s="54"/>
      <c r="O227" s="26"/>
    </row>
    <row r="228">
      <c r="A228" s="26"/>
      <c r="B228" s="53"/>
      <c r="C228" s="54"/>
      <c r="D228" s="55"/>
      <c r="F228" s="26"/>
      <c r="G228" s="54"/>
      <c r="H228" s="26"/>
      <c r="I228" s="55"/>
      <c r="K228" s="26"/>
      <c r="L228" s="54"/>
      <c r="M228" s="54"/>
      <c r="N228" s="54"/>
      <c r="O228" s="26"/>
    </row>
    <row r="229">
      <c r="A229" s="26"/>
      <c r="B229" s="53"/>
      <c r="C229" s="54"/>
      <c r="D229" s="55"/>
      <c r="F229" s="26"/>
      <c r="G229" s="54"/>
      <c r="H229" s="26"/>
      <c r="I229" s="55"/>
      <c r="K229" s="26"/>
      <c r="L229" s="54"/>
      <c r="M229" s="54"/>
      <c r="N229" s="54"/>
      <c r="O229" s="26"/>
    </row>
    <row r="230">
      <c r="A230" s="26"/>
      <c r="B230" s="53"/>
      <c r="C230" s="54"/>
      <c r="D230" s="55"/>
      <c r="F230" s="26"/>
      <c r="G230" s="54"/>
      <c r="H230" s="26"/>
      <c r="I230" s="55"/>
      <c r="K230" s="26"/>
      <c r="L230" s="54"/>
      <c r="M230" s="54"/>
      <c r="N230" s="54"/>
      <c r="O230" s="26"/>
    </row>
    <row r="231">
      <c r="A231" s="26"/>
      <c r="B231" s="53"/>
      <c r="C231" s="54"/>
      <c r="D231" s="55"/>
      <c r="F231" s="26"/>
      <c r="G231" s="54"/>
      <c r="H231" s="26"/>
      <c r="I231" s="55"/>
      <c r="K231" s="26"/>
      <c r="L231" s="54"/>
      <c r="M231" s="54"/>
      <c r="N231" s="54"/>
      <c r="O231" s="26"/>
    </row>
    <row r="232">
      <c r="A232" s="26"/>
      <c r="B232" s="53"/>
      <c r="C232" s="54"/>
      <c r="D232" s="55"/>
      <c r="F232" s="26"/>
      <c r="G232" s="54"/>
      <c r="H232" s="26"/>
      <c r="I232" s="55"/>
      <c r="K232" s="26"/>
      <c r="L232" s="54"/>
      <c r="M232" s="54"/>
      <c r="N232" s="54"/>
      <c r="O232" s="26"/>
    </row>
    <row r="233">
      <c r="A233" s="26"/>
      <c r="B233" s="53"/>
      <c r="C233" s="54"/>
      <c r="D233" s="55"/>
      <c r="F233" s="26"/>
      <c r="G233" s="54"/>
      <c r="H233" s="26"/>
      <c r="I233" s="55"/>
      <c r="K233" s="26"/>
      <c r="L233" s="54"/>
      <c r="M233" s="54"/>
      <c r="N233" s="54"/>
      <c r="O233" s="26"/>
    </row>
    <row r="234">
      <c r="A234" s="26"/>
      <c r="B234" s="53"/>
      <c r="C234" s="54"/>
      <c r="D234" s="55"/>
      <c r="F234" s="26"/>
      <c r="G234" s="54"/>
      <c r="H234" s="26"/>
      <c r="I234" s="55"/>
      <c r="K234" s="26"/>
      <c r="L234" s="54"/>
      <c r="M234" s="54"/>
      <c r="N234" s="54"/>
      <c r="O234" s="26"/>
    </row>
    <row r="235">
      <c r="A235" s="26"/>
      <c r="B235" s="53"/>
      <c r="C235" s="54"/>
      <c r="D235" s="55"/>
      <c r="F235" s="26"/>
      <c r="G235" s="54"/>
      <c r="H235" s="26"/>
      <c r="I235" s="55"/>
      <c r="K235" s="26"/>
      <c r="L235" s="54"/>
      <c r="M235" s="54"/>
      <c r="N235" s="54"/>
      <c r="O235" s="26"/>
    </row>
    <row r="236">
      <c r="A236" s="26"/>
      <c r="B236" s="53"/>
      <c r="C236" s="54"/>
      <c r="D236" s="55"/>
      <c r="F236" s="26"/>
      <c r="G236" s="54"/>
      <c r="H236" s="26"/>
      <c r="I236" s="55"/>
      <c r="K236" s="26"/>
      <c r="L236" s="54"/>
      <c r="M236" s="54"/>
      <c r="N236" s="54"/>
      <c r="O236" s="26"/>
    </row>
    <row r="237">
      <c r="A237" s="26"/>
      <c r="B237" s="53"/>
      <c r="C237" s="54"/>
      <c r="D237" s="55"/>
      <c r="F237" s="26"/>
      <c r="G237" s="54"/>
      <c r="H237" s="26"/>
      <c r="I237" s="55"/>
      <c r="K237" s="26"/>
      <c r="L237" s="54"/>
      <c r="M237" s="54"/>
      <c r="N237" s="54"/>
      <c r="O237" s="26"/>
    </row>
    <row r="238">
      <c r="A238" s="26"/>
      <c r="B238" s="53"/>
      <c r="C238" s="54"/>
      <c r="D238" s="55"/>
      <c r="F238" s="26"/>
      <c r="G238" s="54"/>
      <c r="H238" s="26"/>
      <c r="I238" s="55"/>
      <c r="K238" s="26"/>
      <c r="L238" s="54"/>
      <c r="M238" s="54"/>
      <c r="N238" s="54"/>
      <c r="O238" s="26"/>
    </row>
    <row r="239">
      <c r="A239" s="26"/>
      <c r="B239" s="53"/>
      <c r="C239" s="54"/>
      <c r="D239" s="55"/>
      <c r="F239" s="26"/>
      <c r="G239" s="54"/>
      <c r="H239" s="26"/>
      <c r="I239" s="55"/>
      <c r="K239" s="26"/>
      <c r="L239" s="54"/>
      <c r="M239" s="54"/>
      <c r="N239" s="54"/>
      <c r="O239" s="26"/>
    </row>
    <row r="240">
      <c r="A240" s="26"/>
      <c r="B240" s="53"/>
      <c r="C240" s="54"/>
      <c r="D240" s="55"/>
      <c r="F240" s="26"/>
      <c r="G240" s="54"/>
      <c r="H240" s="26"/>
      <c r="I240" s="55"/>
      <c r="K240" s="26"/>
      <c r="L240" s="54"/>
      <c r="M240" s="54"/>
      <c r="N240" s="54"/>
      <c r="O240" s="26"/>
    </row>
    <row r="241">
      <c r="A241" s="26"/>
      <c r="B241" s="53"/>
      <c r="C241" s="54"/>
      <c r="D241" s="55"/>
      <c r="F241" s="26"/>
      <c r="G241" s="54"/>
      <c r="H241" s="26"/>
      <c r="I241" s="55"/>
      <c r="K241" s="26"/>
      <c r="L241" s="54"/>
      <c r="M241" s="54"/>
      <c r="N241" s="54"/>
      <c r="O241" s="26"/>
    </row>
    <row r="242">
      <c r="A242" s="26"/>
      <c r="B242" s="53"/>
      <c r="C242" s="54"/>
      <c r="D242" s="55"/>
      <c r="F242" s="26"/>
      <c r="G242" s="54"/>
      <c r="H242" s="26"/>
      <c r="I242" s="55"/>
      <c r="K242" s="26"/>
      <c r="L242" s="54"/>
      <c r="M242" s="54"/>
      <c r="N242" s="54"/>
      <c r="O242" s="26"/>
    </row>
    <row r="243">
      <c r="A243" s="26"/>
      <c r="B243" s="53"/>
      <c r="C243" s="54"/>
      <c r="D243" s="55"/>
      <c r="F243" s="26"/>
      <c r="G243" s="54"/>
      <c r="H243" s="26"/>
      <c r="I243" s="55"/>
      <c r="K243" s="26"/>
      <c r="L243" s="54"/>
      <c r="M243" s="54"/>
      <c r="N243" s="54"/>
      <c r="O243" s="26"/>
    </row>
    <row r="244">
      <c r="A244" s="26"/>
      <c r="B244" s="53"/>
      <c r="C244" s="54"/>
      <c r="D244" s="55"/>
      <c r="F244" s="26"/>
      <c r="G244" s="54"/>
      <c r="H244" s="26"/>
      <c r="I244" s="55"/>
      <c r="K244" s="26"/>
      <c r="L244" s="54"/>
      <c r="M244" s="54"/>
      <c r="N244" s="54"/>
      <c r="O244" s="26"/>
    </row>
    <row r="245">
      <c r="A245" s="26"/>
      <c r="B245" s="53"/>
      <c r="C245" s="54"/>
      <c r="D245" s="55"/>
      <c r="F245" s="26"/>
      <c r="G245" s="54"/>
      <c r="H245" s="26"/>
      <c r="I245" s="55"/>
      <c r="K245" s="26"/>
      <c r="L245" s="54"/>
      <c r="M245" s="54"/>
      <c r="N245" s="54"/>
      <c r="O245" s="26"/>
    </row>
    <row r="246">
      <c r="A246" s="26"/>
      <c r="B246" s="53"/>
      <c r="C246" s="54"/>
      <c r="D246" s="55"/>
      <c r="F246" s="26"/>
      <c r="G246" s="54"/>
      <c r="H246" s="26"/>
      <c r="I246" s="55"/>
      <c r="K246" s="26"/>
      <c r="L246" s="54"/>
      <c r="M246" s="54"/>
      <c r="N246" s="54"/>
      <c r="O246" s="26"/>
    </row>
    <row r="247">
      <c r="A247" s="26"/>
      <c r="B247" s="53"/>
      <c r="C247" s="54"/>
      <c r="D247" s="55"/>
      <c r="F247" s="26"/>
      <c r="G247" s="54"/>
      <c r="H247" s="26"/>
      <c r="I247" s="55"/>
      <c r="K247" s="26"/>
      <c r="L247" s="54"/>
      <c r="M247" s="54"/>
      <c r="N247" s="54"/>
      <c r="O247" s="26"/>
    </row>
    <row r="248">
      <c r="A248" s="26"/>
      <c r="B248" s="53"/>
      <c r="C248" s="54"/>
      <c r="D248" s="55"/>
      <c r="F248" s="26"/>
      <c r="G248" s="54"/>
      <c r="H248" s="26"/>
      <c r="I248" s="55"/>
      <c r="K248" s="26"/>
      <c r="L248" s="54"/>
      <c r="M248" s="54"/>
      <c r="N248" s="54"/>
      <c r="O248" s="26"/>
    </row>
    <row r="249">
      <c r="A249" s="26"/>
      <c r="B249" s="53"/>
      <c r="C249" s="54"/>
      <c r="D249" s="55"/>
      <c r="F249" s="26"/>
      <c r="G249" s="54"/>
      <c r="H249" s="26"/>
      <c r="I249" s="55"/>
      <c r="K249" s="26"/>
      <c r="L249" s="54"/>
      <c r="M249" s="54"/>
      <c r="N249" s="54"/>
      <c r="O249" s="26"/>
    </row>
    <row r="250">
      <c r="A250" s="26"/>
      <c r="B250" s="53"/>
      <c r="C250" s="54"/>
      <c r="D250" s="55"/>
      <c r="F250" s="26"/>
      <c r="G250" s="54"/>
      <c r="H250" s="26"/>
      <c r="I250" s="55"/>
      <c r="K250" s="26"/>
      <c r="L250" s="54"/>
      <c r="M250" s="54"/>
      <c r="N250" s="54"/>
      <c r="O250" s="26"/>
    </row>
    <row r="251">
      <c r="A251" s="26"/>
      <c r="B251" s="53"/>
      <c r="C251" s="54"/>
      <c r="D251" s="55"/>
      <c r="F251" s="26"/>
      <c r="G251" s="54"/>
      <c r="H251" s="26"/>
      <c r="I251" s="55"/>
      <c r="K251" s="26"/>
      <c r="L251" s="54"/>
      <c r="M251" s="54"/>
      <c r="N251" s="54"/>
      <c r="O251" s="26"/>
    </row>
    <row r="252">
      <c r="A252" s="26"/>
      <c r="B252" s="53"/>
      <c r="C252" s="54"/>
      <c r="D252" s="55"/>
      <c r="F252" s="26"/>
      <c r="G252" s="54"/>
      <c r="H252" s="26"/>
      <c r="I252" s="55"/>
      <c r="K252" s="26"/>
      <c r="L252" s="54"/>
      <c r="M252" s="54"/>
      <c r="N252" s="54"/>
      <c r="O252" s="26"/>
    </row>
    <row r="253">
      <c r="A253" s="26"/>
      <c r="B253" s="53"/>
      <c r="C253" s="54"/>
      <c r="D253" s="55"/>
      <c r="F253" s="26"/>
      <c r="G253" s="54"/>
      <c r="H253" s="26"/>
      <c r="I253" s="55"/>
      <c r="K253" s="26"/>
      <c r="L253" s="54"/>
      <c r="M253" s="54"/>
      <c r="N253" s="54"/>
      <c r="O253" s="26"/>
    </row>
    <row r="254">
      <c r="A254" s="26"/>
      <c r="B254" s="53"/>
      <c r="C254" s="54"/>
      <c r="D254" s="55"/>
      <c r="F254" s="26"/>
      <c r="G254" s="54"/>
      <c r="H254" s="26"/>
      <c r="I254" s="55"/>
      <c r="K254" s="26"/>
      <c r="L254" s="54"/>
      <c r="M254" s="54"/>
      <c r="N254" s="54"/>
      <c r="O254" s="26"/>
    </row>
    <row r="255">
      <c r="A255" s="26"/>
      <c r="B255" s="53"/>
      <c r="C255" s="54"/>
      <c r="D255" s="55"/>
      <c r="F255" s="26"/>
      <c r="G255" s="54"/>
      <c r="H255" s="26"/>
      <c r="I255" s="55"/>
      <c r="K255" s="26"/>
      <c r="L255" s="54"/>
      <c r="M255" s="54"/>
      <c r="N255" s="54"/>
      <c r="O255" s="26"/>
    </row>
    <row r="256">
      <c r="A256" s="26"/>
      <c r="B256" s="53"/>
      <c r="C256" s="54"/>
      <c r="D256" s="55"/>
      <c r="F256" s="26"/>
      <c r="G256" s="54"/>
      <c r="H256" s="26"/>
      <c r="I256" s="55"/>
      <c r="K256" s="26"/>
      <c r="L256" s="54"/>
      <c r="M256" s="54"/>
      <c r="N256" s="54"/>
      <c r="O256" s="26"/>
    </row>
    <row r="257">
      <c r="A257" s="26"/>
      <c r="B257" s="53"/>
      <c r="C257" s="54"/>
      <c r="D257" s="55"/>
      <c r="F257" s="26"/>
      <c r="G257" s="54"/>
      <c r="H257" s="26"/>
      <c r="I257" s="55"/>
      <c r="K257" s="26"/>
      <c r="L257" s="54"/>
      <c r="M257" s="54"/>
      <c r="N257" s="54"/>
      <c r="O257" s="26"/>
    </row>
    <row r="258">
      <c r="A258" s="26"/>
      <c r="B258" s="53"/>
      <c r="C258" s="54"/>
      <c r="D258" s="55"/>
      <c r="F258" s="26"/>
      <c r="G258" s="54"/>
      <c r="H258" s="26"/>
      <c r="I258" s="55"/>
      <c r="K258" s="26"/>
      <c r="L258" s="54"/>
      <c r="M258" s="54"/>
      <c r="N258" s="54"/>
      <c r="O258" s="26"/>
    </row>
    <row r="259">
      <c r="A259" s="26"/>
      <c r="B259" s="53"/>
      <c r="C259" s="54"/>
      <c r="D259" s="55"/>
      <c r="F259" s="26"/>
      <c r="G259" s="54"/>
      <c r="H259" s="26"/>
      <c r="I259" s="55"/>
      <c r="K259" s="26"/>
      <c r="L259" s="54"/>
      <c r="M259" s="54"/>
      <c r="N259" s="54"/>
      <c r="O259" s="26"/>
    </row>
    <row r="260">
      <c r="A260" s="26"/>
      <c r="B260" s="53"/>
      <c r="C260" s="54"/>
      <c r="D260" s="55"/>
      <c r="F260" s="26"/>
      <c r="G260" s="54"/>
      <c r="H260" s="26"/>
      <c r="I260" s="55"/>
      <c r="K260" s="26"/>
      <c r="L260" s="54"/>
      <c r="M260" s="54"/>
      <c r="N260" s="54"/>
      <c r="O260" s="26"/>
    </row>
    <row r="261">
      <c r="A261" s="26"/>
      <c r="B261" s="53"/>
      <c r="C261" s="54"/>
      <c r="D261" s="55"/>
      <c r="F261" s="26"/>
      <c r="G261" s="54"/>
      <c r="H261" s="26"/>
      <c r="I261" s="55"/>
      <c r="K261" s="26"/>
      <c r="L261" s="54"/>
      <c r="M261" s="54"/>
      <c r="N261" s="54"/>
      <c r="O261" s="26"/>
    </row>
    <row r="262">
      <c r="A262" s="26"/>
      <c r="B262" s="53"/>
      <c r="C262" s="54"/>
      <c r="D262" s="55"/>
      <c r="F262" s="26"/>
      <c r="G262" s="54"/>
      <c r="H262" s="26"/>
      <c r="I262" s="55"/>
      <c r="K262" s="26"/>
      <c r="L262" s="54"/>
      <c r="M262" s="54"/>
      <c r="N262" s="54"/>
      <c r="O262" s="26"/>
    </row>
    <row r="263">
      <c r="A263" s="26"/>
      <c r="B263" s="53"/>
      <c r="C263" s="54"/>
      <c r="D263" s="55"/>
      <c r="F263" s="26"/>
      <c r="G263" s="54"/>
      <c r="H263" s="26"/>
      <c r="I263" s="55"/>
      <c r="K263" s="26"/>
      <c r="L263" s="54"/>
      <c r="M263" s="54"/>
      <c r="N263" s="54"/>
      <c r="O263" s="26"/>
    </row>
    <row r="264">
      <c r="A264" s="26"/>
      <c r="B264" s="53"/>
      <c r="C264" s="54"/>
      <c r="D264" s="55"/>
      <c r="F264" s="26"/>
      <c r="G264" s="54"/>
      <c r="H264" s="26"/>
      <c r="I264" s="55"/>
      <c r="K264" s="26"/>
      <c r="L264" s="54"/>
      <c r="M264" s="54"/>
      <c r="N264" s="54"/>
      <c r="O264" s="26"/>
    </row>
    <row r="265">
      <c r="A265" s="26"/>
      <c r="B265" s="53"/>
      <c r="C265" s="54"/>
      <c r="D265" s="55"/>
      <c r="F265" s="26"/>
      <c r="G265" s="54"/>
      <c r="H265" s="26"/>
      <c r="I265" s="55"/>
      <c r="K265" s="26"/>
      <c r="L265" s="54"/>
      <c r="M265" s="54"/>
      <c r="N265" s="54"/>
      <c r="O265" s="26"/>
    </row>
    <row r="266">
      <c r="A266" s="26"/>
      <c r="B266" s="53"/>
      <c r="C266" s="54"/>
      <c r="D266" s="55"/>
      <c r="F266" s="26"/>
      <c r="G266" s="54"/>
      <c r="H266" s="26"/>
      <c r="I266" s="55"/>
      <c r="K266" s="26"/>
      <c r="L266" s="54"/>
      <c r="M266" s="54"/>
      <c r="N266" s="54"/>
      <c r="O266" s="26"/>
    </row>
    <row r="267">
      <c r="A267" s="26"/>
      <c r="B267" s="53"/>
      <c r="C267" s="54"/>
      <c r="D267" s="55"/>
      <c r="F267" s="26"/>
      <c r="G267" s="54"/>
      <c r="H267" s="26"/>
      <c r="I267" s="55"/>
      <c r="K267" s="26"/>
      <c r="L267" s="54"/>
      <c r="M267" s="54"/>
      <c r="N267" s="54"/>
      <c r="O267" s="26"/>
    </row>
    <row r="268">
      <c r="A268" s="26"/>
      <c r="B268" s="53"/>
      <c r="C268" s="54"/>
      <c r="D268" s="55"/>
      <c r="F268" s="26"/>
      <c r="G268" s="54"/>
      <c r="H268" s="26"/>
      <c r="I268" s="55"/>
      <c r="K268" s="26"/>
      <c r="L268" s="54"/>
      <c r="M268" s="54"/>
      <c r="N268" s="54"/>
      <c r="O268" s="26"/>
    </row>
    <row r="269">
      <c r="A269" s="26"/>
      <c r="B269" s="53"/>
      <c r="C269" s="54"/>
      <c r="D269" s="55"/>
      <c r="F269" s="26"/>
      <c r="G269" s="54"/>
      <c r="H269" s="26"/>
      <c r="I269" s="55"/>
      <c r="K269" s="26"/>
      <c r="L269" s="54"/>
      <c r="M269" s="54"/>
      <c r="N269" s="54"/>
      <c r="O269" s="26"/>
    </row>
    <row r="270">
      <c r="A270" s="26"/>
      <c r="B270" s="53"/>
      <c r="C270" s="54"/>
      <c r="D270" s="55"/>
      <c r="F270" s="26"/>
      <c r="G270" s="54"/>
      <c r="H270" s="26"/>
      <c r="I270" s="55"/>
      <c r="K270" s="26"/>
      <c r="L270" s="54"/>
      <c r="M270" s="54"/>
      <c r="N270" s="54"/>
      <c r="O270" s="26"/>
    </row>
    <row r="271">
      <c r="A271" s="26"/>
      <c r="B271" s="53"/>
      <c r="C271" s="54"/>
      <c r="D271" s="55"/>
      <c r="F271" s="26"/>
      <c r="G271" s="54"/>
      <c r="H271" s="26"/>
      <c r="I271" s="55"/>
      <c r="K271" s="26"/>
      <c r="L271" s="54"/>
      <c r="M271" s="54"/>
      <c r="N271" s="54"/>
      <c r="O271" s="26"/>
    </row>
    <row r="272">
      <c r="A272" s="26"/>
      <c r="B272" s="53"/>
      <c r="C272" s="54"/>
      <c r="D272" s="55"/>
      <c r="F272" s="26"/>
      <c r="G272" s="54"/>
      <c r="H272" s="26"/>
      <c r="I272" s="55"/>
      <c r="K272" s="26"/>
      <c r="L272" s="54"/>
      <c r="M272" s="54"/>
      <c r="N272" s="54"/>
      <c r="O272" s="26"/>
    </row>
    <row r="273">
      <c r="A273" s="26"/>
      <c r="B273" s="53"/>
      <c r="C273" s="54"/>
      <c r="D273" s="55"/>
      <c r="F273" s="26"/>
      <c r="G273" s="54"/>
      <c r="H273" s="26"/>
      <c r="I273" s="55"/>
      <c r="K273" s="26"/>
      <c r="L273" s="54"/>
      <c r="M273" s="54"/>
      <c r="N273" s="54"/>
      <c r="O273" s="26"/>
    </row>
    <row r="274">
      <c r="A274" s="26"/>
      <c r="B274" s="53"/>
      <c r="C274" s="54"/>
      <c r="D274" s="55"/>
      <c r="F274" s="26"/>
      <c r="G274" s="54"/>
      <c r="H274" s="26"/>
      <c r="I274" s="55"/>
      <c r="K274" s="26"/>
      <c r="L274" s="54"/>
      <c r="M274" s="54"/>
      <c r="N274" s="54"/>
      <c r="O274" s="26"/>
    </row>
    <row r="275">
      <c r="A275" s="26"/>
      <c r="B275" s="53"/>
      <c r="C275" s="54"/>
      <c r="D275" s="55"/>
      <c r="F275" s="26"/>
      <c r="G275" s="54"/>
      <c r="H275" s="26"/>
      <c r="I275" s="55"/>
      <c r="K275" s="26"/>
      <c r="L275" s="54"/>
      <c r="M275" s="54"/>
      <c r="N275" s="54"/>
      <c r="O275" s="26"/>
    </row>
    <row r="276">
      <c r="A276" s="26"/>
      <c r="B276" s="53"/>
      <c r="C276" s="54"/>
      <c r="D276" s="55"/>
      <c r="F276" s="26"/>
      <c r="G276" s="54"/>
      <c r="H276" s="26"/>
      <c r="I276" s="55"/>
      <c r="K276" s="26"/>
      <c r="L276" s="54"/>
      <c r="M276" s="54"/>
      <c r="N276" s="54"/>
      <c r="O276" s="26"/>
    </row>
    <row r="277">
      <c r="A277" s="26"/>
      <c r="B277" s="53"/>
      <c r="C277" s="54"/>
      <c r="D277" s="55"/>
      <c r="F277" s="26"/>
      <c r="G277" s="54"/>
      <c r="H277" s="26"/>
      <c r="I277" s="55"/>
      <c r="K277" s="26"/>
      <c r="L277" s="54"/>
      <c r="M277" s="54"/>
      <c r="N277" s="54"/>
      <c r="O277" s="26"/>
    </row>
    <row r="278">
      <c r="A278" s="26"/>
      <c r="B278" s="53"/>
      <c r="C278" s="54"/>
      <c r="D278" s="55"/>
      <c r="F278" s="26"/>
      <c r="G278" s="54"/>
      <c r="H278" s="26"/>
      <c r="I278" s="55"/>
      <c r="K278" s="26"/>
      <c r="L278" s="54"/>
      <c r="M278" s="54"/>
      <c r="N278" s="54"/>
      <c r="O278" s="26"/>
    </row>
    <row r="279">
      <c r="A279" s="26"/>
      <c r="B279" s="53"/>
      <c r="C279" s="54"/>
      <c r="D279" s="55"/>
      <c r="F279" s="26"/>
      <c r="G279" s="54"/>
      <c r="H279" s="26"/>
      <c r="I279" s="55"/>
      <c r="K279" s="26"/>
      <c r="L279" s="54"/>
      <c r="M279" s="54"/>
      <c r="N279" s="54"/>
      <c r="O279" s="26"/>
    </row>
    <row r="280">
      <c r="A280" s="26"/>
      <c r="B280" s="53"/>
      <c r="C280" s="54"/>
      <c r="D280" s="55"/>
      <c r="F280" s="26"/>
      <c r="G280" s="54"/>
      <c r="H280" s="26"/>
      <c r="I280" s="55"/>
      <c r="K280" s="26"/>
      <c r="L280" s="54"/>
      <c r="M280" s="54"/>
      <c r="N280" s="54"/>
      <c r="O280" s="26"/>
    </row>
    <row r="281">
      <c r="A281" s="26"/>
      <c r="B281" s="53"/>
      <c r="C281" s="54"/>
      <c r="D281" s="55"/>
      <c r="F281" s="26"/>
      <c r="G281" s="54"/>
      <c r="H281" s="26"/>
      <c r="I281" s="55"/>
      <c r="K281" s="26"/>
      <c r="L281" s="54"/>
      <c r="M281" s="54"/>
      <c r="N281" s="54"/>
      <c r="O281" s="26"/>
    </row>
    <row r="282">
      <c r="A282" s="26"/>
      <c r="B282" s="53"/>
      <c r="C282" s="54"/>
      <c r="D282" s="55"/>
      <c r="F282" s="26"/>
      <c r="G282" s="54"/>
      <c r="H282" s="26"/>
      <c r="I282" s="55"/>
      <c r="K282" s="26"/>
      <c r="L282" s="54"/>
      <c r="M282" s="54"/>
      <c r="N282" s="54"/>
      <c r="O282" s="26"/>
    </row>
    <row r="283">
      <c r="A283" s="26"/>
      <c r="B283" s="53"/>
      <c r="C283" s="54"/>
      <c r="D283" s="55"/>
      <c r="F283" s="26"/>
      <c r="G283" s="54"/>
      <c r="H283" s="26"/>
      <c r="I283" s="55"/>
      <c r="K283" s="26"/>
      <c r="L283" s="54"/>
      <c r="M283" s="54"/>
      <c r="N283" s="54"/>
      <c r="O283" s="26"/>
    </row>
    <row r="284">
      <c r="A284" s="26"/>
      <c r="B284" s="53"/>
      <c r="C284" s="54"/>
      <c r="D284" s="55"/>
      <c r="F284" s="26"/>
      <c r="G284" s="54"/>
      <c r="H284" s="26"/>
      <c r="I284" s="55"/>
      <c r="K284" s="26"/>
      <c r="L284" s="54"/>
      <c r="M284" s="54"/>
      <c r="N284" s="54"/>
      <c r="O284" s="26"/>
    </row>
    <row r="285">
      <c r="A285" s="26"/>
      <c r="B285" s="53"/>
      <c r="C285" s="54"/>
      <c r="D285" s="55"/>
      <c r="F285" s="26"/>
      <c r="G285" s="54"/>
      <c r="H285" s="26"/>
      <c r="I285" s="55"/>
      <c r="K285" s="26"/>
      <c r="L285" s="54"/>
      <c r="M285" s="54"/>
      <c r="N285" s="54"/>
      <c r="O285" s="26"/>
    </row>
    <row r="286">
      <c r="A286" s="26"/>
      <c r="B286" s="53"/>
      <c r="C286" s="54"/>
      <c r="D286" s="55"/>
      <c r="F286" s="26"/>
      <c r="G286" s="54"/>
      <c r="H286" s="26"/>
      <c r="I286" s="55"/>
      <c r="K286" s="26"/>
      <c r="L286" s="54"/>
      <c r="M286" s="54"/>
      <c r="N286" s="54"/>
      <c r="O286" s="26"/>
    </row>
    <row r="287">
      <c r="A287" s="26"/>
      <c r="B287" s="53"/>
      <c r="C287" s="54"/>
      <c r="D287" s="55"/>
      <c r="F287" s="26"/>
      <c r="G287" s="54"/>
      <c r="H287" s="26"/>
      <c r="I287" s="55"/>
      <c r="K287" s="26"/>
      <c r="L287" s="54"/>
      <c r="M287" s="54"/>
      <c r="N287" s="54"/>
      <c r="O287" s="26"/>
    </row>
    <row r="288">
      <c r="A288" s="26"/>
      <c r="B288" s="53"/>
      <c r="C288" s="54"/>
      <c r="D288" s="55"/>
      <c r="F288" s="26"/>
      <c r="G288" s="54"/>
      <c r="H288" s="26"/>
      <c r="I288" s="55"/>
      <c r="K288" s="26"/>
      <c r="L288" s="54"/>
      <c r="M288" s="54"/>
      <c r="N288" s="54"/>
      <c r="O288" s="26"/>
    </row>
    <row r="289">
      <c r="A289" s="26"/>
      <c r="B289" s="53"/>
      <c r="C289" s="54"/>
      <c r="D289" s="55"/>
      <c r="F289" s="26"/>
      <c r="G289" s="54"/>
      <c r="H289" s="26"/>
      <c r="I289" s="55"/>
      <c r="K289" s="26"/>
      <c r="L289" s="54"/>
      <c r="M289" s="54"/>
      <c r="N289" s="54"/>
      <c r="O289" s="26"/>
    </row>
    <row r="290">
      <c r="A290" s="26"/>
      <c r="B290" s="53"/>
      <c r="C290" s="54"/>
      <c r="D290" s="55"/>
      <c r="F290" s="26"/>
      <c r="G290" s="54"/>
      <c r="H290" s="26"/>
      <c r="I290" s="55"/>
      <c r="K290" s="26"/>
      <c r="L290" s="54"/>
      <c r="M290" s="54"/>
      <c r="N290" s="54"/>
      <c r="O290" s="26"/>
    </row>
    <row r="291">
      <c r="A291" s="26"/>
      <c r="B291" s="53"/>
      <c r="C291" s="54"/>
      <c r="D291" s="55"/>
      <c r="F291" s="26"/>
      <c r="G291" s="54"/>
      <c r="H291" s="26"/>
      <c r="I291" s="55"/>
      <c r="K291" s="26"/>
      <c r="L291" s="54"/>
      <c r="M291" s="54"/>
      <c r="N291" s="54"/>
      <c r="O291" s="26"/>
    </row>
    <row r="292">
      <c r="A292" s="26"/>
      <c r="B292" s="53"/>
      <c r="C292" s="54"/>
      <c r="D292" s="55"/>
      <c r="F292" s="26"/>
      <c r="G292" s="54"/>
      <c r="H292" s="26"/>
      <c r="I292" s="55"/>
      <c r="K292" s="26"/>
      <c r="L292" s="54"/>
      <c r="M292" s="54"/>
      <c r="N292" s="54"/>
      <c r="O292" s="26"/>
    </row>
    <row r="293">
      <c r="A293" s="26"/>
      <c r="B293" s="53"/>
      <c r="C293" s="54"/>
      <c r="D293" s="55"/>
      <c r="F293" s="26"/>
      <c r="G293" s="54"/>
      <c r="H293" s="26"/>
      <c r="I293" s="55"/>
      <c r="K293" s="26"/>
      <c r="L293" s="54"/>
      <c r="M293" s="54"/>
      <c r="N293" s="54"/>
      <c r="O293" s="26"/>
    </row>
    <row r="294">
      <c r="A294" s="26"/>
      <c r="B294" s="53"/>
      <c r="C294" s="54"/>
      <c r="D294" s="55"/>
      <c r="F294" s="26"/>
      <c r="G294" s="54"/>
      <c r="H294" s="26"/>
      <c r="I294" s="55"/>
      <c r="K294" s="26"/>
      <c r="L294" s="54"/>
      <c r="M294" s="54"/>
      <c r="N294" s="54"/>
      <c r="O294" s="26"/>
    </row>
    <row r="295">
      <c r="A295" s="26"/>
      <c r="B295" s="53"/>
      <c r="C295" s="54"/>
      <c r="D295" s="55"/>
      <c r="F295" s="26"/>
      <c r="G295" s="54"/>
      <c r="H295" s="26"/>
      <c r="I295" s="55"/>
      <c r="K295" s="26"/>
      <c r="L295" s="54"/>
      <c r="M295" s="54"/>
      <c r="N295" s="54"/>
      <c r="O295" s="26"/>
    </row>
    <row r="296">
      <c r="A296" s="26"/>
      <c r="B296" s="53"/>
      <c r="C296" s="54"/>
      <c r="D296" s="55"/>
      <c r="F296" s="26"/>
      <c r="G296" s="54"/>
      <c r="H296" s="26"/>
      <c r="I296" s="55"/>
      <c r="K296" s="26"/>
      <c r="L296" s="54"/>
      <c r="M296" s="54"/>
      <c r="N296" s="54"/>
      <c r="O296" s="26"/>
    </row>
    <row r="297">
      <c r="A297" s="26"/>
      <c r="B297" s="53"/>
      <c r="C297" s="54"/>
      <c r="D297" s="55"/>
      <c r="F297" s="26"/>
      <c r="G297" s="54"/>
      <c r="H297" s="26"/>
      <c r="I297" s="55"/>
      <c r="K297" s="26"/>
      <c r="L297" s="54"/>
      <c r="M297" s="54"/>
      <c r="N297" s="54"/>
      <c r="O297" s="26"/>
    </row>
    <row r="298">
      <c r="A298" s="26"/>
      <c r="B298" s="53"/>
      <c r="C298" s="54"/>
      <c r="D298" s="55"/>
      <c r="F298" s="26"/>
      <c r="G298" s="54"/>
      <c r="H298" s="26"/>
      <c r="I298" s="55"/>
      <c r="K298" s="26"/>
      <c r="L298" s="54"/>
      <c r="M298" s="54"/>
      <c r="N298" s="54"/>
      <c r="O298" s="26"/>
    </row>
    <row r="299">
      <c r="A299" s="26"/>
      <c r="B299" s="53"/>
      <c r="C299" s="54"/>
      <c r="D299" s="55"/>
      <c r="F299" s="26"/>
      <c r="G299" s="54"/>
      <c r="H299" s="26"/>
      <c r="I299" s="55"/>
      <c r="K299" s="26"/>
      <c r="L299" s="54"/>
      <c r="M299" s="54"/>
      <c r="N299" s="54"/>
      <c r="O299" s="26"/>
    </row>
    <row r="300">
      <c r="A300" s="26"/>
      <c r="B300" s="53"/>
      <c r="C300" s="54"/>
      <c r="D300" s="55"/>
      <c r="F300" s="26"/>
      <c r="G300" s="54"/>
      <c r="H300" s="26"/>
      <c r="I300" s="55"/>
      <c r="K300" s="26"/>
      <c r="L300" s="54"/>
      <c r="M300" s="54"/>
      <c r="N300" s="54"/>
      <c r="O300" s="26"/>
    </row>
    <row r="301">
      <c r="A301" s="26"/>
      <c r="B301" s="53"/>
      <c r="C301" s="54"/>
      <c r="D301" s="55"/>
      <c r="F301" s="26"/>
      <c r="G301" s="54"/>
      <c r="H301" s="26"/>
      <c r="I301" s="55"/>
      <c r="K301" s="26"/>
      <c r="L301" s="54"/>
      <c r="M301" s="54"/>
      <c r="N301" s="54"/>
      <c r="O301" s="26"/>
    </row>
    <row r="302">
      <c r="A302" s="26"/>
      <c r="B302" s="53"/>
      <c r="C302" s="54"/>
      <c r="D302" s="55"/>
      <c r="F302" s="26"/>
      <c r="G302" s="54"/>
      <c r="H302" s="26"/>
      <c r="I302" s="55"/>
      <c r="K302" s="26"/>
      <c r="L302" s="54"/>
      <c r="M302" s="54"/>
      <c r="N302" s="54"/>
      <c r="O302" s="26"/>
    </row>
    <row r="303">
      <c r="A303" s="26"/>
      <c r="B303" s="53"/>
      <c r="C303" s="54"/>
      <c r="D303" s="55"/>
      <c r="F303" s="26"/>
      <c r="G303" s="54"/>
      <c r="H303" s="26"/>
      <c r="I303" s="55"/>
      <c r="K303" s="26"/>
      <c r="L303" s="54"/>
      <c r="M303" s="54"/>
      <c r="N303" s="54"/>
      <c r="O303" s="26"/>
    </row>
    <row r="304">
      <c r="A304" s="26"/>
      <c r="B304" s="53"/>
      <c r="C304" s="54"/>
      <c r="D304" s="55"/>
      <c r="F304" s="26"/>
      <c r="G304" s="54"/>
      <c r="H304" s="26"/>
      <c r="I304" s="55"/>
      <c r="K304" s="26"/>
      <c r="L304" s="54"/>
      <c r="M304" s="54"/>
      <c r="N304" s="54"/>
      <c r="O304" s="26"/>
    </row>
    <row r="305">
      <c r="A305" s="26"/>
      <c r="B305" s="53"/>
      <c r="C305" s="54"/>
      <c r="D305" s="55"/>
      <c r="F305" s="26"/>
      <c r="G305" s="54"/>
      <c r="H305" s="26"/>
      <c r="I305" s="55"/>
      <c r="K305" s="26"/>
      <c r="L305" s="54"/>
      <c r="M305" s="54"/>
      <c r="N305" s="54"/>
      <c r="O305" s="26"/>
    </row>
    <row r="306">
      <c r="A306" s="26"/>
      <c r="B306" s="53"/>
      <c r="C306" s="54"/>
      <c r="D306" s="55"/>
      <c r="F306" s="26"/>
      <c r="G306" s="54"/>
      <c r="H306" s="26"/>
      <c r="I306" s="55"/>
      <c r="K306" s="26"/>
      <c r="L306" s="54"/>
      <c r="M306" s="54"/>
      <c r="N306" s="54"/>
      <c r="O306" s="26"/>
    </row>
    <row r="307">
      <c r="A307" s="26"/>
      <c r="B307" s="53"/>
      <c r="C307" s="54"/>
      <c r="D307" s="55"/>
      <c r="F307" s="26"/>
      <c r="G307" s="54"/>
      <c r="H307" s="26"/>
      <c r="I307" s="55"/>
      <c r="K307" s="26"/>
      <c r="L307" s="54"/>
      <c r="M307" s="54"/>
      <c r="N307" s="54"/>
      <c r="O307" s="26"/>
    </row>
    <row r="308">
      <c r="A308" s="26"/>
      <c r="B308" s="53"/>
      <c r="C308" s="54"/>
      <c r="D308" s="55"/>
      <c r="F308" s="26"/>
      <c r="G308" s="54"/>
      <c r="H308" s="26"/>
      <c r="I308" s="55"/>
      <c r="K308" s="26"/>
      <c r="L308" s="54"/>
      <c r="M308" s="54"/>
      <c r="N308" s="54"/>
      <c r="O308" s="26"/>
    </row>
    <row r="309">
      <c r="A309" s="26"/>
      <c r="B309" s="53"/>
      <c r="C309" s="54"/>
      <c r="D309" s="55"/>
      <c r="F309" s="26"/>
      <c r="G309" s="54"/>
      <c r="H309" s="26"/>
      <c r="I309" s="55"/>
      <c r="K309" s="26"/>
      <c r="L309" s="54"/>
      <c r="M309" s="54"/>
      <c r="N309" s="54"/>
      <c r="O309" s="26"/>
    </row>
    <row r="310">
      <c r="A310" s="26"/>
      <c r="B310" s="53"/>
      <c r="C310" s="54"/>
      <c r="D310" s="55"/>
      <c r="F310" s="26"/>
      <c r="G310" s="54"/>
      <c r="H310" s="26"/>
      <c r="I310" s="55"/>
      <c r="K310" s="26"/>
      <c r="L310" s="54"/>
      <c r="M310" s="54"/>
      <c r="N310" s="54"/>
      <c r="O310" s="26"/>
    </row>
    <row r="311">
      <c r="A311" s="26"/>
      <c r="B311" s="53"/>
      <c r="C311" s="54"/>
      <c r="D311" s="55"/>
      <c r="F311" s="26"/>
      <c r="G311" s="54"/>
      <c r="H311" s="26"/>
      <c r="I311" s="55"/>
      <c r="K311" s="26"/>
      <c r="L311" s="54"/>
      <c r="M311" s="54"/>
      <c r="N311" s="54"/>
      <c r="O311" s="26"/>
    </row>
    <row r="312">
      <c r="A312" s="26"/>
      <c r="B312" s="53"/>
      <c r="C312" s="54"/>
      <c r="D312" s="55"/>
      <c r="F312" s="26"/>
      <c r="G312" s="54"/>
      <c r="H312" s="26"/>
      <c r="I312" s="55"/>
      <c r="K312" s="26"/>
      <c r="L312" s="54"/>
      <c r="M312" s="54"/>
      <c r="N312" s="54"/>
      <c r="O312" s="26"/>
    </row>
    <row r="313">
      <c r="A313" s="26"/>
      <c r="B313" s="53"/>
      <c r="C313" s="54"/>
      <c r="D313" s="55"/>
      <c r="F313" s="26"/>
      <c r="G313" s="54"/>
      <c r="H313" s="26"/>
      <c r="I313" s="55"/>
      <c r="K313" s="26"/>
      <c r="L313" s="54"/>
      <c r="M313" s="54"/>
      <c r="N313" s="54"/>
      <c r="O313" s="26"/>
    </row>
    <row r="314">
      <c r="A314" s="26"/>
      <c r="B314" s="53"/>
      <c r="C314" s="54"/>
      <c r="D314" s="55"/>
      <c r="F314" s="26"/>
      <c r="G314" s="54"/>
      <c r="H314" s="26"/>
      <c r="I314" s="55"/>
      <c r="K314" s="26"/>
      <c r="L314" s="54"/>
      <c r="M314" s="54"/>
      <c r="N314" s="54"/>
      <c r="O314" s="26"/>
    </row>
    <row r="315">
      <c r="A315" s="26"/>
      <c r="B315" s="53"/>
      <c r="C315" s="54"/>
      <c r="D315" s="55"/>
      <c r="F315" s="26"/>
      <c r="G315" s="54"/>
      <c r="H315" s="26"/>
      <c r="I315" s="55"/>
      <c r="K315" s="26"/>
      <c r="L315" s="54"/>
      <c r="M315" s="54"/>
      <c r="N315" s="54"/>
      <c r="O315" s="26"/>
    </row>
    <row r="316">
      <c r="A316" s="26"/>
      <c r="B316" s="53"/>
      <c r="C316" s="54"/>
      <c r="D316" s="55"/>
      <c r="F316" s="26"/>
      <c r="G316" s="54"/>
      <c r="H316" s="26"/>
      <c r="I316" s="55"/>
      <c r="K316" s="26"/>
      <c r="L316" s="54"/>
      <c r="M316" s="54"/>
      <c r="N316" s="54"/>
      <c r="O316" s="26"/>
    </row>
    <row r="317">
      <c r="A317" s="26"/>
      <c r="B317" s="53"/>
      <c r="C317" s="54"/>
      <c r="D317" s="55"/>
      <c r="F317" s="26"/>
      <c r="G317" s="54"/>
      <c r="H317" s="26"/>
      <c r="I317" s="55"/>
      <c r="K317" s="26"/>
      <c r="L317" s="54"/>
      <c r="M317" s="54"/>
      <c r="N317" s="54"/>
      <c r="O317" s="26"/>
    </row>
    <row r="318">
      <c r="A318" s="26"/>
      <c r="B318" s="53"/>
      <c r="C318" s="54"/>
      <c r="D318" s="55"/>
      <c r="F318" s="26"/>
      <c r="G318" s="54"/>
      <c r="H318" s="26"/>
      <c r="I318" s="55"/>
      <c r="K318" s="26"/>
      <c r="L318" s="54"/>
      <c r="M318" s="54"/>
      <c r="N318" s="54"/>
      <c r="O318" s="26"/>
    </row>
    <row r="319">
      <c r="A319" s="26"/>
      <c r="B319" s="53"/>
      <c r="C319" s="54"/>
      <c r="D319" s="55"/>
      <c r="F319" s="26"/>
      <c r="G319" s="54"/>
      <c r="H319" s="26"/>
      <c r="I319" s="55"/>
      <c r="K319" s="26"/>
      <c r="L319" s="54"/>
      <c r="M319" s="54"/>
      <c r="N319" s="54"/>
      <c r="O319" s="26"/>
    </row>
    <row r="320">
      <c r="A320" s="26"/>
      <c r="B320" s="53"/>
      <c r="C320" s="54"/>
      <c r="D320" s="55"/>
      <c r="F320" s="26"/>
      <c r="G320" s="54"/>
      <c r="H320" s="26"/>
      <c r="I320" s="55"/>
      <c r="K320" s="26"/>
      <c r="L320" s="54"/>
      <c r="M320" s="54"/>
      <c r="N320" s="54"/>
      <c r="O320" s="26"/>
    </row>
    <row r="321">
      <c r="A321" s="26"/>
      <c r="B321" s="53"/>
      <c r="C321" s="54"/>
      <c r="D321" s="55"/>
      <c r="F321" s="26"/>
      <c r="G321" s="54"/>
      <c r="H321" s="26"/>
      <c r="I321" s="55"/>
      <c r="K321" s="26"/>
      <c r="L321" s="54"/>
      <c r="M321" s="54"/>
      <c r="N321" s="54"/>
      <c r="O321" s="26"/>
    </row>
    <row r="322">
      <c r="A322" s="26"/>
      <c r="B322" s="53"/>
      <c r="C322" s="54"/>
      <c r="D322" s="55"/>
      <c r="F322" s="26"/>
      <c r="G322" s="54"/>
      <c r="H322" s="26"/>
      <c r="I322" s="55"/>
      <c r="K322" s="26"/>
      <c r="L322" s="54"/>
      <c r="M322" s="54"/>
      <c r="N322" s="54"/>
      <c r="O322" s="26"/>
    </row>
    <row r="323">
      <c r="A323" s="26"/>
      <c r="B323" s="53"/>
      <c r="C323" s="54"/>
      <c r="D323" s="55"/>
      <c r="F323" s="26"/>
      <c r="G323" s="54"/>
      <c r="H323" s="26"/>
      <c r="I323" s="55"/>
      <c r="K323" s="26"/>
      <c r="L323" s="54"/>
      <c r="M323" s="54"/>
      <c r="N323" s="54"/>
      <c r="O323" s="26"/>
    </row>
    <row r="324">
      <c r="A324" s="26"/>
      <c r="B324" s="53"/>
      <c r="C324" s="54"/>
      <c r="D324" s="55"/>
      <c r="F324" s="26"/>
      <c r="G324" s="54"/>
      <c r="H324" s="26"/>
      <c r="I324" s="55"/>
      <c r="K324" s="26"/>
      <c r="L324" s="54"/>
      <c r="M324" s="54"/>
      <c r="N324" s="54"/>
      <c r="O324" s="26"/>
    </row>
    <row r="325">
      <c r="A325" s="26"/>
      <c r="B325" s="53"/>
      <c r="C325" s="54"/>
      <c r="D325" s="55"/>
      <c r="F325" s="26"/>
      <c r="G325" s="54"/>
      <c r="H325" s="26"/>
      <c r="I325" s="55"/>
      <c r="K325" s="26"/>
      <c r="L325" s="54"/>
      <c r="M325" s="54"/>
      <c r="N325" s="54"/>
      <c r="O325" s="26"/>
    </row>
    <row r="326">
      <c r="A326" s="26"/>
      <c r="B326" s="53"/>
      <c r="C326" s="54"/>
      <c r="D326" s="55"/>
      <c r="F326" s="26"/>
      <c r="G326" s="54"/>
      <c r="H326" s="26"/>
      <c r="I326" s="55"/>
      <c r="K326" s="26"/>
      <c r="L326" s="54"/>
      <c r="M326" s="54"/>
      <c r="N326" s="54"/>
      <c r="O326" s="26"/>
    </row>
    <row r="327">
      <c r="A327" s="26"/>
      <c r="B327" s="53"/>
      <c r="C327" s="54"/>
      <c r="D327" s="55"/>
      <c r="F327" s="26"/>
      <c r="G327" s="54"/>
      <c r="H327" s="26"/>
      <c r="I327" s="55"/>
      <c r="K327" s="26"/>
      <c r="L327" s="54"/>
      <c r="M327" s="54"/>
      <c r="N327" s="54"/>
      <c r="O327" s="26"/>
    </row>
    <row r="328">
      <c r="A328" s="26"/>
      <c r="B328" s="53"/>
      <c r="C328" s="54"/>
      <c r="D328" s="55"/>
      <c r="F328" s="26"/>
      <c r="G328" s="54"/>
      <c r="H328" s="26"/>
      <c r="I328" s="55"/>
      <c r="K328" s="26"/>
      <c r="L328" s="54"/>
      <c r="M328" s="54"/>
      <c r="N328" s="54"/>
      <c r="O328" s="26"/>
    </row>
    <row r="329">
      <c r="A329" s="26"/>
      <c r="B329" s="53"/>
      <c r="C329" s="54"/>
      <c r="D329" s="55"/>
      <c r="F329" s="26"/>
      <c r="G329" s="54"/>
      <c r="H329" s="26"/>
      <c r="I329" s="55"/>
      <c r="K329" s="26"/>
      <c r="L329" s="54"/>
      <c r="M329" s="54"/>
      <c r="N329" s="54"/>
      <c r="O329" s="26"/>
    </row>
    <row r="330">
      <c r="A330" s="26"/>
      <c r="B330" s="53"/>
      <c r="C330" s="54"/>
      <c r="D330" s="55"/>
      <c r="F330" s="26"/>
      <c r="G330" s="54"/>
      <c r="H330" s="26"/>
      <c r="I330" s="55"/>
      <c r="K330" s="26"/>
      <c r="L330" s="54"/>
      <c r="M330" s="54"/>
      <c r="N330" s="54"/>
      <c r="O330" s="26"/>
    </row>
    <row r="331">
      <c r="A331" s="26"/>
      <c r="B331" s="53"/>
      <c r="C331" s="54"/>
      <c r="D331" s="55"/>
      <c r="F331" s="26"/>
      <c r="G331" s="54"/>
      <c r="H331" s="26"/>
      <c r="I331" s="55"/>
      <c r="K331" s="26"/>
      <c r="L331" s="54"/>
      <c r="M331" s="54"/>
      <c r="N331" s="54"/>
      <c r="O331" s="26"/>
    </row>
    <row r="332">
      <c r="A332" s="26"/>
      <c r="B332" s="53"/>
      <c r="C332" s="54"/>
      <c r="D332" s="55"/>
      <c r="F332" s="26"/>
      <c r="G332" s="54"/>
      <c r="H332" s="26"/>
      <c r="I332" s="55"/>
      <c r="K332" s="26"/>
      <c r="L332" s="54"/>
      <c r="M332" s="54"/>
      <c r="N332" s="54"/>
      <c r="O332" s="26"/>
    </row>
    <row r="333">
      <c r="A333" s="26"/>
      <c r="B333" s="53"/>
      <c r="C333" s="54"/>
      <c r="D333" s="55"/>
      <c r="F333" s="26"/>
      <c r="G333" s="54"/>
      <c r="H333" s="26"/>
      <c r="I333" s="55"/>
      <c r="K333" s="26"/>
      <c r="L333" s="54"/>
      <c r="M333" s="54"/>
      <c r="N333" s="54"/>
      <c r="O333" s="26"/>
    </row>
    <row r="334">
      <c r="A334" s="26"/>
      <c r="B334" s="53"/>
      <c r="C334" s="54"/>
      <c r="D334" s="55"/>
      <c r="F334" s="26"/>
      <c r="G334" s="54"/>
      <c r="H334" s="26"/>
      <c r="I334" s="55"/>
      <c r="K334" s="26"/>
      <c r="L334" s="54"/>
      <c r="M334" s="54"/>
      <c r="N334" s="54"/>
      <c r="O334" s="26"/>
    </row>
    <row r="335">
      <c r="A335" s="26"/>
      <c r="B335" s="53"/>
      <c r="C335" s="54"/>
      <c r="D335" s="55"/>
      <c r="F335" s="26"/>
      <c r="G335" s="54"/>
      <c r="H335" s="26"/>
      <c r="I335" s="55"/>
      <c r="K335" s="26"/>
      <c r="L335" s="54"/>
      <c r="M335" s="54"/>
      <c r="N335" s="54"/>
      <c r="O335" s="26"/>
    </row>
    <row r="336">
      <c r="A336" s="26"/>
      <c r="B336" s="53"/>
      <c r="C336" s="54"/>
      <c r="D336" s="55"/>
      <c r="F336" s="26"/>
      <c r="G336" s="54"/>
      <c r="H336" s="26"/>
      <c r="I336" s="55"/>
      <c r="K336" s="26"/>
      <c r="L336" s="54"/>
      <c r="M336" s="54"/>
      <c r="N336" s="54"/>
      <c r="O336" s="26"/>
    </row>
    <row r="337">
      <c r="A337" s="26"/>
      <c r="B337" s="53"/>
      <c r="C337" s="54"/>
      <c r="D337" s="55"/>
      <c r="F337" s="26"/>
      <c r="G337" s="54"/>
      <c r="H337" s="26"/>
      <c r="I337" s="55"/>
      <c r="K337" s="26"/>
      <c r="L337" s="54"/>
      <c r="M337" s="54"/>
      <c r="N337" s="54"/>
      <c r="O337" s="26"/>
    </row>
    <row r="338">
      <c r="A338" s="26"/>
      <c r="B338" s="53"/>
      <c r="C338" s="54"/>
      <c r="D338" s="55"/>
      <c r="F338" s="26"/>
      <c r="G338" s="54"/>
      <c r="H338" s="26"/>
      <c r="I338" s="55"/>
      <c r="K338" s="26"/>
      <c r="L338" s="54"/>
      <c r="M338" s="54"/>
      <c r="N338" s="54"/>
      <c r="O338" s="26"/>
    </row>
    <row r="339">
      <c r="A339" s="26"/>
      <c r="B339" s="53"/>
      <c r="C339" s="54"/>
      <c r="D339" s="55"/>
      <c r="F339" s="26"/>
      <c r="G339" s="54"/>
      <c r="H339" s="26"/>
      <c r="I339" s="55"/>
      <c r="K339" s="26"/>
      <c r="L339" s="54"/>
      <c r="M339" s="54"/>
      <c r="N339" s="54"/>
      <c r="O339" s="26"/>
    </row>
    <row r="340">
      <c r="A340" s="26"/>
      <c r="B340" s="53"/>
      <c r="C340" s="54"/>
      <c r="D340" s="55"/>
      <c r="F340" s="26"/>
      <c r="G340" s="54"/>
      <c r="H340" s="26"/>
      <c r="I340" s="55"/>
      <c r="K340" s="26"/>
      <c r="L340" s="54"/>
      <c r="M340" s="54"/>
      <c r="N340" s="54"/>
      <c r="O340" s="26"/>
    </row>
    <row r="341">
      <c r="A341" s="26"/>
      <c r="B341" s="53"/>
      <c r="C341" s="54"/>
      <c r="D341" s="55"/>
      <c r="F341" s="26"/>
      <c r="G341" s="54"/>
      <c r="H341" s="26"/>
      <c r="I341" s="55"/>
      <c r="K341" s="26"/>
      <c r="L341" s="54"/>
      <c r="M341" s="54"/>
      <c r="N341" s="54"/>
      <c r="O341" s="26"/>
    </row>
    <row r="342">
      <c r="A342" s="26"/>
      <c r="B342" s="53"/>
      <c r="C342" s="54"/>
      <c r="D342" s="55"/>
      <c r="F342" s="26"/>
      <c r="G342" s="54"/>
      <c r="H342" s="26"/>
      <c r="I342" s="55"/>
      <c r="K342" s="26"/>
      <c r="L342" s="54"/>
      <c r="M342" s="54"/>
      <c r="N342" s="54"/>
      <c r="O342" s="26"/>
    </row>
    <row r="343">
      <c r="A343" s="26"/>
      <c r="B343" s="53"/>
      <c r="C343" s="54"/>
      <c r="D343" s="55"/>
      <c r="F343" s="26"/>
      <c r="G343" s="54"/>
      <c r="H343" s="26"/>
      <c r="I343" s="55"/>
      <c r="K343" s="26"/>
      <c r="L343" s="54"/>
      <c r="M343" s="54"/>
      <c r="N343" s="54"/>
      <c r="O343" s="26"/>
    </row>
    <row r="344">
      <c r="A344" s="26"/>
      <c r="B344" s="53"/>
      <c r="C344" s="54"/>
      <c r="D344" s="55"/>
      <c r="F344" s="26"/>
      <c r="G344" s="54"/>
      <c r="H344" s="26"/>
      <c r="I344" s="55"/>
      <c r="K344" s="26"/>
      <c r="L344" s="54"/>
      <c r="M344" s="54"/>
      <c r="N344" s="54"/>
      <c r="O344" s="26"/>
    </row>
    <row r="345">
      <c r="A345" s="26"/>
      <c r="B345" s="53"/>
      <c r="C345" s="54"/>
      <c r="D345" s="55"/>
      <c r="F345" s="26"/>
      <c r="G345" s="54"/>
      <c r="H345" s="26"/>
      <c r="I345" s="55"/>
      <c r="K345" s="26"/>
      <c r="L345" s="54"/>
      <c r="M345" s="54"/>
      <c r="N345" s="54"/>
      <c r="O345" s="26"/>
    </row>
    <row r="346">
      <c r="A346" s="26"/>
      <c r="B346" s="53"/>
      <c r="C346" s="54"/>
      <c r="D346" s="55"/>
      <c r="F346" s="26"/>
      <c r="G346" s="54"/>
      <c r="H346" s="26"/>
      <c r="I346" s="55"/>
      <c r="K346" s="26"/>
      <c r="L346" s="54"/>
      <c r="M346" s="54"/>
      <c r="N346" s="54"/>
      <c r="O346" s="26"/>
    </row>
    <row r="347">
      <c r="A347" s="26"/>
      <c r="B347" s="53"/>
      <c r="C347" s="54"/>
      <c r="D347" s="55"/>
      <c r="F347" s="26"/>
      <c r="G347" s="54"/>
      <c r="H347" s="26"/>
      <c r="I347" s="55"/>
      <c r="K347" s="26"/>
      <c r="L347" s="54"/>
      <c r="M347" s="54"/>
      <c r="N347" s="54"/>
      <c r="O347" s="26"/>
    </row>
    <row r="348">
      <c r="A348" s="26"/>
      <c r="B348" s="53"/>
      <c r="C348" s="54"/>
      <c r="D348" s="55"/>
      <c r="F348" s="26"/>
      <c r="G348" s="54"/>
      <c r="H348" s="26"/>
      <c r="I348" s="55"/>
      <c r="K348" s="26"/>
      <c r="L348" s="54"/>
      <c r="M348" s="54"/>
      <c r="N348" s="54"/>
      <c r="O348" s="26"/>
    </row>
    <row r="349">
      <c r="A349" s="26"/>
      <c r="B349" s="53"/>
      <c r="C349" s="54"/>
      <c r="D349" s="55"/>
      <c r="F349" s="26"/>
      <c r="G349" s="54"/>
      <c r="H349" s="26"/>
      <c r="I349" s="55"/>
      <c r="K349" s="26"/>
      <c r="L349" s="54"/>
      <c r="M349" s="54"/>
      <c r="N349" s="54"/>
      <c r="O349" s="26"/>
    </row>
    <row r="350">
      <c r="A350" s="26"/>
      <c r="B350" s="53"/>
      <c r="C350" s="54"/>
      <c r="D350" s="55"/>
      <c r="F350" s="26"/>
      <c r="G350" s="54"/>
      <c r="H350" s="26"/>
      <c r="I350" s="55"/>
      <c r="K350" s="26"/>
      <c r="L350" s="54"/>
      <c r="M350" s="54"/>
      <c r="N350" s="54"/>
      <c r="O350" s="26"/>
    </row>
    <row r="351">
      <c r="A351" s="26"/>
      <c r="B351" s="53"/>
      <c r="C351" s="54"/>
      <c r="D351" s="55"/>
      <c r="F351" s="26"/>
      <c r="G351" s="54"/>
      <c r="H351" s="26"/>
      <c r="I351" s="55"/>
      <c r="K351" s="26"/>
      <c r="L351" s="54"/>
      <c r="M351" s="54"/>
      <c r="N351" s="54"/>
      <c r="O351" s="26"/>
    </row>
    <row r="352">
      <c r="A352" s="26"/>
      <c r="B352" s="53"/>
      <c r="C352" s="54"/>
      <c r="D352" s="55"/>
      <c r="F352" s="26"/>
      <c r="G352" s="54"/>
      <c r="H352" s="26"/>
      <c r="I352" s="55"/>
      <c r="K352" s="26"/>
      <c r="L352" s="54"/>
      <c r="M352" s="54"/>
      <c r="N352" s="54"/>
      <c r="O352" s="26"/>
    </row>
    <row r="353">
      <c r="A353" s="26"/>
      <c r="B353" s="53"/>
      <c r="C353" s="54"/>
      <c r="D353" s="55"/>
      <c r="F353" s="26"/>
      <c r="G353" s="54"/>
      <c r="H353" s="26"/>
      <c r="I353" s="55"/>
      <c r="K353" s="26"/>
      <c r="L353" s="54"/>
      <c r="M353" s="54"/>
      <c r="N353" s="54"/>
      <c r="O353" s="26"/>
    </row>
    <row r="354">
      <c r="A354" s="26"/>
      <c r="B354" s="53"/>
      <c r="C354" s="54"/>
      <c r="D354" s="55"/>
      <c r="F354" s="26"/>
      <c r="G354" s="54"/>
      <c r="H354" s="26"/>
      <c r="I354" s="55"/>
      <c r="K354" s="26"/>
      <c r="L354" s="54"/>
      <c r="M354" s="54"/>
      <c r="N354" s="54"/>
      <c r="O354" s="26"/>
    </row>
    <row r="355">
      <c r="A355" s="26"/>
      <c r="B355" s="53"/>
      <c r="C355" s="54"/>
      <c r="D355" s="55"/>
      <c r="F355" s="26"/>
      <c r="G355" s="54"/>
      <c r="H355" s="26"/>
      <c r="I355" s="55"/>
      <c r="K355" s="26"/>
      <c r="L355" s="54"/>
      <c r="M355" s="54"/>
      <c r="N355" s="54"/>
      <c r="O355" s="26"/>
    </row>
    <row r="356">
      <c r="A356" s="26"/>
      <c r="B356" s="53"/>
      <c r="C356" s="54"/>
      <c r="D356" s="55"/>
      <c r="F356" s="26"/>
      <c r="G356" s="54"/>
      <c r="H356" s="26"/>
      <c r="I356" s="55"/>
      <c r="K356" s="26"/>
      <c r="L356" s="54"/>
      <c r="M356" s="54"/>
      <c r="N356" s="54"/>
      <c r="O356" s="26"/>
    </row>
    <row r="357">
      <c r="A357" s="26"/>
      <c r="B357" s="53"/>
      <c r="C357" s="54"/>
      <c r="D357" s="55"/>
      <c r="F357" s="26"/>
      <c r="G357" s="54"/>
      <c r="H357" s="26"/>
      <c r="I357" s="55"/>
      <c r="K357" s="26"/>
      <c r="L357" s="54"/>
      <c r="M357" s="54"/>
      <c r="N357" s="54"/>
      <c r="O357" s="26"/>
    </row>
    <row r="358">
      <c r="A358" s="26"/>
      <c r="B358" s="53"/>
      <c r="C358" s="54"/>
      <c r="D358" s="55"/>
      <c r="F358" s="26"/>
      <c r="G358" s="54"/>
      <c r="H358" s="26"/>
      <c r="I358" s="55"/>
      <c r="K358" s="26"/>
      <c r="L358" s="54"/>
      <c r="M358" s="54"/>
      <c r="N358" s="54"/>
      <c r="O358" s="26"/>
    </row>
    <row r="359">
      <c r="A359" s="26"/>
      <c r="B359" s="53"/>
      <c r="C359" s="54"/>
      <c r="D359" s="55"/>
      <c r="F359" s="26"/>
      <c r="G359" s="54"/>
      <c r="H359" s="26"/>
      <c r="I359" s="55"/>
      <c r="K359" s="26"/>
      <c r="L359" s="54"/>
      <c r="M359" s="54"/>
      <c r="N359" s="54"/>
      <c r="O359" s="26"/>
    </row>
    <row r="360">
      <c r="A360" s="26"/>
      <c r="B360" s="53"/>
      <c r="C360" s="54"/>
      <c r="D360" s="55"/>
      <c r="F360" s="26"/>
      <c r="G360" s="54"/>
      <c r="H360" s="26"/>
      <c r="I360" s="55"/>
      <c r="K360" s="26"/>
      <c r="L360" s="54"/>
      <c r="M360" s="54"/>
      <c r="N360" s="54"/>
      <c r="O360" s="26"/>
    </row>
    <row r="361">
      <c r="A361" s="26"/>
      <c r="B361" s="53"/>
      <c r="C361" s="54"/>
      <c r="D361" s="55"/>
      <c r="F361" s="26"/>
      <c r="G361" s="54"/>
      <c r="H361" s="26"/>
      <c r="I361" s="55"/>
      <c r="K361" s="26"/>
      <c r="L361" s="54"/>
      <c r="M361" s="54"/>
      <c r="N361" s="54"/>
      <c r="O361" s="26"/>
    </row>
    <row r="362">
      <c r="A362" s="26"/>
      <c r="B362" s="53"/>
      <c r="C362" s="54"/>
      <c r="D362" s="55"/>
      <c r="F362" s="26"/>
      <c r="G362" s="54"/>
      <c r="H362" s="26"/>
      <c r="I362" s="55"/>
      <c r="K362" s="26"/>
      <c r="L362" s="54"/>
      <c r="M362" s="54"/>
      <c r="N362" s="54"/>
      <c r="O362" s="26"/>
    </row>
    <row r="363">
      <c r="A363" s="26"/>
      <c r="B363" s="53"/>
      <c r="C363" s="54"/>
      <c r="D363" s="55"/>
      <c r="F363" s="26"/>
      <c r="G363" s="54"/>
      <c r="H363" s="26"/>
      <c r="I363" s="55"/>
      <c r="K363" s="26"/>
      <c r="L363" s="54"/>
      <c r="M363" s="54"/>
      <c r="N363" s="54"/>
      <c r="O363" s="26"/>
    </row>
    <row r="364">
      <c r="A364" s="26"/>
      <c r="B364" s="53"/>
      <c r="C364" s="54"/>
      <c r="D364" s="55"/>
      <c r="F364" s="26"/>
      <c r="G364" s="54"/>
      <c r="H364" s="26"/>
      <c r="I364" s="55"/>
      <c r="K364" s="26"/>
      <c r="L364" s="54"/>
      <c r="M364" s="54"/>
      <c r="N364" s="54"/>
      <c r="O364" s="26"/>
    </row>
    <row r="365">
      <c r="A365" s="26"/>
      <c r="B365" s="53"/>
      <c r="C365" s="54"/>
      <c r="D365" s="55"/>
      <c r="F365" s="26"/>
      <c r="G365" s="54"/>
      <c r="H365" s="26"/>
      <c r="I365" s="55"/>
      <c r="K365" s="26"/>
      <c r="L365" s="54"/>
      <c r="M365" s="54"/>
      <c r="N365" s="54"/>
      <c r="O365" s="26"/>
    </row>
    <row r="366">
      <c r="A366" s="26"/>
      <c r="B366" s="53"/>
      <c r="C366" s="54"/>
      <c r="D366" s="55"/>
      <c r="F366" s="26"/>
      <c r="G366" s="54"/>
      <c r="H366" s="26"/>
      <c r="I366" s="55"/>
      <c r="K366" s="26"/>
      <c r="L366" s="54"/>
      <c r="M366" s="54"/>
      <c r="N366" s="54"/>
      <c r="O366" s="26"/>
    </row>
    <row r="367">
      <c r="A367" s="26"/>
      <c r="B367" s="53"/>
      <c r="C367" s="54"/>
      <c r="D367" s="55"/>
      <c r="F367" s="26"/>
      <c r="G367" s="54"/>
      <c r="H367" s="26"/>
      <c r="I367" s="55"/>
      <c r="K367" s="26"/>
      <c r="L367" s="54"/>
      <c r="M367" s="54"/>
      <c r="N367" s="54"/>
      <c r="O367" s="26"/>
    </row>
    <row r="368">
      <c r="A368" s="26"/>
      <c r="B368" s="53"/>
      <c r="C368" s="54"/>
      <c r="D368" s="55"/>
      <c r="F368" s="26"/>
      <c r="G368" s="54"/>
      <c r="H368" s="26"/>
      <c r="I368" s="55"/>
      <c r="K368" s="26"/>
      <c r="L368" s="54"/>
      <c r="M368" s="54"/>
      <c r="N368" s="54"/>
      <c r="O368" s="26"/>
    </row>
    <row r="369">
      <c r="A369" s="26"/>
      <c r="B369" s="53"/>
      <c r="C369" s="54"/>
      <c r="D369" s="55"/>
      <c r="F369" s="26"/>
      <c r="G369" s="54"/>
      <c r="H369" s="26"/>
      <c r="I369" s="55"/>
      <c r="K369" s="26"/>
      <c r="L369" s="54"/>
      <c r="M369" s="54"/>
      <c r="N369" s="54"/>
      <c r="O369" s="26"/>
    </row>
    <row r="370">
      <c r="A370" s="26"/>
      <c r="B370" s="53"/>
      <c r="C370" s="54"/>
      <c r="D370" s="55"/>
      <c r="F370" s="26"/>
      <c r="G370" s="54"/>
      <c r="H370" s="26"/>
      <c r="I370" s="55"/>
      <c r="K370" s="26"/>
      <c r="L370" s="54"/>
      <c r="M370" s="54"/>
      <c r="N370" s="54"/>
      <c r="O370" s="26"/>
    </row>
    <row r="371">
      <c r="A371" s="26"/>
      <c r="B371" s="53"/>
      <c r="C371" s="54"/>
      <c r="D371" s="55"/>
      <c r="F371" s="26"/>
      <c r="G371" s="54"/>
      <c r="H371" s="26"/>
      <c r="I371" s="55"/>
      <c r="K371" s="26"/>
      <c r="L371" s="54"/>
      <c r="M371" s="54"/>
      <c r="N371" s="54"/>
      <c r="O371" s="26"/>
    </row>
    <row r="372">
      <c r="A372" s="26"/>
      <c r="B372" s="53"/>
      <c r="C372" s="54"/>
      <c r="D372" s="55"/>
      <c r="F372" s="26"/>
      <c r="G372" s="54"/>
      <c r="H372" s="26"/>
      <c r="I372" s="55"/>
      <c r="K372" s="26"/>
      <c r="L372" s="54"/>
      <c r="M372" s="54"/>
      <c r="N372" s="54"/>
      <c r="O372" s="26"/>
    </row>
    <row r="373">
      <c r="A373" s="26"/>
      <c r="B373" s="53"/>
      <c r="C373" s="54"/>
      <c r="D373" s="55"/>
      <c r="F373" s="26"/>
      <c r="G373" s="54"/>
      <c r="H373" s="26"/>
      <c r="I373" s="55"/>
      <c r="K373" s="26"/>
      <c r="L373" s="54"/>
      <c r="M373" s="54"/>
      <c r="N373" s="54"/>
      <c r="O373" s="26"/>
    </row>
    <row r="374">
      <c r="A374" s="26"/>
      <c r="B374" s="53"/>
      <c r="C374" s="54"/>
      <c r="D374" s="55"/>
      <c r="F374" s="26"/>
      <c r="G374" s="54"/>
      <c r="H374" s="26"/>
      <c r="I374" s="55"/>
      <c r="K374" s="26"/>
      <c r="L374" s="54"/>
      <c r="M374" s="54"/>
      <c r="N374" s="54"/>
      <c r="O374" s="26"/>
    </row>
    <row r="375">
      <c r="A375" s="26"/>
      <c r="B375" s="53"/>
      <c r="C375" s="54"/>
      <c r="D375" s="55"/>
      <c r="F375" s="26"/>
      <c r="G375" s="54"/>
      <c r="H375" s="26"/>
      <c r="I375" s="55"/>
      <c r="K375" s="26"/>
      <c r="L375" s="54"/>
      <c r="M375" s="54"/>
      <c r="N375" s="54"/>
      <c r="O375" s="26"/>
    </row>
    <row r="376">
      <c r="A376" s="26"/>
      <c r="B376" s="53"/>
      <c r="C376" s="54"/>
      <c r="D376" s="55"/>
      <c r="F376" s="26"/>
      <c r="G376" s="54"/>
      <c r="H376" s="26"/>
      <c r="I376" s="55"/>
      <c r="K376" s="26"/>
      <c r="L376" s="54"/>
      <c r="M376" s="54"/>
      <c r="N376" s="54"/>
      <c r="O376" s="26"/>
    </row>
    <row r="377">
      <c r="A377" s="26"/>
      <c r="B377" s="53"/>
      <c r="C377" s="54"/>
      <c r="D377" s="55"/>
      <c r="F377" s="26"/>
      <c r="G377" s="54"/>
      <c r="H377" s="26"/>
      <c r="I377" s="55"/>
      <c r="K377" s="26"/>
      <c r="L377" s="54"/>
      <c r="M377" s="54"/>
      <c r="N377" s="54"/>
      <c r="O377" s="26"/>
    </row>
    <row r="378">
      <c r="A378" s="26"/>
      <c r="B378" s="53"/>
      <c r="C378" s="54"/>
      <c r="D378" s="55"/>
      <c r="F378" s="26"/>
      <c r="G378" s="54"/>
      <c r="H378" s="26"/>
      <c r="I378" s="55"/>
      <c r="K378" s="26"/>
      <c r="L378" s="54"/>
      <c r="M378" s="54"/>
      <c r="N378" s="54"/>
      <c r="O378" s="26"/>
    </row>
    <row r="379">
      <c r="A379" s="26"/>
      <c r="B379" s="53"/>
      <c r="C379" s="54"/>
      <c r="D379" s="55"/>
      <c r="F379" s="26"/>
      <c r="G379" s="54"/>
      <c r="H379" s="26"/>
      <c r="I379" s="55"/>
      <c r="K379" s="26"/>
      <c r="L379" s="54"/>
      <c r="M379" s="54"/>
      <c r="N379" s="54"/>
      <c r="O379" s="26"/>
    </row>
    <row r="380">
      <c r="A380" s="26"/>
      <c r="B380" s="53"/>
      <c r="C380" s="54"/>
      <c r="D380" s="55"/>
      <c r="F380" s="26"/>
      <c r="G380" s="54"/>
      <c r="H380" s="26"/>
      <c r="I380" s="55"/>
      <c r="K380" s="26"/>
      <c r="L380" s="54"/>
      <c r="M380" s="54"/>
      <c r="N380" s="54"/>
      <c r="O380" s="26"/>
    </row>
    <row r="381">
      <c r="A381" s="26"/>
      <c r="B381" s="53"/>
      <c r="C381" s="54"/>
      <c r="D381" s="55"/>
      <c r="F381" s="26"/>
      <c r="G381" s="54"/>
      <c r="H381" s="26"/>
      <c r="I381" s="55"/>
      <c r="K381" s="26"/>
      <c r="L381" s="54"/>
      <c r="M381" s="54"/>
      <c r="N381" s="54"/>
      <c r="O381" s="26"/>
    </row>
    <row r="382">
      <c r="A382" s="26"/>
      <c r="B382" s="53"/>
      <c r="C382" s="54"/>
      <c r="D382" s="55"/>
      <c r="F382" s="26"/>
      <c r="G382" s="54"/>
      <c r="H382" s="26"/>
      <c r="I382" s="55"/>
      <c r="K382" s="26"/>
      <c r="L382" s="54"/>
      <c r="M382" s="54"/>
      <c r="N382" s="54"/>
      <c r="O382" s="26"/>
    </row>
    <row r="383">
      <c r="A383" s="26"/>
      <c r="B383" s="53"/>
      <c r="C383" s="54"/>
      <c r="D383" s="55"/>
      <c r="F383" s="26"/>
      <c r="G383" s="54"/>
      <c r="H383" s="26"/>
      <c r="I383" s="55"/>
      <c r="K383" s="26"/>
      <c r="L383" s="54"/>
      <c r="M383" s="54"/>
      <c r="N383" s="54"/>
      <c r="O383" s="26"/>
    </row>
    <row r="384">
      <c r="A384" s="26"/>
      <c r="B384" s="53"/>
      <c r="C384" s="54"/>
      <c r="D384" s="55"/>
      <c r="F384" s="26"/>
      <c r="G384" s="54"/>
      <c r="H384" s="26"/>
      <c r="I384" s="55"/>
      <c r="K384" s="26"/>
      <c r="L384" s="54"/>
      <c r="M384" s="54"/>
      <c r="N384" s="54"/>
      <c r="O384" s="26"/>
    </row>
    <row r="385">
      <c r="A385" s="26"/>
      <c r="B385" s="53"/>
      <c r="C385" s="54"/>
      <c r="D385" s="55"/>
      <c r="F385" s="26"/>
      <c r="G385" s="54"/>
      <c r="H385" s="26"/>
      <c r="I385" s="55"/>
      <c r="K385" s="26"/>
      <c r="L385" s="54"/>
      <c r="M385" s="54"/>
      <c r="N385" s="54"/>
      <c r="O385" s="26"/>
    </row>
    <row r="386">
      <c r="A386" s="26"/>
      <c r="B386" s="53"/>
      <c r="C386" s="54"/>
      <c r="D386" s="55"/>
      <c r="F386" s="26"/>
      <c r="G386" s="54"/>
      <c r="H386" s="26"/>
      <c r="I386" s="55"/>
      <c r="K386" s="26"/>
      <c r="L386" s="54"/>
      <c r="M386" s="54"/>
      <c r="N386" s="54"/>
      <c r="O386" s="26"/>
    </row>
    <row r="387">
      <c r="A387" s="26"/>
      <c r="B387" s="53"/>
      <c r="C387" s="54"/>
      <c r="D387" s="55"/>
      <c r="F387" s="26"/>
      <c r="G387" s="54"/>
      <c r="H387" s="26"/>
      <c r="I387" s="55"/>
      <c r="K387" s="26"/>
      <c r="L387" s="54"/>
      <c r="M387" s="54"/>
      <c r="N387" s="54"/>
      <c r="O387" s="26"/>
    </row>
    <row r="388">
      <c r="A388" s="26"/>
      <c r="B388" s="53"/>
      <c r="C388" s="54"/>
      <c r="D388" s="55"/>
      <c r="F388" s="26"/>
      <c r="G388" s="54"/>
      <c r="H388" s="26"/>
      <c r="I388" s="55"/>
      <c r="K388" s="26"/>
      <c r="L388" s="54"/>
      <c r="M388" s="54"/>
      <c r="N388" s="54"/>
      <c r="O388" s="26"/>
    </row>
    <row r="389">
      <c r="A389" s="26"/>
      <c r="B389" s="53"/>
      <c r="C389" s="54"/>
      <c r="D389" s="55"/>
      <c r="F389" s="26"/>
      <c r="G389" s="54"/>
      <c r="H389" s="26"/>
      <c r="I389" s="55"/>
      <c r="K389" s="26"/>
      <c r="L389" s="54"/>
      <c r="M389" s="54"/>
      <c r="N389" s="54"/>
      <c r="O389" s="26"/>
    </row>
    <row r="390">
      <c r="A390" s="26"/>
      <c r="B390" s="53"/>
      <c r="C390" s="54"/>
      <c r="D390" s="55"/>
      <c r="F390" s="26"/>
      <c r="G390" s="54"/>
      <c r="H390" s="26"/>
      <c r="I390" s="55"/>
      <c r="K390" s="26"/>
      <c r="L390" s="54"/>
      <c r="M390" s="54"/>
      <c r="N390" s="54"/>
      <c r="O390" s="26"/>
    </row>
    <row r="391">
      <c r="A391" s="26"/>
      <c r="B391" s="53"/>
      <c r="C391" s="54"/>
      <c r="D391" s="55"/>
      <c r="F391" s="26"/>
      <c r="G391" s="54"/>
      <c r="H391" s="26"/>
      <c r="I391" s="55"/>
      <c r="K391" s="26"/>
      <c r="L391" s="54"/>
      <c r="M391" s="54"/>
      <c r="N391" s="54"/>
      <c r="O391" s="26"/>
    </row>
    <row r="392">
      <c r="A392" s="26"/>
      <c r="B392" s="53"/>
      <c r="C392" s="54"/>
      <c r="D392" s="55"/>
      <c r="F392" s="26"/>
      <c r="G392" s="54"/>
      <c r="H392" s="26"/>
      <c r="I392" s="55"/>
      <c r="K392" s="26"/>
      <c r="L392" s="54"/>
      <c r="M392" s="54"/>
      <c r="N392" s="54"/>
      <c r="O392" s="26"/>
    </row>
    <row r="393">
      <c r="A393" s="26"/>
      <c r="B393" s="53"/>
      <c r="C393" s="54"/>
      <c r="D393" s="55"/>
      <c r="F393" s="26"/>
      <c r="G393" s="54"/>
      <c r="H393" s="26"/>
      <c r="I393" s="55"/>
      <c r="K393" s="26"/>
      <c r="L393" s="54"/>
      <c r="M393" s="54"/>
      <c r="N393" s="54"/>
      <c r="O393" s="26"/>
    </row>
    <row r="394">
      <c r="A394" s="26"/>
      <c r="B394" s="53"/>
      <c r="C394" s="54"/>
      <c r="D394" s="55"/>
      <c r="F394" s="26"/>
      <c r="G394" s="54"/>
      <c r="H394" s="26"/>
      <c r="I394" s="55"/>
      <c r="K394" s="26"/>
      <c r="L394" s="54"/>
      <c r="M394" s="54"/>
      <c r="N394" s="54"/>
      <c r="O394" s="26"/>
    </row>
    <row r="395">
      <c r="A395" s="26"/>
      <c r="B395" s="53"/>
      <c r="C395" s="54"/>
      <c r="D395" s="55"/>
      <c r="F395" s="26"/>
      <c r="G395" s="54"/>
      <c r="H395" s="26"/>
      <c r="I395" s="55"/>
      <c r="K395" s="26"/>
      <c r="L395" s="54"/>
      <c r="M395" s="54"/>
      <c r="N395" s="54"/>
      <c r="O395" s="26"/>
    </row>
    <row r="396">
      <c r="A396" s="26"/>
      <c r="B396" s="53"/>
      <c r="C396" s="54"/>
      <c r="D396" s="55"/>
      <c r="F396" s="26"/>
      <c r="G396" s="54"/>
      <c r="H396" s="26"/>
      <c r="I396" s="55"/>
      <c r="K396" s="26"/>
      <c r="L396" s="54"/>
      <c r="M396" s="54"/>
      <c r="N396" s="54"/>
      <c r="O396" s="26"/>
    </row>
    <row r="397">
      <c r="A397" s="26"/>
      <c r="B397" s="53"/>
      <c r="C397" s="54"/>
      <c r="D397" s="55"/>
      <c r="F397" s="26"/>
      <c r="G397" s="54"/>
      <c r="H397" s="26"/>
      <c r="I397" s="55"/>
      <c r="K397" s="26"/>
      <c r="L397" s="54"/>
      <c r="M397" s="54"/>
      <c r="N397" s="54"/>
      <c r="O397" s="26"/>
    </row>
    <row r="398">
      <c r="A398" s="26"/>
      <c r="B398" s="53"/>
      <c r="C398" s="54"/>
      <c r="D398" s="55"/>
      <c r="F398" s="26"/>
      <c r="G398" s="54"/>
      <c r="H398" s="26"/>
      <c r="I398" s="55"/>
      <c r="K398" s="26"/>
      <c r="L398" s="54"/>
      <c r="M398" s="54"/>
      <c r="N398" s="54"/>
      <c r="O398" s="26"/>
    </row>
    <row r="399">
      <c r="A399" s="26"/>
      <c r="B399" s="53"/>
      <c r="C399" s="54"/>
      <c r="D399" s="55"/>
      <c r="F399" s="26"/>
      <c r="G399" s="54"/>
      <c r="H399" s="26"/>
      <c r="I399" s="55"/>
      <c r="K399" s="26"/>
      <c r="L399" s="54"/>
      <c r="M399" s="54"/>
      <c r="N399" s="54"/>
      <c r="O399" s="26"/>
    </row>
    <row r="400">
      <c r="A400" s="26"/>
      <c r="B400" s="53"/>
      <c r="C400" s="54"/>
      <c r="D400" s="55"/>
      <c r="F400" s="26"/>
      <c r="G400" s="54"/>
      <c r="H400" s="26"/>
      <c r="I400" s="55"/>
      <c r="K400" s="26"/>
      <c r="L400" s="54"/>
      <c r="M400" s="54"/>
      <c r="N400" s="54"/>
      <c r="O400" s="26"/>
    </row>
    <row r="401">
      <c r="A401" s="26"/>
      <c r="B401" s="53"/>
      <c r="C401" s="54"/>
      <c r="D401" s="55"/>
      <c r="F401" s="26"/>
      <c r="G401" s="54"/>
      <c r="H401" s="26"/>
      <c r="I401" s="55"/>
      <c r="K401" s="26"/>
      <c r="L401" s="54"/>
      <c r="M401" s="54"/>
      <c r="N401" s="54"/>
      <c r="O401" s="26"/>
    </row>
    <row r="402">
      <c r="A402" s="26"/>
      <c r="B402" s="53"/>
      <c r="C402" s="54"/>
      <c r="D402" s="55"/>
      <c r="F402" s="26"/>
      <c r="G402" s="54"/>
      <c r="H402" s="26"/>
      <c r="I402" s="55"/>
      <c r="K402" s="26"/>
      <c r="L402" s="54"/>
      <c r="M402" s="54"/>
      <c r="N402" s="54"/>
      <c r="O402" s="26"/>
    </row>
    <row r="403">
      <c r="A403" s="26"/>
      <c r="B403" s="53"/>
      <c r="C403" s="54"/>
      <c r="D403" s="55"/>
      <c r="F403" s="26"/>
      <c r="G403" s="54"/>
      <c r="H403" s="26"/>
      <c r="I403" s="55"/>
      <c r="K403" s="26"/>
      <c r="L403" s="54"/>
      <c r="M403" s="54"/>
      <c r="N403" s="54"/>
      <c r="O403" s="26"/>
    </row>
    <row r="404">
      <c r="A404" s="26"/>
      <c r="B404" s="53"/>
      <c r="C404" s="54"/>
      <c r="D404" s="55"/>
      <c r="F404" s="26"/>
      <c r="G404" s="54"/>
      <c r="H404" s="26"/>
      <c r="I404" s="55"/>
      <c r="K404" s="26"/>
      <c r="L404" s="54"/>
      <c r="M404" s="54"/>
      <c r="N404" s="54"/>
      <c r="O404" s="26"/>
    </row>
    <row r="405">
      <c r="A405" s="26"/>
      <c r="B405" s="53"/>
      <c r="C405" s="54"/>
      <c r="D405" s="55"/>
      <c r="F405" s="26"/>
      <c r="G405" s="54"/>
      <c r="H405" s="26"/>
      <c r="I405" s="55"/>
      <c r="K405" s="26"/>
      <c r="L405" s="54"/>
      <c r="M405" s="54"/>
      <c r="N405" s="54"/>
      <c r="O405" s="26"/>
    </row>
    <row r="406">
      <c r="A406" s="26"/>
      <c r="B406" s="53"/>
      <c r="C406" s="54"/>
      <c r="D406" s="55"/>
      <c r="F406" s="26"/>
      <c r="G406" s="54"/>
      <c r="H406" s="26"/>
      <c r="I406" s="55"/>
      <c r="K406" s="26"/>
      <c r="L406" s="54"/>
      <c r="M406" s="54"/>
      <c r="N406" s="54"/>
      <c r="O406" s="26"/>
    </row>
    <row r="407">
      <c r="A407" s="26"/>
      <c r="B407" s="53"/>
      <c r="C407" s="54"/>
      <c r="D407" s="55"/>
      <c r="F407" s="26"/>
      <c r="G407" s="54"/>
      <c r="H407" s="26"/>
      <c r="I407" s="55"/>
      <c r="K407" s="26"/>
      <c r="L407" s="54"/>
      <c r="M407" s="54"/>
      <c r="N407" s="54"/>
      <c r="O407" s="26"/>
    </row>
    <row r="408">
      <c r="A408" s="26"/>
      <c r="B408" s="53"/>
      <c r="C408" s="54"/>
      <c r="D408" s="55"/>
      <c r="F408" s="26"/>
      <c r="G408" s="54"/>
      <c r="H408" s="26"/>
      <c r="I408" s="55"/>
      <c r="K408" s="26"/>
      <c r="L408" s="54"/>
      <c r="M408" s="54"/>
      <c r="N408" s="54"/>
      <c r="O408" s="26"/>
    </row>
    <row r="409">
      <c r="A409" s="26"/>
      <c r="B409" s="53"/>
      <c r="C409" s="54"/>
      <c r="D409" s="55"/>
      <c r="F409" s="26"/>
      <c r="G409" s="54"/>
      <c r="H409" s="26"/>
      <c r="I409" s="55"/>
      <c r="K409" s="26"/>
      <c r="L409" s="54"/>
      <c r="M409" s="54"/>
      <c r="N409" s="54"/>
      <c r="O409" s="26"/>
    </row>
    <row r="410">
      <c r="A410" s="26"/>
      <c r="B410" s="53"/>
      <c r="C410" s="54"/>
      <c r="D410" s="55"/>
      <c r="F410" s="26"/>
      <c r="G410" s="54"/>
      <c r="H410" s="26"/>
      <c r="I410" s="55"/>
      <c r="K410" s="26"/>
      <c r="L410" s="54"/>
      <c r="M410" s="54"/>
      <c r="N410" s="54"/>
      <c r="O410" s="26"/>
    </row>
    <row r="411">
      <c r="A411" s="26"/>
      <c r="B411" s="53"/>
      <c r="C411" s="54"/>
      <c r="D411" s="55"/>
      <c r="F411" s="26"/>
      <c r="G411" s="54"/>
      <c r="H411" s="26"/>
      <c r="I411" s="55"/>
      <c r="K411" s="26"/>
      <c r="L411" s="54"/>
      <c r="M411" s="54"/>
      <c r="N411" s="54"/>
      <c r="O411" s="26"/>
    </row>
    <row r="412">
      <c r="A412" s="26"/>
      <c r="B412" s="53"/>
      <c r="C412" s="54"/>
      <c r="D412" s="55"/>
      <c r="F412" s="26"/>
      <c r="G412" s="54"/>
      <c r="H412" s="26"/>
      <c r="I412" s="55"/>
      <c r="K412" s="26"/>
      <c r="L412" s="54"/>
      <c r="M412" s="54"/>
      <c r="N412" s="54"/>
      <c r="O412" s="26"/>
    </row>
    <row r="413">
      <c r="A413" s="26"/>
      <c r="B413" s="53"/>
      <c r="C413" s="54"/>
      <c r="D413" s="55"/>
      <c r="F413" s="26"/>
      <c r="G413" s="54"/>
      <c r="H413" s="26"/>
      <c r="I413" s="55"/>
      <c r="K413" s="26"/>
      <c r="L413" s="54"/>
      <c r="M413" s="54"/>
      <c r="N413" s="54"/>
      <c r="O413" s="26"/>
    </row>
    <row r="414">
      <c r="A414" s="26"/>
      <c r="B414" s="53"/>
      <c r="C414" s="54"/>
      <c r="D414" s="55"/>
      <c r="F414" s="26"/>
      <c r="G414" s="54"/>
      <c r="H414" s="26"/>
      <c r="I414" s="55"/>
      <c r="K414" s="26"/>
      <c r="L414" s="54"/>
      <c r="M414" s="54"/>
      <c r="N414" s="54"/>
      <c r="O414" s="26"/>
    </row>
    <row r="415">
      <c r="A415" s="26"/>
      <c r="B415" s="53"/>
      <c r="C415" s="54"/>
      <c r="D415" s="55"/>
      <c r="F415" s="26"/>
      <c r="G415" s="54"/>
      <c r="H415" s="26"/>
      <c r="I415" s="55"/>
      <c r="K415" s="26"/>
      <c r="L415" s="54"/>
      <c r="M415" s="54"/>
      <c r="N415" s="54"/>
      <c r="O415" s="26"/>
    </row>
    <row r="416">
      <c r="A416" s="26"/>
      <c r="B416" s="53"/>
      <c r="C416" s="54"/>
      <c r="D416" s="55"/>
      <c r="F416" s="26"/>
      <c r="G416" s="54"/>
      <c r="H416" s="26"/>
      <c r="I416" s="55"/>
      <c r="K416" s="26"/>
      <c r="L416" s="54"/>
      <c r="M416" s="54"/>
      <c r="N416" s="54"/>
      <c r="O416" s="26"/>
    </row>
    <row r="417">
      <c r="A417" s="26"/>
      <c r="B417" s="53"/>
      <c r="C417" s="54"/>
      <c r="D417" s="55"/>
      <c r="F417" s="26"/>
      <c r="G417" s="54"/>
      <c r="H417" s="26"/>
      <c r="I417" s="55"/>
      <c r="K417" s="26"/>
      <c r="L417" s="54"/>
      <c r="M417" s="54"/>
      <c r="N417" s="54"/>
      <c r="O417" s="26"/>
    </row>
    <row r="418">
      <c r="A418" s="26"/>
      <c r="B418" s="53"/>
      <c r="C418" s="54"/>
      <c r="D418" s="55"/>
      <c r="F418" s="26"/>
      <c r="G418" s="54"/>
      <c r="H418" s="26"/>
      <c r="I418" s="55"/>
      <c r="K418" s="26"/>
      <c r="L418" s="54"/>
      <c r="M418" s="54"/>
      <c r="N418" s="54"/>
      <c r="O418" s="26"/>
    </row>
    <row r="419">
      <c r="A419" s="26"/>
      <c r="B419" s="53"/>
      <c r="C419" s="54"/>
      <c r="D419" s="55"/>
      <c r="F419" s="26"/>
      <c r="G419" s="54"/>
      <c r="H419" s="26"/>
      <c r="I419" s="55"/>
      <c r="K419" s="26"/>
      <c r="L419" s="54"/>
      <c r="M419" s="54"/>
      <c r="N419" s="54"/>
      <c r="O419" s="26"/>
    </row>
    <row r="420">
      <c r="A420" s="26"/>
      <c r="B420" s="53"/>
      <c r="C420" s="54"/>
      <c r="D420" s="55"/>
      <c r="F420" s="26"/>
      <c r="G420" s="54"/>
      <c r="H420" s="26"/>
      <c r="I420" s="55"/>
      <c r="K420" s="26"/>
      <c r="L420" s="54"/>
      <c r="M420" s="54"/>
      <c r="N420" s="54"/>
      <c r="O420" s="26"/>
    </row>
    <row r="421">
      <c r="A421" s="26"/>
      <c r="B421" s="53"/>
      <c r="C421" s="54"/>
      <c r="D421" s="55"/>
      <c r="F421" s="26"/>
      <c r="G421" s="54"/>
      <c r="H421" s="26"/>
      <c r="I421" s="55"/>
      <c r="K421" s="26"/>
      <c r="L421" s="54"/>
      <c r="M421" s="54"/>
      <c r="N421" s="54"/>
      <c r="O421" s="26"/>
    </row>
    <row r="422">
      <c r="A422" s="26"/>
      <c r="B422" s="53"/>
      <c r="C422" s="54"/>
      <c r="D422" s="55"/>
      <c r="F422" s="26"/>
      <c r="G422" s="54"/>
      <c r="H422" s="26"/>
      <c r="I422" s="55"/>
      <c r="K422" s="26"/>
      <c r="L422" s="54"/>
      <c r="M422" s="54"/>
      <c r="N422" s="54"/>
      <c r="O422" s="26"/>
    </row>
    <row r="423">
      <c r="A423" s="26"/>
      <c r="B423" s="53"/>
      <c r="C423" s="54"/>
      <c r="D423" s="55"/>
      <c r="F423" s="26"/>
      <c r="G423" s="54"/>
      <c r="H423" s="26"/>
      <c r="I423" s="55"/>
      <c r="K423" s="26"/>
      <c r="L423" s="54"/>
      <c r="M423" s="54"/>
      <c r="N423" s="54"/>
      <c r="O423" s="26"/>
    </row>
    <row r="424">
      <c r="A424" s="26"/>
      <c r="B424" s="53"/>
      <c r="C424" s="54"/>
      <c r="D424" s="55"/>
      <c r="F424" s="26"/>
      <c r="G424" s="54"/>
      <c r="H424" s="26"/>
      <c r="I424" s="55"/>
      <c r="K424" s="26"/>
      <c r="L424" s="54"/>
      <c r="M424" s="54"/>
      <c r="N424" s="54"/>
      <c r="O424" s="26"/>
    </row>
    <row r="425">
      <c r="A425" s="26"/>
      <c r="B425" s="53"/>
      <c r="C425" s="54"/>
      <c r="D425" s="55"/>
      <c r="F425" s="26"/>
      <c r="G425" s="54"/>
      <c r="H425" s="26"/>
      <c r="I425" s="55"/>
      <c r="K425" s="26"/>
      <c r="L425" s="54"/>
      <c r="M425" s="54"/>
      <c r="N425" s="54"/>
      <c r="O425" s="26"/>
    </row>
    <row r="426">
      <c r="A426" s="26"/>
      <c r="B426" s="53"/>
      <c r="C426" s="54"/>
      <c r="D426" s="55"/>
      <c r="F426" s="26"/>
      <c r="G426" s="54"/>
      <c r="H426" s="26"/>
      <c r="I426" s="55"/>
      <c r="K426" s="26"/>
      <c r="L426" s="54"/>
      <c r="M426" s="54"/>
      <c r="N426" s="54"/>
      <c r="O426" s="26"/>
    </row>
    <row r="427">
      <c r="A427" s="26"/>
      <c r="B427" s="53"/>
      <c r="C427" s="54"/>
      <c r="D427" s="55"/>
      <c r="F427" s="26"/>
      <c r="G427" s="54"/>
      <c r="H427" s="26"/>
      <c r="I427" s="55"/>
      <c r="K427" s="26"/>
      <c r="L427" s="54"/>
      <c r="M427" s="54"/>
      <c r="N427" s="54"/>
      <c r="O427" s="26"/>
    </row>
    <row r="428">
      <c r="A428" s="26"/>
      <c r="B428" s="53"/>
      <c r="C428" s="54"/>
      <c r="D428" s="55"/>
      <c r="F428" s="26"/>
      <c r="G428" s="54"/>
      <c r="H428" s="26"/>
      <c r="I428" s="55"/>
      <c r="K428" s="26"/>
      <c r="L428" s="54"/>
      <c r="M428" s="54"/>
      <c r="N428" s="54"/>
      <c r="O428" s="26"/>
    </row>
    <row r="429">
      <c r="A429" s="26"/>
      <c r="B429" s="53"/>
      <c r="C429" s="54"/>
      <c r="D429" s="55"/>
      <c r="F429" s="26"/>
      <c r="G429" s="54"/>
      <c r="H429" s="26"/>
      <c r="I429" s="55"/>
      <c r="K429" s="26"/>
      <c r="L429" s="54"/>
      <c r="M429" s="54"/>
      <c r="N429" s="54"/>
      <c r="O429" s="26"/>
    </row>
    <row r="430">
      <c r="A430" s="26"/>
      <c r="B430" s="53"/>
      <c r="C430" s="54"/>
      <c r="D430" s="55"/>
      <c r="F430" s="26"/>
      <c r="G430" s="54"/>
      <c r="H430" s="26"/>
      <c r="I430" s="55"/>
      <c r="K430" s="26"/>
      <c r="L430" s="54"/>
      <c r="M430" s="54"/>
      <c r="N430" s="54"/>
      <c r="O430" s="26"/>
    </row>
    <row r="431">
      <c r="A431" s="26"/>
      <c r="B431" s="53"/>
      <c r="C431" s="54"/>
      <c r="D431" s="55"/>
      <c r="F431" s="26"/>
      <c r="G431" s="54"/>
      <c r="H431" s="26"/>
      <c r="I431" s="55"/>
      <c r="K431" s="26"/>
      <c r="L431" s="54"/>
      <c r="M431" s="54"/>
      <c r="N431" s="54"/>
      <c r="O431" s="26"/>
    </row>
    <row r="432">
      <c r="A432" s="26"/>
      <c r="B432" s="53"/>
      <c r="C432" s="54"/>
      <c r="D432" s="55"/>
      <c r="F432" s="26"/>
      <c r="G432" s="54"/>
      <c r="H432" s="26"/>
      <c r="I432" s="55"/>
      <c r="K432" s="26"/>
      <c r="L432" s="54"/>
      <c r="M432" s="54"/>
      <c r="N432" s="54"/>
      <c r="O432" s="26"/>
    </row>
    <row r="433">
      <c r="A433" s="26"/>
      <c r="B433" s="53"/>
      <c r="C433" s="54"/>
      <c r="D433" s="55"/>
      <c r="F433" s="26"/>
      <c r="G433" s="54"/>
      <c r="H433" s="26"/>
      <c r="I433" s="55"/>
      <c r="K433" s="26"/>
      <c r="L433" s="54"/>
      <c r="M433" s="54"/>
      <c r="N433" s="54"/>
      <c r="O433" s="26"/>
    </row>
    <row r="434">
      <c r="A434" s="26"/>
      <c r="B434" s="53"/>
      <c r="C434" s="54"/>
      <c r="D434" s="55"/>
      <c r="F434" s="26"/>
      <c r="G434" s="54"/>
      <c r="H434" s="26"/>
      <c r="I434" s="55"/>
      <c r="K434" s="26"/>
      <c r="L434" s="54"/>
      <c r="M434" s="54"/>
      <c r="N434" s="54"/>
      <c r="O434" s="26"/>
    </row>
    <row r="435">
      <c r="A435" s="26"/>
      <c r="B435" s="53"/>
      <c r="C435" s="54"/>
      <c r="D435" s="55"/>
      <c r="F435" s="26"/>
      <c r="G435" s="54"/>
      <c r="H435" s="26"/>
      <c r="I435" s="55"/>
      <c r="K435" s="26"/>
      <c r="L435" s="54"/>
      <c r="M435" s="54"/>
      <c r="N435" s="54"/>
      <c r="O435" s="26"/>
    </row>
    <row r="436">
      <c r="A436" s="26"/>
      <c r="B436" s="53"/>
      <c r="C436" s="54"/>
      <c r="D436" s="55"/>
      <c r="F436" s="26"/>
      <c r="G436" s="54"/>
      <c r="H436" s="26"/>
      <c r="I436" s="55"/>
      <c r="K436" s="26"/>
      <c r="L436" s="54"/>
      <c r="M436" s="54"/>
      <c r="N436" s="54"/>
      <c r="O436" s="26"/>
    </row>
    <row r="437">
      <c r="A437" s="26"/>
      <c r="B437" s="53"/>
      <c r="C437" s="54"/>
      <c r="D437" s="55"/>
      <c r="F437" s="26"/>
      <c r="G437" s="54"/>
      <c r="H437" s="26"/>
      <c r="I437" s="55"/>
      <c r="K437" s="26"/>
      <c r="L437" s="54"/>
      <c r="M437" s="54"/>
      <c r="N437" s="54"/>
      <c r="O437" s="26"/>
    </row>
    <row r="438">
      <c r="A438" s="26"/>
      <c r="B438" s="53"/>
      <c r="C438" s="54"/>
      <c r="D438" s="55"/>
      <c r="F438" s="26"/>
      <c r="G438" s="54"/>
      <c r="H438" s="26"/>
      <c r="I438" s="55"/>
      <c r="K438" s="26"/>
      <c r="L438" s="54"/>
      <c r="M438" s="54"/>
      <c r="N438" s="54"/>
      <c r="O438" s="26"/>
    </row>
    <row r="439">
      <c r="A439" s="26"/>
      <c r="B439" s="53"/>
      <c r="C439" s="54"/>
      <c r="D439" s="55"/>
      <c r="F439" s="26"/>
      <c r="G439" s="54"/>
      <c r="H439" s="26"/>
      <c r="I439" s="55"/>
      <c r="K439" s="26"/>
      <c r="L439" s="54"/>
      <c r="M439" s="54"/>
      <c r="N439" s="54"/>
      <c r="O439" s="26"/>
    </row>
    <row r="440">
      <c r="A440" s="26"/>
      <c r="B440" s="53"/>
      <c r="C440" s="54"/>
      <c r="D440" s="55"/>
      <c r="F440" s="26"/>
      <c r="G440" s="54"/>
      <c r="H440" s="26"/>
      <c r="I440" s="55"/>
      <c r="K440" s="26"/>
      <c r="L440" s="54"/>
      <c r="M440" s="54"/>
      <c r="N440" s="54"/>
      <c r="O440" s="26"/>
    </row>
    <row r="441">
      <c r="A441" s="26"/>
      <c r="B441" s="53"/>
      <c r="C441" s="54"/>
      <c r="D441" s="55"/>
      <c r="F441" s="26"/>
      <c r="G441" s="54"/>
      <c r="H441" s="26"/>
      <c r="I441" s="55"/>
      <c r="K441" s="26"/>
      <c r="L441" s="54"/>
      <c r="M441" s="54"/>
      <c r="N441" s="54"/>
      <c r="O441" s="26"/>
    </row>
    <row r="442">
      <c r="A442" s="26"/>
      <c r="B442" s="53"/>
      <c r="C442" s="54"/>
      <c r="D442" s="55"/>
      <c r="F442" s="26"/>
      <c r="G442" s="54"/>
      <c r="H442" s="26"/>
      <c r="I442" s="55"/>
      <c r="K442" s="26"/>
      <c r="L442" s="54"/>
      <c r="M442" s="54"/>
      <c r="N442" s="54"/>
      <c r="O442" s="26"/>
    </row>
    <row r="443">
      <c r="A443" s="26"/>
      <c r="B443" s="53"/>
      <c r="C443" s="54"/>
      <c r="D443" s="55"/>
      <c r="F443" s="26"/>
      <c r="G443" s="54"/>
      <c r="H443" s="26"/>
      <c r="I443" s="55"/>
      <c r="K443" s="26"/>
      <c r="L443" s="54"/>
      <c r="M443" s="54"/>
      <c r="N443" s="54"/>
      <c r="O443" s="26"/>
    </row>
    <row r="444">
      <c r="A444" s="26"/>
      <c r="B444" s="53"/>
      <c r="C444" s="54"/>
      <c r="D444" s="55"/>
      <c r="F444" s="26"/>
      <c r="G444" s="54"/>
      <c r="H444" s="26"/>
      <c r="I444" s="55"/>
      <c r="K444" s="26"/>
      <c r="L444" s="54"/>
      <c r="M444" s="54"/>
      <c r="N444" s="54"/>
      <c r="O444" s="26"/>
    </row>
    <row r="445">
      <c r="A445" s="26"/>
      <c r="B445" s="53"/>
      <c r="C445" s="54"/>
      <c r="D445" s="55"/>
      <c r="F445" s="26"/>
      <c r="G445" s="54"/>
      <c r="H445" s="26"/>
      <c r="I445" s="55"/>
      <c r="K445" s="26"/>
      <c r="L445" s="54"/>
      <c r="M445" s="54"/>
      <c r="N445" s="54"/>
      <c r="O445" s="26"/>
    </row>
    <row r="446">
      <c r="A446" s="26"/>
      <c r="B446" s="53"/>
      <c r="C446" s="54"/>
      <c r="D446" s="55"/>
      <c r="F446" s="26"/>
      <c r="G446" s="54"/>
      <c r="H446" s="26"/>
      <c r="I446" s="55"/>
      <c r="K446" s="26"/>
      <c r="L446" s="54"/>
      <c r="M446" s="54"/>
      <c r="N446" s="54"/>
      <c r="O446" s="26"/>
    </row>
    <row r="447">
      <c r="A447" s="26"/>
      <c r="B447" s="53"/>
      <c r="C447" s="54"/>
      <c r="D447" s="55"/>
      <c r="F447" s="26"/>
      <c r="G447" s="54"/>
      <c r="H447" s="26"/>
      <c r="I447" s="55"/>
      <c r="K447" s="26"/>
      <c r="L447" s="54"/>
      <c r="M447" s="54"/>
      <c r="N447" s="54"/>
      <c r="O447" s="26"/>
    </row>
    <row r="448">
      <c r="A448" s="26"/>
      <c r="B448" s="53"/>
      <c r="C448" s="54"/>
      <c r="D448" s="55"/>
      <c r="F448" s="26"/>
      <c r="G448" s="54"/>
      <c r="H448" s="26"/>
      <c r="I448" s="55"/>
      <c r="K448" s="26"/>
      <c r="L448" s="54"/>
      <c r="M448" s="54"/>
      <c r="N448" s="54"/>
      <c r="O448" s="26"/>
    </row>
    <row r="449">
      <c r="A449" s="26"/>
      <c r="B449" s="53"/>
      <c r="C449" s="54"/>
      <c r="D449" s="55"/>
      <c r="F449" s="26"/>
      <c r="G449" s="54"/>
      <c r="H449" s="26"/>
      <c r="I449" s="55"/>
      <c r="K449" s="26"/>
      <c r="L449" s="54"/>
      <c r="M449" s="54"/>
      <c r="N449" s="54"/>
      <c r="O449" s="26"/>
    </row>
    <row r="450">
      <c r="A450" s="26"/>
      <c r="B450" s="53"/>
      <c r="C450" s="54"/>
      <c r="D450" s="55"/>
      <c r="F450" s="26"/>
      <c r="G450" s="54"/>
      <c r="H450" s="26"/>
      <c r="I450" s="55"/>
      <c r="K450" s="26"/>
      <c r="L450" s="54"/>
      <c r="M450" s="54"/>
      <c r="N450" s="54"/>
      <c r="O450" s="26"/>
    </row>
    <row r="451">
      <c r="A451" s="26"/>
      <c r="B451" s="53"/>
      <c r="C451" s="54"/>
      <c r="D451" s="55"/>
      <c r="F451" s="26"/>
      <c r="G451" s="54"/>
      <c r="H451" s="26"/>
      <c r="I451" s="55"/>
      <c r="K451" s="26"/>
      <c r="L451" s="54"/>
      <c r="M451" s="54"/>
      <c r="N451" s="54"/>
      <c r="O451" s="26"/>
    </row>
    <row r="452">
      <c r="A452" s="26"/>
      <c r="B452" s="53"/>
      <c r="C452" s="54"/>
      <c r="D452" s="55"/>
      <c r="F452" s="26"/>
      <c r="G452" s="54"/>
      <c r="H452" s="26"/>
      <c r="I452" s="55"/>
      <c r="K452" s="26"/>
      <c r="L452" s="54"/>
      <c r="M452" s="54"/>
      <c r="N452" s="54"/>
      <c r="O452" s="26"/>
    </row>
    <row r="453">
      <c r="A453" s="26"/>
      <c r="B453" s="53"/>
      <c r="C453" s="54"/>
      <c r="D453" s="55"/>
      <c r="F453" s="26"/>
      <c r="G453" s="54"/>
      <c r="H453" s="26"/>
      <c r="I453" s="55"/>
      <c r="K453" s="26"/>
      <c r="L453" s="54"/>
      <c r="M453" s="54"/>
      <c r="N453" s="54"/>
      <c r="O453" s="26"/>
    </row>
    <row r="454">
      <c r="A454" s="26"/>
      <c r="B454" s="53"/>
      <c r="C454" s="54"/>
      <c r="D454" s="55"/>
      <c r="F454" s="26"/>
      <c r="G454" s="54"/>
      <c r="H454" s="26"/>
      <c r="I454" s="55"/>
      <c r="K454" s="26"/>
      <c r="L454" s="54"/>
      <c r="M454" s="54"/>
      <c r="N454" s="54"/>
      <c r="O454" s="26"/>
    </row>
    <row r="455">
      <c r="A455" s="26"/>
      <c r="B455" s="53"/>
      <c r="C455" s="54"/>
      <c r="D455" s="55"/>
      <c r="F455" s="26"/>
      <c r="G455" s="54"/>
      <c r="H455" s="26"/>
      <c r="I455" s="55"/>
      <c r="K455" s="26"/>
      <c r="L455" s="54"/>
      <c r="M455" s="54"/>
      <c r="N455" s="54"/>
      <c r="O455" s="26"/>
    </row>
    <row r="456">
      <c r="A456" s="26"/>
      <c r="B456" s="53"/>
      <c r="C456" s="54"/>
      <c r="D456" s="55"/>
      <c r="F456" s="26"/>
      <c r="G456" s="54"/>
      <c r="H456" s="26"/>
      <c r="I456" s="55"/>
      <c r="K456" s="26"/>
      <c r="L456" s="54"/>
      <c r="M456" s="54"/>
      <c r="N456" s="54"/>
      <c r="O456" s="26"/>
    </row>
    <row r="457">
      <c r="A457" s="26"/>
      <c r="B457" s="53"/>
      <c r="C457" s="54"/>
      <c r="D457" s="55"/>
      <c r="F457" s="26"/>
      <c r="G457" s="54"/>
      <c r="H457" s="26"/>
      <c r="I457" s="55"/>
      <c r="K457" s="26"/>
      <c r="L457" s="54"/>
      <c r="M457" s="54"/>
      <c r="N457" s="54"/>
      <c r="O457" s="26"/>
    </row>
    <row r="458">
      <c r="A458" s="26"/>
      <c r="B458" s="53"/>
      <c r="C458" s="54"/>
      <c r="D458" s="55"/>
      <c r="F458" s="26"/>
      <c r="G458" s="54"/>
      <c r="H458" s="26"/>
      <c r="I458" s="55"/>
      <c r="K458" s="26"/>
      <c r="L458" s="54"/>
      <c r="M458" s="54"/>
      <c r="N458" s="54"/>
      <c r="O458" s="26"/>
    </row>
    <row r="459">
      <c r="A459" s="26"/>
      <c r="B459" s="53"/>
      <c r="C459" s="54"/>
      <c r="D459" s="55"/>
      <c r="F459" s="26"/>
      <c r="G459" s="54"/>
      <c r="H459" s="26"/>
      <c r="I459" s="55"/>
      <c r="K459" s="26"/>
      <c r="L459" s="54"/>
      <c r="M459" s="54"/>
      <c r="N459" s="54"/>
      <c r="O459" s="26"/>
    </row>
    <row r="460">
      <c r="A460" s="26"/>
      <c r="B460" s="53"/>
      <c r="C460" s="54"/>
      <c r="D460" s="55"/>
      <c r="F460" s="26"/>
      <c r="G460" s="54"/>
      <c r="H460" s="26"/>
      <c r="I460" s="55"/>
      <c r="K460" s="26"/>
      <c r="L460" s="54"/>
      <c r="M460" s="54"/>
      <c r="N460" s="54"/>
      <c r="O460" s="26"/>
    </row>
    <row r="461">
      <c r="A461" s="26"/>
      <c r="B461" s="53"/>
      <c r="C461" s="54"/>
      <c r="D461" s="55"/>
      <c r="F461" s="26"/>
      <c r="G461" s="54"/>
      <c r="H461" s="26"/>
      <c r="I461" s="55"/>
      <c r="K461" s="26"/>
      <c r="L461" s="54"/>
      <c r="M461" s="54"/>
      <c r="N461" s="54"/>
      <c r="O461" s="26"/>
    </row>
    <row r="462">
      <c r="A462" s="26"/>
      <c r="B462" s="53"/>
      <c r="C462" s="54"/>
      <c r="D462" s="55"/>
      <c r="F462" s="26"/>
      <c r="G462" s="54"/>
      <c r="H462" s="26"/>
      <c r="I462" s="55"/>
      <c r="K462" s="26"/>
      <c r="L462" s="54"/>
      <c r="M462" s="54"/>
      <c r="N462" s="54"/>
      <c r="O462" s="26"/>
    </row>
    <row r="463">
      <c r="A463" s="26"/>
      <c r="B463" s="53"/>
      <c r="C463" s="54"/>
      <c r="D463" s="55"/>
      <c r="F463" s="26"/>
      <c r="G463" s="54"/>
      <c r="H463" s="26"/>
      <c r="I463" s="55"/>
      <c r="K463" s="26"/>
      <c r="L463" s="54"/>
      <c r="M463" s="54"/>
      <c r="N463" s="54"/>
      <c r="O463" s="26"/>
    </row>
    <row r="464">
      <c r="A464" s="26"/>
      <c r="B464" s="53"/>
      <c r="C464" s="54"/>
      <c r="D464" s="55"/>
      <c r="F464" s="26"/>
      <c r="G464" s="54"/>
      <c r="H464" s="26"/>
      <c r="I464" s="55"/>
      <c r="K464" s="26"/>
      <c r="L464" s="54"/>
      <c r="M464" s="54"/>
      <c r="N464" s="54"/>
      <c r="O464" s="26"/>
    </row>
    <row r="465">
      <c r="A465" s="26"/>
      <c r="B465" s="53"/>
      <c r="C465" s="54"/>
      <c r="D465" s="55"/>
      <c r="F465" s="26"/>
      <c r="G465" s="54"/>
      <c r="H465" s="26"/>
      <c r="I465" s="55"/>
      <c r="K465" s="26"/>
      <c r="L465" s="54"/>
      <c r="M465" s="54"/>
      <c r="N465" s="54"/>
      <c r="O465" s="26"/>
    </row>
    <row r="466">
      <c r="A466" s="26"/>
      <c r="B466" s="53"/>
      <c r="C466" s="54"/>
      <c r="D466" s="55"/>
      <c r="F466" s="26"/>
      <c r="G466" s="54"/>
      <c r="H466" s="26"/>
      <c r="I466" s="55"/>
      <c r="K466" s="26"/>
      <c r="L466" s="54"/>
      <c r="M466" s="54"/>
      <c r="N466" s="54"/>
      <c r="O466" s="26"/>
    </row>
    <row r="467">
      <c r="A467" s="26"/>
      <c r="B467" s="53"/>
      <c r="C467" s="54"/>
      <c r="D467" s="55"/>
      <c r="F467" s="26"/>
      <c r="G467" s="54"/>
      <c r="H467" s="26"/>
      <c r="I467" s="55"/>
      <c r="K467" s="26"/>
      <c r="L467" s="54"/>
      <c r="M467" s="54"/>
      <c r="N467" s="54"/>
      <c r="O467" s="26"/>
    </row>
    <row r="468">
      <c r="A468" s="26"/>
      <c r="B468" s="53"/>
      <c r="C468" s="54"/>
      <c r="D468" s="55"/>
      <c r="F468" s="26"/>
      <c r="G468" s="54"/>
      <c r="H468" s="26"/>
      <c r="I468" s="55"/>
      <c r="K468" s="26"/>
      <c r="L468" s="54"/>
      <c r="M468" s="54"/>
      <c r="N468" s="54"/>
      <c r="O468" s="26"/>
    </row>
    <row r="469">
      <c r="A469" s="26"/>
      <c r="B469" s="53"/>
      <c r="C469" s="54"/>
      <c r="D469" s="55"/>
      <c r="F469" s="26"/>
      <c r="G469" s="54"/>
      <c r="H469" s="26"/>
      <c r="I469" s="55"/>
      <c r="K469" s="26"/>
      <c r="L469" s="54"/>
      <c r="M469" s="54"/>
      <c r="N469" s="54"/>
      <c r="O469" s="26"/>
    </row>
    <row r="470">
      <c r="A470" s="26"/>
      <c r="B470" s="53"/>
      <c r="C470" s="54"/>
      <c r="D470" s="55"/>
      <c r="F470" s="26"/>
      <c r="G470" s="54"/>
      <c r="H470" s="26"/>
      <c r="I470" s="55"/>
      <c r="K470" s="26"/>
      <c r="L470" s="54"/>
      <c r="M470" s="54"/>
      <c r="N470" s="54"/>
      <c r="O470" s="26"/>
    </row>
    <row r="471">
      <c r="A471" s="26"/>
      <c r="B471" s="53"/>
      <c r="C471" s="54"/>
      <c r="D471" s="55"/>
      <c r="F471" s="26"/>
      <c r="G471" s="54"/>
      <c r="H471" s="26"/>
      <c r="I471" s="55"/>
      <c r="K471" s="26"/>
      <c r="L471" s="54"/>
      <c r="M471" s="54"/>
      <c r="N471" s="54"/>
      <c r="O471" s="26"/>
    </row>
    <row r="472">
      <c r="A472" s="26"/>
      <c r="B472" s="53"/>
      <c r="C472" s="54"/>
      <c r="D472" s="55"/>
      <c r="F472" s="26"/>
      <c r="G472" s="54"/>
      <c r="H472" s="26"/>
      <c r="I472" s="55"/>
      <c r="K472" s="26"/>
      <c r="L472" s="54"/>
      <c r="M472" s="54"/>
      <c r="N472" s="54"/>
      <c r="O472" s="26"/>
    </row>
    <row r="473">
      <c r="A473" s="26"/>
      <c r="B473" s="53"/>
      <c r="C473" s="54"/>
      <c r="D473" s="55"/>
      <c r="F473" s="26"/>
      <c r="G473" s="54"/>
      <c r="H473" s="26"/>
      <c r="I473" s="55"/>
      <c r="K473" s="26"/>
      <c r="L473" s="54"/>
      <c r="M473" s="54"/>
      <c r="N473" s="54"/>
      <c r="O473" s="26"/>
    </row>
    <row r="474">
      <c r="A474" s="26"/>
      <c r="B474" s="53"/>
      <c r="C474" s="54"/>
      <c r="D474" s="55"/>
      <c r="F474" s="26"/>
      <c r="G474" s="54"/>
      <c r="H474" s="26"/>
      <c r="I474" s="55"/>
      <c r="K474" s="26"/>
      <c r="L474" s="54"/>
      <c r="M474" s="54"/>
      <c r="N474" s="54"/>
      <c r="O474" s="26"/>
    </row>
    <row r="475">
      <c r="A475" s="26"/>
      <c r="B475" s="53"/>
      <c r="C475" s="54"/>
      <c r="D475" s="55"/>
      <c r="F475" s="26"/>
      <c r="G475" s="54"/>
      <c r="H475" s="26"/>
      <c r="I475" s="55"/>
      <c r="K475" s="26"/>
      <c r="L475" s="54"/>
      <c r="M475" s="54"/>
      <c r="N475" s="54"/>
      <c r="O475" s="26"/>
    </row>
    <row r="476">
      <c r="A476" s="26"/>
      <c r="B476" s="53"/>
      <c r="C476" s="54"/>
      <c r="D476" s="55"/>
      <c r="F476" s="26"/>
      <c r="G476" s="54"/>
      <c r="H476" s="26"/>
      <c r="I476" s="55"/>
      <c r="K476" s="26"/>
      <c r="L476" s="54"/>
      <c r="M476" s="54"/>
      <c r="N476" s="54"/>
      <c r="O476" s="26"/>
    </row>
    <row r="477">
      <c r="A477" s="26"/>
      <c r="B477" s="53"/>
      <c r="C477" s="54"/>
      <c r="D477" s="55"/>
      <c r="F477" s="26"/>
      <c r="G477" s="54"/>
      <c r="H477" s="26"/>
      <c r="I477" s="55"/>
      <c r="K477" s="26"/>
      <c r="L477" s="54"/>
      <c r="M477" s="54"/>
      <c r="N477" s="54"/>
      <c r="O477" s="26"/>
    </row>
    <row r="478">
      <c r="A478" s="26"/>
      <c r="B478" s="53"/>
      <c r="C478" s="54"/>
      <c r="D478" s="55"/>
      <c r="F478" s="26"/>
      <c r="G478" s="54"/>
      <c r="H478" s="26"/>
      <c r="I478" s="55"/>
      <c r="K478" s="26"/>
      <c r="L478" s="54"/>
      <c r="M478" s="54"/>
      <c r="N478" s="54"/>
      <c r="O478" s="26"/>
    </row>
    <row r="479">
      <c r="A479" s="26"/>
      <c r="B479" s="53"/>
      <c r="C479" s="54"/>
      <c r="D479" s="55"/>
      <c r="F479" s="26"/>
      <c r="G479" s="54"/>
      <c r="H479" s="26"/>
      <c r="I479" s="55"/>
      <c r="K479" s="26"/>
      <c r="L479" s="54"/>
      <c r="M479" s="54"/>
      <c r="N479" s="54"/>
      <c r="O479" s="26"/>
    </row>
    <row r="480">
      <c r="A480" s="26"/>
      <c r="B480" s="53"/>
      <c r="C480" s="54"/>
      <c r="D480" s="55"/>
      <c r="F480" s="26"/>
      <c r="G480" s="54"/>
      <c r="H480" s="26"/>
      <c r="I480" s="55"/>
      <c r="K480" s="26"/>
      <c r="L480" s="54"/>
      <c r="M480" s="54"/>
      <c r="N480" s="54"/>
      <c r="O480" s="26"/>
    </row>
    <row r="481">
      <c r="A481" s="26"/>
      <c r="B481" s="53"/>
      <c r="C481" s="54"/>
      <c r="D481" s="55"/>
      <c r="F481" s="26"/>
      <c r="G481" s="54"/>
      <c r="H481" s="26"/>
      <c r="I481" s="55"/>
      <c r="K481" s="26"/>
      <c r="L481" s="54"/>
      <c r="M481" s="54"/>
      <c r="N481" s="54"/>
      <c r="O481" s="26"/>
    </row>
    <row r="482">
      <c r="A482" s="26"/>
      <c r="B482" s="53"/>
      <c r="C482" s="54"/>
      <c r="D482" s="55"/>
      <c r="F482" s="26"/>
      <c r="G482" s="54"/>
      <c r="H482" s="26"/>
      <c r="I482" s="55"/>
      <c r="K482" s="26"/>
      <c r="L482" s="54"/>
      <c r="M482" s="54"/>
      <c r="N482" s="54"/>
      <c r="O482" s="26"/>
    </row>
    <row r="483">
      <c r="A483" s="26"/>
      <c r="B483" s="53"/>
      <c r="C483" s="54"/>
      <c r="D483" s="55"/>
      <c r="F483" s="26"/>
      <c r="G483" s="54"/>
      <c r="H483" s="26"/>
      <c r="I483" s="55"/>
      <c r="K483" s="26"/>
      <c r="L483" s="54"/>
      <c r="M483" s="54"/>
      <c r="N483" s="54"/>
      <c r="O483" s="26"/>
    </row>
    <row r="484">
      <c r="A484" s="26"/>
      <c r="B484" s="53"/>
      <c r="C484" s="54"/>
      <c r="D484" s="55"/>
      <c r="F484" s="26"/>
      <c r="G484" s="54"/>
      <c r="H484" s="26"/>
      <c r="I484" s="55"/>
      <c r="K484" s="26"/>
      <c r="L484" s="54"/>
      <c r="M484" s="54"/>
      <c r="N484" s="54"/>
      <c r="O484" s="26"/>
    </row>
    <row r="485">
      <c r="A485" s="26"/>
      <c r="B485" s="53"/>
      <c r="C485" s="54"/>
      <c r="D485" s="55"/>
      <c r="F485" s="26"/>
      <c r="G485" s="54"/>
      <c r="H485" s="26"/>
      <c r="I485" s="55"/>
      <c r="K485" s="26"/>
      <c r="L485" s="54"/>
      <c r="M485" s="54"/>
      <c r="N485" s="54"/>
      <c r="O485" s="26"/>
    </row>
    <row r="486">
      <c r="A486" s="26"/>
      <c r="B486" s="53"/>
      <c r="C486" s="54"/>
      <c r="D486" s="55"/>
      <c r="F486" s="26"/>
      <c r="G486" s="54"/>
      <c r="H486" s="26"/>
      <c r="I486" s="55"/>
      <c r="K486" s="26"/>
      <c r="L486" s="54"/>
      <c r="M486" s="54"/>
      <c r="N486" s="54"/>
      <c r="O486" s="26"/>
    </row>
    <row r="487">
      <c r="A487" s="26"/>
      <c r="B487" s="53"/>
      <c r="C487" s="54"/>
      <c r="D487" s="55"/>
      <c r="F487" s="26"/>
      <c r="G487" s="54"/>
      <c r="H487" s="26"/>
      <c r="I487" s="55"/>
      <c r="K487" s="26"/>
      <c r="L487" s="54"/>
      <c r="M487" s="54"/>
      <c r="N487" s="54"/>
      <c r="O487" s="26"/>
    </row>
    <row r="488">
      <c r="A488" s="26"/>
      <c r="B488" s="53"/>
      <c r="C488" s="54"/>
      <c r="D488" s="55"/>
      <c r="F488" s="26"/>
      <c r="G488" s="54"/>
      <c r="H488" s="26"/>
      <c r="I488" s="55"/>
      <c r="K488" s="26"/>
      <c r="L488" s="54"/>
      <c r="M488" s="54"/>
      <c r="N488" s="54"/>
      <c r="O488" s="26"/>
    </row>
    <row r="489">
      <c r="A489" s="26"/>
      <c r="B489" s="53"/>
      <c r="C489" s="54"/>
      <c r="D489" s="55"/>
      <c r="F489" s="26"/>
      <c r="G489" s="54"/>
      <c r="H489" s="26"/>
      <c r="I489" s="55"/>
      <c r="K489" s="26"/>
      <c r="L489" s="54"/>
      <c r="M489" s="54"/>
      <c r="N489" s="54"/>
      <c r="O489" s="26"/>
    </row>
    <row r="490">
      <c r="A490" s="26"/>
      <c r="B490" s="53"/>
      <c r="C490" s="54"/>
      <c r="D490" s="55"/>
      <c r="F490" s="26"/>
      <c r="G490" s="54"/>
      <c r="H490" s="26"/>
      <c r="I490" s="55"/>
      <c r="K490" s="26"/>
      <c r="L490" s="54"/>
      <c r="M490" s="54"/>
      <c r="N490" s="54"/>
      <c r="O490" s="26"/>
    </row>
    <row r="491">
      <c r="A491" s="26"/>
      <c r="B491" s="53"/>
      <c r="C491" s="54"/>
      <c r="D491" s="55"/>
      <c r="F491" s="26"/>
      <c r="G491" s="54"/>
      <c r="H491" s="26"/>
      <c r="I491" s="55"/>
      <c r="K491" s="26"/>
      <c r="L491" s="54"/>
      <c r="M491" s="54"/>
      <c r="N491" s="54"/>
      <c r="O491" s="26"/>
    </row>
    <row r="492">
      <c r="A492" s="26"/>
      <c r="B492" s="53"/>
      <c r="C492" s="54"/>
      <c r="D492" s="55"/>
      <c r="F492" s="26"/>
      <c r="G492" s="54"/>
      <c r="H492" s="26"/>
      <c r="I492" s="55"/>
      <c r="K492" s="26"/>
      <c r="L492" s="54"/>
      <c r="M492" s="54"/>
      <c r="N492" s="54"/>
      <c r="O492" s="26"/>
    </row>
    <row r="493">
      <c r="A493" s="26"/>
      <c r="B493" s="53"/>
      <c r="C493" s="54"/>
      <c r="D493" s="55"/>
      <c r="F493" s="26"/>
      <c r="G493" s="54"/>
      <c r="H493" s="26"/>
      <c r="I493" s="55"/>
      <c r="K493" s="26"/>
      <c r="L493" s="54"/>
      <c r="M493" s="54"/>
      <c r="N493" s="54"/>
      <c r="O493" s="26"/>
    </row>
    <row r="494">
      <c r="A494" s="26"/>
      <c r="B494" s="53"/>
      <c r="C494" s="54"/>
      <c r="D494" s="55"/>
      <c r="F494" s="26"/>
      <c r="G494" s="54"/>
      <c r="H494" s="26"/>
      <c r="I494" s="55"/>
      <c r="K494" s="26"/>
      <c r="L494" s="54"/>
      <c r="M494" s="54"/>
      <c r="N494" s="54"/>
      <c r="O494" s="26"/>
    </row>
    <row r="495">
      <c r="A495" s="26"/>
      <c r="B495" s="53"/>
      <c r="C495" s="54"/>
      <c r="D495" s="55"/>
      <c r="F495" s="26"/>
      <c r="G495" s="54"/>
      <c r="H495" s="26"/>
      <c r="I495" s="55"/>
      <c r="K495" s="26"/>
      <c r="L495" s="54"/>
      <c r="M495" s="54"/>
      <c r="N495" s="54"/>
      <c r="O495" s="26"/>
    </row>
    <row r="496">
      <c r="A496" s="26"/>
      <c r="B496" s="53"/>
      <c r="C496" s="54"/>
      <c r="D496" s="55"/>
      <c r="F496" s="26"/>
      <c r="G496" s="54"/>
      <c r="H496" s="26"/>
      <c r="I496" s="55"/>
      <c r="K496" s="26"/>
      <c r="L496" s="54"/>
      <c r="M496" s="54"/>
      <c r="N496" s="54"/>
      <c r="O496" s="26"/>
    </row>
    <row r="497">
      <c r="A497" s="26"/>
      <c r="B497" s="53"/>
      <c r="C497" s="54"/>
      <c r="D497" s="55"/>
      <c r="F497" s="26"/>
      <c r="G497" s="54"/>
      <c r="H497" s="26"/>
      <c r="I497" s="55"/>
      <c r="K497" s="26"/>
      <c r="L497" s="54"/>
      <c r="M497" s="54"/>
      <c r="N497" s="54"/>
      <c r="O497" s="26"/>
    </row>
    <row r="498">
      <c r="A498" s="26"/>
      <c r="B498" s="53"/>
      <c r="C498" s="54"/>
      <c r="D498" s="55"/>
      <c r="F498" s="26"/>
      <c r="G498" s="54"/>
      <c r="H498" s="26"/>
      <c r="I498" s="55"/>
      <c r="K498" s="26"/>
      <c r="L498" s="54"/>
      <c r="M498" s="54"/>
      <c r="N498" s="54"/>
      <c r="O498" s="26"/>
    </row>
    <row r="499">
      <c r="A499" s="26"/>
      <c r="B499" s="53"/>
      <c r="C499" s="54"/>
      <c r="D499" s="55"/>
      <c r="F499" s="26"/>
      <c r="G499" s="54"/>
      <c r="H499" s="26"/>
      <c r="I499" s="55"/>
      <c r="K499" s="26"/>
      <c r="L499" s="54"/>
      <c r="M499" s="54"/>
      <c r="N499" s="54"/>
      <c r="O499" s="26"/>
    </row>
    <row r="500">
      <c r="A500" s="26"/>
      <c r="B500" s="53"/>
      <c r="C500" s="54"/>
      <c r="D500" s="55"/>
      <c r="F500" s="26"/>
      <c r="G500" s="54"/>
      <c r="H500" s="26"/>
      <c r="I500" s="55"/>
      <c r="K500" s="26"/>
      <c r="L500" s="54"/>
      <c r="M500" s="54"/>
      <c r="N500" s="54"/>
      <c r="O500" s="26"/>
    </row>
    <row r="501">
      <c r="A501" s="26"/>
      <c r="B501" s="53"/>
      <c r="C501" s="54"/>
      <c r="D501" s="55"/>
      <c r="F501" s="26"/>
      <c r="G501" s="54"/>
      <c r="H501" s="26"/>
      <c r="I501" s="55"/>
      <c r="K501" s="26"/>
      <c r="L501" s="54"/>
      <c r="M501" s="54"/>
      <c r="N501" s="54"/>
      <c r="O501" s="26"/>
    </row>
    <row r="502">
      <c r="A502" s="26"/>
      <c r="B502" s="53"/>
      <c r="C502" s="54"/>
      <c r="D502" s="55"/>
      <c r="F502" s="26"/>
      <c r="G502" s="54"/>
      <c r="H502" s="26"/>
      <c r="I502" s="55"/>
      <c r="K502" s="26"/>
      <c r="L502" s="54"/>
      <c r="M502" s="54"/>
      <c r="N502" s="54"/>
      <c r="O502" s="26"/>
    </row>
    <row r="503">
      <c r="A503" s="26"/>
      <c r="B503" s="53"/>
      <c r="C503" s="54"/>
      <c r="D503" s="55"/>
      <c r="F503" s="26"/>
      <c r="G503" s="54"/>
      <c r="H503" s="26"/>
      <c r="I503" s="55"/>
      <c r="K503" s="26"/>
      <c r="L503" s="54"/>
      <c r="M503" s="54"/>
      <c r="N503" s="54"/>
      <c r="O503" s="26"/>
    </row>
    <row r="504">
      <c r="A504" s="26"/>
      <c r="B504" s="53"/>
      <c r="C504" s="54"/>
      <c r="D504" s="55"/>
      <c r="F504" s="26"/>
      <c r="G504" s="54"/>
      <c r="H504" s="26"/>
      <c r="I504" s="55"/>
      <c r="K504" s="26"/>
      <c r="L504" s="54"/>
      <c r="M504" s="54"/>
      <c r="N504" s="54"/>
      <c r="O504" s="26"/>
    </row>
    <row r="505">
      <c r="A505" s="26"/>
      <c r="B505" s="53"/>
      <c r="C505" s="54"/>
      <c r="D505" s="55"/>
      <c r="F505" s="26"/>
      <c r="G505" s="54"/>
      <c r="H505" s="26"/>
      <c r="I505" s="55"/>
      <c r="K505" s="26"/>
      <c r="L505" s="54"/>
      <c r="M505" s="54"/>
      <c r="N505" s="54"/>
      <c r="O505" s="26"/>
    </row>
    <row r="506">
      <c r="A506" s="26"/>
      <c r="B506" s="53"/>
      <c r="C506" s="54"/>
      <c r="D506" s="55"/>
      <c r="F506" s="26"/>
      <c r="G506" s="54"/>
      <c r="H506" s="26"/>
      <c r="I506" s="55"/>
      <c r="K506" s="26"/>
      <c r="L506" s="54"/>
      <c r="M506" s="54"/>
      <c r="N506" s="54"/>
      <c r="O506" s="26"/>
    </row>
    <row r="507">
      <c r="A507" s="26"/>
      <c r="B507" s="53"/>
      <c r="C507" s="54"/>
      <c r="D507" s="55"/>
      <c r="F507" s="26"/>
      <c r="G507" s="54"/>
      <c r="H507" s="26"/>
      <c r="I507" s="55"/>
      <c r="K507" s="26"/>
      <c r="L507" s="54"/>
      <c r="M507" s="54"/>
      <c r="N507" s="54"/>
      <c r="O507" s="26"/>
    </row>
    <row r="508">
      <c r="A508" s="26"/>
      <c r="B508" s="53"/>
      <c r="C508" s="54"/>
      <c r="D508" s="55"/>
      <c r="F508" s="26"/>
      <c r="G508" s="54"/>
      <c r="H508" s="26"/>
      <c r="I508" s="55"/>
      <c r="K508" s="26"/>
      <c r="L508" s="54"/>
      <c r="M508" s="54"/>
      <c r="N508" s="54"/>
      <c r="O508" s="26"/>
    </row>
    <row r="509">
      <c r="A509" s="26"/>
      <c r="B509" s="53"/>
      <c r="C509" s="54"/>
      <c r="D509" s="55"/>
      <c r="F509" s="26"/>
      <c r="G509" s="54"/>
      <c r="H509" s="26"/>
      <c r="I509" s="55"/>
      <c r="K509" s="26"/>
      <c r="L509" s="54"/>
      <c r="M509" s="54"/>
      <c r="N509" s="54"/>
      <c r="O509" s="26"/>
    </row>
    <row r="510">
      <c r="A510" s="26"/>
      <c r="B510" s="53"/>
      <c r="C510" s="54"/>
      <c r="D510" s="55"/>
      <c r="F510" s="26"/>
      <c r="G510" s="54"/>
      <c r="H510" s="26"/>
      <c r="I510" s="55"/>
      <c r="K510" s="26"/>
      <c r="L510" s="54"/>
      <c r="M510" s="54"/>
      <c r="N510" s="54"/>
      <c r="O510" s="26"/>
    </row>
    <row r="511">
      <c r="A511" s="26"/>
      <c r="B511" s="53"/>
      <c r="C511" s="54"/>
      <c r="D511" s="55"/>
      <c r="F511" s="26"/>
      <c r="G511" s="54"/>
      <c r="H511" s="26"/>
      <c r="I511" s="55"/>
      <c r="K511" s="26"/>
      <c r="L511" s="54"/>
      <c r="M511" s="54"/>
      <c r="N511" s="54"/>
      <c r="O511" s="26"/>
    </row>
    <row r="512">
      <c r="A512" s="26"/>
      <c r="B512" s="53"/>
      <c r="C512" s="54"/>
      <c r="D512" s="55"/>
      <c r="F512" s="26"/>
      <c r="G512" s="54"/>
      <c r="H512" s="26"/>
      <c r="I512" s="55"/>
      <c r="K512" s="26"/>
      <c r="L512" s="54"/>
      <c r="M512" s="54"/>
      <c r="N512" s="54"/>
      <c r="O512" s="26"/>
    </row>
    <row r="513">
      <c r="A513" s="26"/>
      <c r="B513" s="53"/>
      <c r="C513" s="54"/>
      <c r="D513" s="55"/>
      <c r="F513" s="26"/>
      <c r="G513" s="54"/>
      <c r="H513" s="26"/>
      <c r="I513" s="55"/>
      <c r="K513" s="26"/>
      <c r="L513" s="54"/>
      <c r="M513" s="54"/>
      <c r="N513" s="54"/>
      <c r="O513" s="26"/>
    </row>
    <row r="514">
      <c r="A514" s="26"/>
      <c r="B514" s="53"/>
      <c r="C514" s="54"/>
      <c r="D514" s="55"/>
      <c r="F514" s="26"/>
      <c r="G514" s="54"/>
      <c r="H514" s="26"/>
      <c r="I514" s="55"/>
      <c r="K514" s="26"/>
      <c r="L514" s="54"/>
      <c r="M514" s="54"/>
      <c r="N514" s="54"/>
      <c r="O514" s="26"/>
    </row>
    <row r="515">
      <c r="A515" s="26"/>
      <c r="B515" s="53"/>
      <c r="C515" s="54"/>
      <c r="D515" s="55"/>
      <c r="F515" s="26"/>
      <c r="G515" s="54"/>
      <c r="H515" s="26"/>
      <c r="I515" s="55"/>
      <c r="K515" s="26"/>
      <c r="L515" s="54"/>
      <c r="M515" s="54"/>
      <c r="N515" s="54"/>
      <c r="O515" s="26"/>
    </row>
    <row r="516">
      <c r="A516" s="26"/>
      <c r="B516" s="53"/>
      <c r="C516" s="54"/>
      <c r="D516" s="55"/>
      <c r="F516" s="26"/>
      <c r="G516" s="54"/>
      <c r="H516" s="26"/>
      <c r="I516" s="55"/>
      <c r="K516" s="26"/>
      <c r="L516" s="54"/>
      <c r="M516" s="54"/>
      <c r="N516" s="54"/>
      <c r="O516" s="26"/>
    </row>
    <row r="517">
      <c r="A517" s="26"/>
      <c r="B517" s="53"/>
      <c r="C517" s="54"/>
      <c r="D517" s="55"/>
      <c r="F517" s="26"/>
      <c r="G517" s="54"/>
      <c r="H517" s="26"/>
      <c r="I517" s="55"/>
      <c r="K517" s="26"/>
      <c r="L517" s="54"/>
      <c r="M517" s="54"/>
      <c r="N517" s="54"/>
      <c r="O517" s="26"/>
    </row>
    <row r="518">
      <c r="A518" s="26"/>
      <c r="B518" s="53"/>
      <c r="C518" s="54"/>
      <c r="D518" s="55"/>
      <c r="F518" s="26"/>
      <c r="G518" s="54"/>
      <c r="H518" s="26"/>
      <c r="I518" s="55"/>
      <c r="K518" s="26"/>
      <c r="L518" s="54"/>
      <c r="M518" s="54"/>
      <c r="N518" s="54"/>
      <c r="O518" s="26"/>
    </row>
    <row r="519">
      <c r="A519" s="26"/>
      <c r="B519" s="53"/>
      <c r="C519" s="54"/>
      <c r="D519" s="55"/>
      <c r="F519" s="26"/>
      <c r="G519" s="54"/>
      <c r="H519" s="26"/>
      <c r="I519" s="55"/>
      <c r="K519" s="26"/>
      <c r="L519" s="54"/>
      <c r="M519" s="54"/>
      <c r="N519" s="54"/>
      <c r="O519" s="26"/>
    </row>
    <row r="520">
      <c r="A520" s="26"/>
      <c r="B520" s="53"/>
      <c r="C520" s="54"/>
      <c r="D520" s="55"/>
      <c r="F520" s="26"/>
      <c r="G520" s="54"/>
      <c r="H520" s="26"/>
      <c r="I520" s="55"/>
      <c r="K520" s="26"/>
      <c r="L520" s="54"/>
      <c r="M520" s="54"/>
      <c r="N520" s="54"/>
      <c r="O520" s="26"/>
    </row>
    <row r="521">
      <c r="A521" s="26"/>
      <c r="B521" s="53"/>
      <c r="C521" s="54"/>
      <c r="D521" s="55"/>
      <c r="F521" s="26"/>
      <c r="G521" s="54"/>
      <c r="H521" s="26"/>
      <c r="I521" s="55"/>
      <c r="K521" s="26"/>
      <c r="L521" s="54"/>
      <c r="M521" s="54"/>
      <c r="N521" s="54"/>
      <c r="O521" s="26"/>
    </row>
    <row r="522">
      <c r="A522" s="26"/>
      <c r="B522" s="53"/>
      <c r="C522" s="54"/>
      <c r="D522" s="55"/>
      <c r="F522" s="26"/>
      <c r="G522" s="54"/>
      <c r="H522" s="26"/>
      <c r="I522" s="55"/>
      <c r="K522" s="26"/>
      <c r="L522" s="54"/>
      <c r="M522" s="54"/>
      <c r="N522" s="54"/>
      <c r="O522" s="26"/>
    </row>
    <row r="523">
      <c r="A523" s="26"/>
      <c r="B523" s="53"/>
      <c r="C523" s="54"/>
      <c r="D523" s="55"/>
      <c r="F523" s="26"/>
      <c r="G523" s="54"/>
      <c r="H523" s="26"/>
      <c r="I523" s="55"/>
      <c r="K523" s="26"/>
      <c r="L523" s="54"/>
      <c r="M523" s="54"/>
      <c r="N523" s="54"/>
      <c r="O523" s="26"/>
    </row>
    <row r="524">
      <c r="A524" s="26"/>
      <c r="B524" s="53"/>
      <c r="C524" s="54"/>
      <c r="D524" s="55"/>
      <c r="F524" s="26"/>
      <c r="G524" s="54"/>
      <c r="H524" s="26"/>
      <c r="I524" s="55"/>
      <c r="K524" s="26"/>
      <c r="L524" s="54"/>
      <c r="M524" s="54"/>
      <c r="N524" s="54"/>
      <c r="O524" s="26"/>
    </row>
    <row r="525">
      <c r="A525" s="26"/>
      <c r="B525" s="53"/>
      <c r="C525" s="54"/>
      <c r="D525" s="55"/>
      <c r="F525" s="26"/>
      <c r="G525" s="54"/>
      <c r="H525" s="26"/>
      <c r="I525" s="55"/>
      <c r="K525" s="26"/>
      <c r="L525" s="54"/>
      <c r="M525" s="54"/>
      <c r="N525" s="54"/>
      <c r="O525" s="26"/>
    </row>
    <row r="526">
      <c r="A526" s="26"/>
      <c r="B526" s="53"/>
      <c r="C526" s="54"/>
      <c r="D526" s="55"/>
      <c r="F526" s="26"/>
      <c r="G526" s="54"/>
      <c r="H526" s="26"/>
      <c r="I526" s="55"/>
      <c r="K526" s="26"/>
      <c r="L526" s="54"/>
      <c r="M526" s="54"/>
      <c r="N526" s="54"/>
      <c r="O526" s="26"/>
    </row>
    <row r="527">
      <c r="A527" s="26"/>
      <c r="B527" s="53"/>
      <c r="C527" s="54"/>
      <c r="D527" s="55"/>
      <c r="F527" s="26"/>
      <c r="G527" s="54"/>
      <c r="H527" s="26"/>
      <c r="I527" s="55"/>
      <c r="K527" s="26"/>
      <c r="L527" s="54"/>
      <c r="M527" s="54"/>
      <c r="N527" s="54"/>
      <c r="O527" s="26"/>
    </row>
    <row r="528">
      <c r="A528" s="26"/>
      <c r="B528" s="53"/>
      <c r="C528" s="54"/>
      <c r="D528" s="55"/>
      <c r="F528" s="26"/>
      <c r="G528" s="54"/>
      <c r="H528" s="26"/>
      <c r="I528" s="55"/>
      <c r="K528" s="26"/>
      <c r="L528" s="54"/>
      <c r="M528" s="54"/>
      <c r="N528" s="54"/>
      <c r="O528" s="26"/>
    </row>
    <row r="529">
      <c r="A529" s="26"/>
      <c r="B529" s="53"/>
      <c r="C529" s="54"/>
      <c r="D529" s="55"/>
      <c r="F529" s="26"/>
      <c r="G529" s="54"/>
      <c r="H529" s="26"/>
      <c r="I529" s="55"/>
      <c r="K529" s="26"/>
      <c r="L529" s="54"/>
      <c r="M529" s="54"/>
      <c r="N529" s="54"/>
      <c r="O529" s="26"/>
    </row>
    <row r="530">
      <c r="A530" s="26"/>
      <c r="B530" s="53"/>
      <c r="C530" s="54"/>
      <c r="D530" s="55"/>
      <c r="F530" s="26"/>
      <c r="G530" s="54"/>
      <c r="H530" s="26"/>
      <c r="I530" s="55"/>
      <c r="K530" s="26"/>
      <c r="L530" s="54"/>
      <c r="M530" s="54"/>
      <c r="N530" s="54"/>
      <c r="O530" s="26"/>
    </row>
    <row r="531">
      <c r="A531" s="26"/>
      <c r="B531" s="53"/>
      <c r="C531" s="54"/>
      <c r="D531" s="55"/>
      <c r="F531" s="26"/>
      <c r="G531" s="54"/>
      <c r="H531" s="26"/>
      <c r="I531" s="55"/>
      <c r="K531" s="26"/>
      <c r="L531" s="54"/>
      <c r="M531" s="54"/>
      <c r="N531" s="54"/>
      <c r="O531" s="26"/>
    </row>
    <row r="532">
      <c r="A532" s="26"/>
      <c r="B532" s="53"/>
      <c r="C532" s="54"/>
      <c r="D532" s="55"/>
      <c r="F532" s="26"/>
      <c r="G532" s="54"/>
      <c r="H532" s="26"/>
      <c r="I532" s="55"/>
      <c r="K532" s="26"/>
      <c r="L532" s="54"/>
      <c r="M532" s="54"/>
      <c r="N532" s="54"/>
      <c r="O532" s="26"/>
    </row>
    <row r="533">
      <c r="A533" s="26"/>
      <c r="B533" s="53"/>
      <c r="C533" s="54"/>
      <c r="D533" s="55"/>
      <c r="F533" s="26"/>
      <c r="G533" s="54"/>
      <c r="H533" s="26"/>
      <c r="I533" s="55"/>
      <c r="K533" s="26"/>
      <c r="L533" s="54"/>
      <c r="M533" s="54"/>
      <c r="N533" s="54"/>
      <c r="O533" s="26"/>
    </row>
    <row r="534">
      <c r="A534" s="26"/>
      <c r="B534" s="53"/>
      <c r="C534" s="54"/>
      <c r="D534" s="55"/>
      <c r="F534" s="26"/>
      <c r="G534" s="54"/>
      <c r="H534" s="26"/>
      <c r="I534" s="55"/>
      <c r="K534" s="26"/>
      <c r="L534" s="54"/>
      <c r="M534" s="54"/>
      <c r="N534" s="54"/>
      <c r="O534" s="26"/>
    </row>
    <row r="535">
      <c r="A535" s="26"/>
      <c r="B535" s="53"/>
      <c r="C535" s="54"/>
      <c r="D535" s="55"/>
      <c r="F535" s="26"/>
      <c r="G535" s="54"/>
      <c r="H535" s="26"/>
      <c r="I535" s="55"/>
      <c r="K535" s="26"/>
      <c r="L535" s="54"/>
      <c r="M535" s="54"/>
      <c r="N535" s="54"/>
      <c r="O535" s="26"/>
    </row>
    <row r="536">
      <c r="A536" s="26"/>
      <c r="B536" s="53"/>
      <c r="C536" s="54"/>
      <c r="D536" s="55"/>
      <c r="F536" s="26"/>
      <c r="G536" s="54"/>
      <c r="H536" s="26"/>
      <c r="I536" s="55"/>
      <c r="K536" s="26"/>
      <c r="L536" s="54"/>
      <c r="M536" s="54"/>
      <c r="N536" s="54"/>
      <c r="O536" s="26"/>
    </row>
    <row r="537">
      <c r="A537" s="26"/>
      <c r="B537" s="53"/>
      <c r="C537" s="54"/>
      <c r="D537" s="55"/>
      <c r="F537" s="26"/>
      <c r="G537" s="54"/>
      <c r="H537" s="26"/>
      <c r="I537" s="55"/>
      <c r="K537" s="26"/>
      <c r="L537" s="54"/>
      <c r="M537" s="54"/>
      <c r="N537" s="54"/>
      <c r="O537" s="26"/>
    </row>
    <row r="538">
      <c r="A538" s="26"/>
      <c r="B538" s="53"/>
      <c r="C538" s="54"/>
      <c r="D538" s="55"/>
      <c r="F538" s="26"/>
      <c r="G538" s="54"/>
      <c r="H538" s="26"/>
      <c r="I538" s="55"/>
      <c r="K538" s="26"/>
      <c r="L538" s="54"/>
      <c r="M538" s="54"/>
      <c r="N538" s="54"/>
      <c r="O538" s="26"/>
    </row>
    <row r="539">
      <c r="A539" s="26"/>
      <c r="B539" s="53"/>
      <c r="C539" s="54"/>
      <c r="D539" s="55"/>
      <c r="F539" s="26"/>
      <c r="G539" s="54"/>
      <c r="H539" s="26"/>
      <c r="I539" s="55"/>
      <c r="K539" s="26"/>
      <c r="L539" s="54"/>
      <c r="M539" s="54"/>
      <c r="N539" s="54"/>
      <c r="O539" s="26"/>
    </row>
    <row r="540">
      <c r="A540" s="26"/>
      <c r="B540" s="53"/>
      <c r="C540" s="54"/>
      <c r="D540" s="55"/>
      <c r="F540" s="26"/>
      <c r="G540" s="54"/>
      <c r="H540" s="26"/>
      <c r="I540" s="55"/>
      <c r="K540" s="26"/>
      <c r="L540" s="54"/>
      <c r="M540" s="54"/>
      <c r="N540" s="54"/>
      <c r="O540" s="26"/>
    </row>
    <row r="541">
      <c r="A541" s="26"/>
      <c r="B541" s="53"/>
      <c r="C541" s="54"/>
      <c r="D541" s="55"/>
      <c r="F541" s="26"/>
      <c r="G541" s="54"/>
      <c r="H541" s="26"/>
      <c r="I541" s="55"/>
      <c r="K541" s="26"/>
      <c r="L541" s="54"/>
      <c r="M541" s="54"/>
      <c r="N541" s="54"/>
      <c r="O541" s="26"/>
    </row>
    <row r="542">
      <c r="A542" s="26"/>
      <c r="B542" s="53"/>
      <c r="C542" s="54"/>
      <c r="D542" s="55"/>
      <c r="F542" s="26"/>
      <c r="G542" s="54"/>
      <c r="H542" s="26"/>
      <c r="I542" s="55"/>
      <c r="K542" s="26"/>
      <c r="L542" s="54"/>
      <c r="M542" s="54"/>
      <c r="N542" s="54"/>
      <c r="O542" s="26"/>
    </row>
    <row r="543">
      <c r="A543" s="26"/>
      <c r="B543" s="53"/>
      <c r="C543" s="54"/>
      <c r="D543" s="55"/>
      <c r="F543" s="26"/>
      <c r="G543" s="54"/>
      <c r="H543" s="26"/>
      <c r="I543" s="55"/>
      <c r="K543" s="26"/>
      <c r="L543" s="54"/>
      <c r="M543" s="54"/>
      <c r="N543" s="54"/>
      <c r="O543" s="26"/>
    </row>
    <row r="544">
      <c r="A544" s="26"/>
      <c r="B544" s="53"/>
      <c r="C544" s="54"/>
      <c r="D544" s="55"/>
      <c r="F544" s="26"/>
      <c r="G544" s="54"/>
      <c r="H544" s="26"/>
      <c r="I544" s="55"/>
      <c r="K544" s="26"/>
      <c r="L544" s="54"/>
      <c r="M544" s="54"/>
      <c r="N544" s="54"/>
      <c r="O544" s="26"/>
    </row>
    <row r="545">
      <c r="A545" s="26"/>
      <c r="B545" s="53"/>
      <c r="C545" s="54"/>
      <c r="D545" s="55"/>
      <c r="F545" s="26"/>
      <c r="G545" s="54"/>
      <c r="H545" s="26"/>
      <c r="I545" s="55"/>
      <c r="K545" s="26"/>
      <c r="L545" s="54"/>
      <c r="M545" s="54"/>
      <c r="N545" s="54"/>
      <c r="O545" s="26"/>
    </row>
    <row r="546">
      <c r="A546" s="26"/>
      <c r="B546" s="53"/>
      <c r="C546" s="54"/>
      <c r="D546" s="55"/>
      <c r="F546" s="26"/>
      <c r="G546" s="54"/>
      <c r="H546" s="26"/>
      <c r="I546" s="55"/>
      <c r="K546" s="26"/>
      <c r="L546" s="54"/>
      <c r="M546" s="54"/>
      <c r="N546" s="54"/>
      <c r="O546" s="26"/>
    </row>
    <row r="547">
      <c r="A547" s="26"/>
      <c r="B547" s="53"/>
      <c r="C547" s="54"/>
      <c r="D547" s="55"/>
      <c r="F547" s="26"/>
      <c r="G547" s="54"/>
      <c r="H547" s="26"/>
      <c r="I547" s="55"/>
      <c r="K547" s="26"/>
      <c r="L547" s="54"/>
      <c r="M547" s="54"/>
      <c r="N547" s="54"/>
      <c r="O547" s="26"/>
    </row>
    <row r="548">
      <c r="A548" s="26"/>
      <c r="B548" s="53"/>
      <c r="C548" s="54"/>
      <c r="D548" s="55"/>
      <c r="F548" s="26"/>
      <c r="G548" s="54"/>
      <c r="H548" s="26"/>
      <c r="I548" s="55"/>
      <c r="K548" s="26"/>
      <c r="L548" s="54"/>
      <c r="M548" s="54"/>
      <c r="N548" s="54"/>
      <c r="O548" s="26"/>
    </row>
    <row r="549">
      <c r="A549" s="26"/>
      <c r="B549" s="53"/>
      <c r="C549" s="54"/>
      <c r="D549" s="55"/>
      <c r="F549" s="26"/>
      <c r="G549" s="54"/>
      <c r="H549" s="26"/>
      <c r="I549" s="55"/>
      <c r="K549" s="26"/>
      <c r="L549" s="54"/>
      <c r="M549" s="54"/>
      <c r="N549" s="54"/>
      <c r="O549" s="26"/>
    </row>
    <row r="550">
      <c r="A550" s="26"/>
      <c r="B550" s="53"/>
      <c r="C550" s="54"/>
      <c r="D550" s="55"/>
      <c r="F550" s="26"/>
      <c r="G550" s="54"/>
      <c r="H550" s="26"/>
      <c r="I550" s="55"/>
      <c r="K550" s="26"/>
      <c r="L550" s="54"/>
      <c r="M550" s="54"/>
      <c r="N550" s="54"/>
      <c r="O550" s="26"/>
    </row>
    <row r="551">
      <c r="A551" s="26"/>
      <c r="B551" s="53"/>
      <c r="C551" s="54"/>
      <c r="D551" s="55"/>
      <c r="F551" s="26"/>
      <c r="G551" s="54"/>
      <c r="H551" s="26"/>
      <c r="I551" s="55"/>
      <c r="K551" s="26"/>
      <c r="L551" s="54"/>
      <c r="M551" s="54"/>
      <c r="N551" s="54"/>
      <c r="O551" s="26"/>
    </row>
    <row r="552">
      <c r="A552" s="26"/>
      <c r="B552" s="53"/>
      <c r="C552" s="54"/>
      <c r="D552" s="55"/>
      <c r="F552" s="26"/>
      <c r="G552" s="54"/>
      <c r="H552" s="26"/>
      <c r="I552" s="55"/>
      <c r="K552" s="26"/>
      <c r="L552" s="54"/>
      <c r="M552" s="54"/>
      <c r="N552" s="54"/>
      <c r="O552" s="26"/>
    </row>
    <row r="553">
      <c r="A553" s="26"/>
      <c r="B553" s="53"/>
      <c r="C553" s="54"/>
      <c r="D553" s="55"/>
      <c r="F553" s="26"/>
      <c r="G553" s="54"/>
      <c r="H553" s="26"/>
      <c r="I553" s="55"/>
      <c r="K553" s="26"/>
      <c r="L553" s="54"/>
      <c r="M553" s="54"/>
      <c r="N553" s="54"/>
      <c r="O553" s="26"/>
    </row>
    <row r="554">
      <c r="A554" s="26"/>
      <c r="B554" s="53"/>
      <c r="C554" s="54"/>
      <c r="D554" s="55"/>
      <c r="F554" s="26"/>
      <c r="G554" s="54"/>
      <c r="H554" s="26"/>
      <c r="I554" s="55"/>
      <c r="K554" s="26"/>
      <c r="L554" s="54"/>
      <c r="M554" s="54"/>
      <c r="N554" s="54"/>
      <c r="O554" s="26"/>
    </row>
    <row r="555">
      <c r="A555" s="26"/>
      <c r="B555" s="53"/>
      <c r="C555" s="54"/>
      <c r="D555" s="55"/>
      <c r="F555" s="26"/>
      <c r="G555" s="54"/>
      <c r="H555" s="26"/>
      <c r="I555" s="55"/>
      <c r="K555" s="26"/>
      <c r="L555" s="54"/>
      <c r="M555" s="54"/>
      <c r="N555" s="54"/>
      <c r="O555" s="26"/>
    </row>
    <row r="556">
      <c r="A556" s="26"/>
      <c r="B556" s="53"/>
      <c r="C556" s="54"/>
      <c r="D556" s="55"/>
      <c r="F556" s="26"/>
      <c r="G556" s="54"/>
      <c r="H556" s="26"/>
      <c r="I556" s="55"/>
      <c r="K556" s="26"/>
      <c r="L556" s="54"/>
      <c r="M556" s="54"/>
      <c r="N556" s="54"/>
      <c r="O556" s="26"/>
    </row>
    <row r="557">
      <c r="A557" s="26"/>
      <c r="B557" s="53"/>
      <c r="C557" s="54"/>
      <c r="D557" s="55"/>
      <c r="F557" s="26"/>
      <c r="G557" s="54"/>
      <c r="H557" s="26"/>
      <c r="I557" s="55"/>
      <c r="K557" s="26"/>
      <c r="L557" s="54"/>
      <c r="M557" s="54"/>
      <c r="N557" s="54"/>
      <c r="O557" s="26"/>
    </row>
    <row r="558">
      <c r="A558" s="26"/>
      <c r="B558" s="53"/>
      <c r="C558" s="54"/>
      <c r="D558" s="55"/>
      <c r="F558" s="26"/>
      <c r="G558" s="54"/>
      <c r="H558" s="26"/>
      <c r="I558" s="55"/>
      <c r="K558" s="26"/>
      <c r="L558" s="54"/>
      <c r="M558" s="54"/>
      <c r="N558" s="54"/>
      <c r="O558" s="26"/>
    </row>
    <row r="559">
      <c r="A559" s="26"/>
      <c r="B559" s="53"/>
      <c r="C559" s="54"/>
      <c r="D559" s="55"/>
      <c r="F559" s="26"/>
      <c r="G559" s="54"/>
      <c r="H559" s="26"/>
      <c r="I559" s="55"/>
      <c r="K559" s="26"/>
      <c r="L559" s="54"/>
      <c r="M559" s="54"/>
      <c r="N559" s="54"/>
      <c r="O559" s="26"/>
    </row>
    <row r="560">
      <c r="A560" s="26"/>
      <c r="B560" s="53"/>
      <c r="C560" s="54"/>
      <c r="D560" s="55"/>
      <c r="F560" s="26"/>
      <c r="G560" s="54"/>
      <c r="H560" s="26"/>
      <c r="I560" s="55"/>
      <c r="K560" s="26"/>
      <c r="L560" s="54"/>
      <c r="M560" s="54"/>
      <c r="N560" s="54"/>
      <c r="O560" s="26"/>
    </row>
    <row r="561">
      <c r="A561" s="26"/>
      <c r="B561" s="53"/>
      <c r="C561" s="54"/>
      <c r="D561" s="55"/>
      <c r="F561" s="26"/>
      <c r="G561" s="54"/>
      <c r="H561" s="26"/>
      <c r="I561" s="55"/>
      <c r="K561" s="26"/>
      <c r="L561" s="54"/>
      <c r="M561" s="54"/>
      <c r="N561" s="54"/>
      <c r="O561" s="26"/>
    </row>
    <row r="562">
      <c r="A562" s="26"/>
      <c r="B562" s="53"/>
      <c r="C562" s="54"/>
      <c r="D562" s="55"/>
      <c r="F562" s="26"/>
      <c r="G562" s="54"/>
      <c r="H562" s="26"/>
      <c r="I562" s="55"/>
      <c r="K562" s="26"/>
      <c r="L562" s="54"/>
      <c r="M562" s="54"/>
      <c r="N562" s="54"/>
      <c r="O562" s="26"/>
    </row>
    <row r="563">
      <c r="A563" s="26"/>
      <c r="B563" s="53"/>
      <c r="C563" s="54"/>
      <c r="D563" s="55"/>
      <c r="F563" s="26"/>
      <c r="G563" s="54"/>
      <c r="H563" s="26"/>
      <c r="I563" s="55"/>
      <c r="K563" s="26"/>
      <c r="L563" s="54"/>
      <c r="M563" s="54"/>
      <c r="N563" s="54"/>
      <c r="O563" s="26"/>
    </row>
    <row r="564">
      <c r="A564" s="26"/>
      <c r="B564" s="53"/>
      <c r="C564" s="54"/>
      <c r="D564" s="55"/>
      <c r="F564" s="26"/>
      <c r="G564" s="54"/>
      <c r="H564" s="26"/>
      <c r="I564" s="55"/>
      <c r="K564" s="26"/>
      <c r="L564" s="54"/>
      <c r="M564" s="54"/>
      <c r="N564" s="54"/>
      <c r="O564" s="26"/>
    </row>
    <row r="565">
      <c r="A565" s="26"/>
      <c r="B565" s="53"/>
      <c r="C565" s="54"/>
      <c r="D565" s="55"/>
      <c r="F565" s="26"/>
      <c r="G565" s="54"/>
      <c r="H565" s="26"/>
      <c r="I565" s="55"/>
      <c r="K565" s="26"/>
      <c r="L565" s="54"/>
      <c r="M565" s="54"/>
      <c r="N565" s="54"/>
      <c r="O565" s="26"/>
    </row>
    <row r="566">
      <c r="A566" s="26"/>
      <c r="B566" s="53"/>
      <c r="C566" s="54"/>
      <c r="D566" s="55"/>
      <c r="F566" s="26"/>
      <c r="G566" s="54"/>
      <c r="H566" s="26"/>
      <c r="I566" s="55"/>
      <c r="K566" s="26"/>
      <c r="L566" s="54"/>
      <c r="M566" s="54"/>
      <c r="N566" s="54"/>
      <c r="O566" s="26"/>
    </row>
    <row r="567">
      <c r="A567" s="26"/>
      <c r="B567" s="53"/>
      <c r="C567" s="54"/>
      <c r="D567" s="55"/>
      <c r="F567" s="26"/>
      <c r="G567" s="54"/>
      <c r="H567" s="26"/>
      <c r="I567" s="55"/>
      <c r="K567" s="26"/>
      <c r="L567" s="54"/>
      <c r="M567" s="54"/>
      <c r="N567" s="54"/>
      <c r="O567" s="26"/>
    </row>
    <row r="568">
      <c r="A568" s="26"/>
      <c r="B568" s="53"/>
      <c r="C568" s="54"/>
      <c r="D568" s="55"/>
      <c r="F568" s="26"/>
      <c r="G568" s="54"/>
      <c r="H568" s="26"/>
      <c r="I568" s="55"/>
      <c r="K568" s="26"/>
      <c r="L568" s="54"/>
      <c r="M568" s="54"/>
      <c r="N568" s="54"/>
      <c r="O568" s="26"/>
    </row>
    <row r="569">
      <c r="A569" s="26"/>
      <c r="B569" s="53"/>
      <c r="C569" s="54"/>
      <c r="D569" s="55"/>
      <c r="F569" s="26"/>
      <c r="G569" s="54"/>
      <c r="H569" s="26"/>
      <c r="I569" s="55"/>
      <c r="K569" s="26"/>
      <c r="L569" s="54"/>
      <c r="M569" s="54"/>
      <c r="N569" s="54"/>
      <c r="O569" s="26"/>
    </row>
    <row r="570">
      <c r="A570" s="26"/>
      <c r="B570" s="53"/>
      <c r="C570" s="54"/>
      <c r="D570" s="55"/>
      <c r="F570" s="26"/>
      <c r="G570" s="54"/>
      <c r="H570" s="26"/>
      <c r="I570" s="55"/>
      <c r="K570" s="26"/>
      <c r="L570" s="54"/>
      <c r="M570" s="54"/>
      <c r="N570" s="54"/>
      <c r="O570" s="26"/>
    </row>
    <row r="571">
      <c r="A571" s="26"/>
      <c r="B571" s="53"/>
      <c r="C571" s="54"/>
      <c r="D571" s="55"/>
      <c r="F571" s="26"/>
      <c r="G571" s="54"/>
      <c r="H571" s="26"/>
      <c r="I571" s="55"/>
      <c r="K571" s="26"/>
      <c r="L571" s="54"/>
      <c r="M571" s="54"/>
      <c r="N571" s="54"/>
      <c r="O571" s="26"/>
    </row>
    <row r="572">
      <c r="A572" s="26"/>
      <c r="B572" s="53"/>
      <c r="C572" s="54"/>
      <c r="D572" s="55"/>
      <c r="F572" s="26"/>
      <c r="G572" s="54"/>
      <c r="H572" s="26"/>
      <c r="I572" s="55"/>
      <c r="K572" s="26"/>
      <c r="L572" s="54"/>
      <c r="M572" s="54"/>
      <c r="N572" s="54"/>
      <c r="O572" s="26"/>
    </row>
    <row r="573">
      <c r="A573" s="26"/>
      <c r="B573" s="53"/>
      <c r="C573" s="54"/>
      <c r="D573" s="55"/>
      <c r="F573" s="26"/>
      <c r="G573" s="54"/>
      <c r="H573" s="26"/>
      <c r="I573" s="55"/>
      <c r="K573" s="26"/>
      <c r="L573" s="54"/>
      <c r="M573" s="54"/>
      <c r="N573" s="54"/>
      <c r="O573" s="26"/>
    </row>
    <row r="574">
      <c r="A574" s="26"/>
      <c r="B574" s="53"/>
      <c r="C574" s="54"/>
      <c r="D574" s="55"/>
      <c r="F574" s="26"/>
      <c r="G574" s="54"/>
      <c r="H574" s="26"/>
      <c r="I574" s="55"/>
      <c r="K574" s="26"/>
      <c r="L574" s="54"/>
      <c r="M574" s="54"/>
      <c r="N574" s="54"/>
      <c r="O574" s="26"/>
    </row>
    <row r="575">
      <c r="A575" s="26"/>
      <c r="B575" s="53"/>
      <c r="C575" s="54"/>
      <c r="D575" s="55"/>
      <c r="F575" s="26"/>
      <c r="G575" s="54"/>
      <c r="H575" s="26"/>
      <c r="I575" s="55"/>
      <c r="K575" s="26"/>
      <c r="L575" s="54"/>
      <c r="M575" s="54"/>
      <c r="N575" s="54"/>
      <c r="O575" s="26"/>
    </row>
    <row r="576">
      <c r="A576" s="26"/>
      <c r="B576" s="53"/>
      <c r="C576" s="54"/>
      <c r="D576" s="55"/>
      <c r="F576" s="26"/>
      <c r="G576" s="54"/>
      <c r="H576" s="26"/>
      <c r="I576" s="55"/>
      <c r="K576" s="26"/>
      <c r="L576" s="54"/>
      <c r="M576" s="54"/>
      <c r="N576" s="54"/>
      <c r="O576" s="26"/>
    </row>
    <row r="577">
      <c r="A577" s="26"/>
      <c r="B577" s="53"/>
      <c r="C577" s="54"/>
      <c r="D577" s="55"/>
      <c r="F577" s="26"/>
      <c r="G577" s="54"/>
      <c r="H577" s="26"/>
      <c r="I577" s="55"/>
      <c r="K577" s="26"/>
      <c r="L577" s="54"/>
      <c r="M577" s="54"/>
      <c r="N577" s="54"/>
      <c r="O577" s="26"/>
    </row>
    <row r="578">
      <c r="A578" s="26"/>
      <c r="B578" s="53"/>
      <c r="C578" s="54"/>
      <c r="D578" s="55"/>
      <c r="F578" s="26"/>
      <c r="G578" s="54"/>
      <c r="H578" s="26"/>
      <c r="I578" s="55"/>
      <c r="K578" s="26"/>
      <c r="L578" s="54"/>
      <c r="M578" s="54"/>
      <c r="N578" s="54"/>
      <c r="O578" s="26"/>
    </row>
    <row r="579">
      <c r="A579" s="26"/>
      <c r="B579" s="53"/>
      <c r="C579" s="54"/>
      <c r="D579" s="55"/>
      <c r="F579" s="26"/>
      <c r="G579" s="54"/>
      <c r="H579" s="26"/>
      <c r="I579" s="55"/>
      <c r="K579" s="26"/>
      <c r="L579" s="54"/>
      <c r="M579" s="54"/>
      <c r="N579" s="54"/>
      <c r="O579" s="26"/>
    </row>
    <row r="580">
      <c r="A580" s="26"/>
      <c r="B580" s="53"/>
      <c r="C580" s="54"/>
      <c r="D580" s="55"/>
      <c r="F580" s="26"/>
      <c r="G580" s="54"/>
      <c r="H580" s="26"/>
      <c r="I580" s="55"/>
      <c r="K580" s="26"/>
      <c r="L580" s="54"/>
      <c r="M580" s="54"/>
      <c r="N580" s="54"/>
      <c r="O580" s="26"/>
    </row>
    <row r="581">
      <c r="A581" s="26"/>
      <c r="B581" s="53"/>
      <c r="C581" s="54"/>
      <c r="D581" s="55"/>
      <c r="F581" s="26"/>
      <c r="G581" s="54"/>
      <c r="H581" s="26"/>
      <c r="I581" s="55"/>
      <c r="K581" s="26"/>
      <c r="L581" s="54"/>
      <c r="M581" s="54"/>
      <c r="N581" s="54"/>
      <c r="O581" s="26"/>
    </row>
    <row r="582">
      <c r="A582" s="26"/>
      <c r="B582" s="53"/>
      <c r="C582" s="54"/>
      <c r="D582" s="55"/>
      <c r="F582" s="26"/>
      <c r="G582" s="54"/>
      <c r="H582" s="26"/>
      <c r="I582" s="55"/>
      <c r="K582" s="26"/>
      <c r="L582" s="54"/>
      <c r="M582" s="54"/>
      <c r="N582" s="54"/>
      <c r="O582" s="26"/>
    </row>
    <row r="583">
      <c r="A583" s="26"/>
      <c r="B583" s="53"/>
      <c r="C583" s="54"/>
      <c r="D583" s="55"/>
      <c r="F583" s="26"/>
      <c r="G583" s="54"/>
      <c r="H583" s="26"/>
      <c r="I583" s="55"/>
      <c r="K583" s="26"/>
      <c r="L583" s="54"/>
      <c r="M583" s="54"/>
      <c r="N583" s="54"/>
      <c r="O583" s="26"/>
    </row>
    <row r="584">
      <c r="A584" s="26"/>
      <c r="B584" s="53"/>
      <c r="C584" s="54"/>
      <c r="D584" s="55"/>
      <c r="F584" s="26"/>
      <c r="G584" s="54"/>
      <c r="H584" s="26"/>
      <c r="I584" s="55"/>
      <c r="K584" s="26"/>
      <c r="L584" s="54"/>
      <c r="M584" s="54"/>
      <c r="N584" s="54"/>
      <c r="O584" s="26"/>
    </row>
    <row r="585">
      <c r="A585" s="26"/>
      <c r="B585" s="53"/>
      <c r="C585" s="54"/>
      <c r="D585" s="55"/>
      <c r="F585" s="26"/>
      <c r="G585" s="54"/>
      <c r="H585" s="26"/>
      <c r="I585" s="55"/>
      <c r="K585" s="26"/>
      <c r="L585" s="54"/>
      <c r="M585" s="54"/>
      <c r="N585" s="54"/>
      <c r="O585" s="26"/>
    </row>
    <row r="586">
      <c r="A586" s="26"/>
      <c r="B586" s="53"/>
      <c r="C586" s="54"/>
      <c r="D586" s="55"/>
      <c r="F586" s="26"/>
      <c r="G586" s="54"/>
      <c r="H586" s="26"/>
      <c r="I586" s="55"/>
      <c r="K586" s="26"/>
      <c r="L586" s="54"/>
      <c r="M586" s="54"/>
      <c r="N586" s="54"/>
      <c r="O586" s="26"/>
    </row>
    <row r="587">
      <c r="A587" s="26"/>
      <c r="B587" s="53"/>
      <c r="C587" s="54"/>
      <c r="D587" s="55"/>
      <c r="F587" s="26"/>
      <c r="G587" s="54"/>
      <c r="H587" s="26"/>
      <c r="I587" s="55"/>
      <c r="K587" s="26"/>
      <c r="L587" s="54"/>
      <c r="M587" s="54"/>
      <c r="N587" s="54"/>
      <c r="O587" s="26"/>
    </row>
    <row r="588">
      <c r="A588" s="26"/>
      <c r="B588" s="53"/>
      <c r="C588" s="54"/>
      <c r="D588" s="55"/>
      <c r="F588" s="26"/>
      <c r="G588" s="54"/>
      <c r="H588" s="26"/>
      <c r="I588" s="55"/>
      <c r="K588" s="26"/>
      <c r="L588" s="54"/>
      <c r="M588" s="54"/>
      <c r="N588" s="54"/>
      <c r="O588" s="26"/>
    </row>
    <row r="589">
      <c r="A589" s="26"/>
      <c r="B589" s="53"/>
      <c r="C589" s="54"/>
      <c r="D589" s="55"/>
      <c r="F589" s="26"/>
      <c r="G589" s="54"/>
      <c r="H589" s="26"/>
      <c r="I589" s="55"/>
      <c r="K589" s="26"/>
      <c r="L589" s="54"/>
      <c r="M589" s="54"/>
      <c r="N589" s="54"/>
      <c r="O589" s="26"/>
    </row>
    <row r="590">
      <c r="A590" s="26"/>
      <c r="B590" s="53"/>
      <c r="C590" s="54"/>
      <c r="D590" s="55"/>
      <c r="F590" s="26"/>
      <c r="G590" s="54"/>
      <c r="H590" s="26"/>
      <c r="I590" s="55"/>
      <c r="K590" s="26"/>
      <c r="L590" s="54"/>
      <c r="M590" s="54"/>
      <c r="N590" s="54"/>
      <c r="O590" s="26"/>
    </row>
    <row r="591">
      <c r="A591" s="26"/>
      <c r="B591" s="53"/>
      <c r="C591" s="54"/>
      <c r="D591" s="55"/>
      <c r="F591" s="26"/>
      <c r="G591" s="54"/>
      <c r="H591" s="26"/>
      <c r="I591" s="55"/>
      <c r="K591" s="26"/>
      <c r="L591" s="54"/>
      <c r="M591" s="54"/>
      <c r="N591" s="54"/>
      <c r="O591" s="26"/>
    </row>
    <row r="592">
      <c r="A592" s="26"/>
      <c r="B592" s="53"/>
      <c r="C592" s="54"/>
      <c r="D592" s="55"/>
      <c r="F592" s="26"/>
      <c r="G592" s="54"/>
      <c r="H592" s="26"/>
      <c r="I592" s="55"/>
      <c r="K592" s="26"/>
      <c r="L592" s="54"/>
      <c r="M592" s="54"/>
      <c r="N592" s="54"/>
      <c r="O592" s="26"/>
    </row>
    <row r="593">
      <c r="A593" s="26"/>
      <c r="B593" s="53"/>
      <c r="C593" s="54"/>
      <c r="D593" s="55"/>
      <c r="F593" s="26"/>
      <c r="G593" s="54"/>
      <c r="H593" s="26"/>
      <c r="I593" s="55"/>
      <c r="K593" s="26"/>
      <c r="L593" s="54"/>
      <c r="M593" s="54"/>
      <c r="N593" s="54"/>
      <c r="O593" s="26"/>
    </row>
    <row r="594">
      <c r="A594" s="26"/>
      <c r="B594" s="53"/>
      <c r="C594" s="54"/>
      <c r="D594" s="55"/>
      <c r="F594" s="26"/>
      <c r="G594" s="54"/>
      <c r="H594" s="26"/>
      <c r="I594" s="55"/>
      <c r="K594" s="26"/>
      <c r="L594" s="54"/>
      <c r="M594" s="54"/>
      <c r="N594" s="54"/>
      <c r="O594" s="26"/>
    </row>
    <row r="595">
      <c r="A595" s="26"/>
      <c r="B595" s="53"/>
      <c r="C595" s="54"/>
      <c r="D595" s="55"/>
      <c r="F595" s="26"/>
      <c r="G595" s="54"/>
      <c r="H595" s="26"/>
      <c r="I595" s="55"/>
      <c r="K595" s="26"/>
      <c r="L595" s="54"/>
      <c r="M595" s="54"/>
      <c r="N595" s="54"/>
      <c r="O595" s="26"/>
    </row>
    <row r="596">
      <c r="A596" s="26"/>
      <c r="B596" s="53"/>
      <c r="C596" s="54"/>
      <c r="D596" s="55"/>
      <c r="F596" s="26"/>
      <c r="G596" s="54"/>
      <c r="H596" s="26"/>
      <c r="I596" s="55"/>
      <c r="K596" s="26"/>
      <c r="L596" s="54"/>
      <c r="M596" s="54"/>
      <c r="N596" s="54"/>
      <c r="O596" s="26"/>
    </row>
    <row r="597">
      <c r="A597" s="26"/>
      <c r="B597" s="53"/>
      <c r="C597" s="54"/>
      <c r="D597" s="55"/>
      <c r="F597" s="26"/>
      <c r="G597" s="54"/>
      <c r="H597" s="26"/>
      <c r="I597" s="55"/>
      <c r="K597" s="26"/>
      <c r="L597" s="54"/>
      <c r="M597" s="54"/>
      <c r="N597" s="54"/>
      <c r="O597" s="26"/>
    </row>
    <row r="598">
      <c r="A598" s="26"/>
      <c r="B598" s="53"/>
      <c r="C598" s="54"/>
      <c r="D598" s="55"/>
      <c r="F598" s="26"/>
      <c r="G598" s="54"/>
      <c r="H598" s="26"/>
      <c r="I598" s="55"/>
      <c r="K598" s="26"/>
      <c r="L598" s="54"/>
      <c r="M598" s="54"/>
      <c r="N598" s="54"/>
      <c r="O598" s="26"/>
    </row>
    <row r="599">
      <c r="A599" s="26"/>
      <c r="B599" s="53"/>
      <c r="C599" s="54"/>
      <c r="D599" s="55"/>
      <c r="F599" s="26"/>
      <c r="G599" s="54"/>
      <c r="H599" s="26"/>
      <c r="I599" s="55"/>
      <c r="K599" s="26"/>
      <c r="L599" s="54"/>
      <c r="M599" s="54"/>
      <c r="N599" s="54"/>
      <c r="O599" s="26"/>
    </row>
    <row r="600">
      <c r="A600" s="26"/>
      <c r="B600" s="53"/>
      <c r="C600" s="54"/>
      <c r="D600" s="55"/>
      <c r="F600" s="26"/>
      <c r="G600" s="54"/>
      <c r="H600" s="26"/>
      <c r="I600" s="55"/>
      <c r="K600" s="26"/>
      <c r="L600" s="54"/>
      <c r="M600" s="54"/>
      <c r="N600" s="54"/>
      <c r="O600" s="26"/>
    </row>
    <row r="601">
      <c r="A601" s="26"/>
      <c r="B601" s="53"/>
      <c r="C601" s="54"/>
      <c r="D601" s="55"/>
      <c r="F601" s="26"/>
      <c r="G601" s="54"/>
      <c r="H601" s="26"/>
      <c r="I601" s="55"/>
      <c r="K601" s="26"/>
      <c r="L601" s="54"/>
      <c r="M601" s="54"/>
      <c r="N601" s="54"/>
      <c r="O601" s="26"/>
    </row>
    <row r="602">
      <c r="A602" s="26"/>
      <c r="B602" s="53"/>
      <c r="C602" s="54"/>
      <c r="D602" s="55"/>
      <c r="F602" s="26"/>
      <c r="G602" s="54"/>
      <c r="H602" s="26"/>
      <c r="I602" s="55"/>
      <c r="K602" s="26"/>
      <c r="L602" s="54"/>
      <c r="M602" s="54"/>
      <c r="N602" s="54"/>
      <c r="O602" s="26"/>
    </row>
    <row r="603">
      <c r="A603" s="26"/>
      <c r="B603" s="53"/>
      <c r="C603" s="54"/>
      <c r="D603" s="55"/>
      <c r="F603" s="26"/>
      <c r="G603" s="54"/>
      <c r="H603" s="26"/>
      <c r="I603" s="55"/>
      <c r="K603" s="26"/>
      <c r="L603" s="54"/>
      <c r="M603" s="54"/>
      <c r="N603" s="54"/>
      <c r="O603" s="26"/>
    </row>
    <row r="604">
      <c r="A604" s="26"/>
      <c r="B604" s="53"/>
      <c r="C604" s="54"/>
      <c r="D604" s="55"/>
      <c r="F604" s="26"/>
      <c r="G604" s="54"/>
      <c r="H604" s="26"/>
      <c r="I604" s="55"/>
      <c r="K604" s="26"/>
      <c r="L604" s="54"/>
      <c r="M604" s="54"/>
      <c r="N604" s="54"/>
      <c r="O604" s="26"/>
    </row>
    <row r="605">
      <c r="A605" s="26"/>
      <c r="B605" s="53"/>
      <c r="C605" s="54"/>
      <c r="D605" s="55"/>
      <c r="F605" s="26"/>
      <c r="G605" s="54"/>
      <c r="H605" s="26"/>
      <c r="I605" s="55"/>
      <c r="K605" s="26"/>
      <c r="L605" s="54"/>
      <c r="M605" s="54"/>
      <c r="N605" s="54"/>
      <c r="O605" s="26"/>
    </row>
    <row r="606">
      <c r="A606" s="26"/>
      <c r="B606" s="53"/>
      <c r="C606" s="54"/>
      <c r="D606" s="55"/>
      <c r="F606" s="26"/>
      <c r="G606" s="54"/>
      <c r="H606" s="26"/>
      <c r="I606" s="55"/>
      <c r="K606" s="26"/>
      <c r="L606" s="54"/>
      <c r="M606" s="54"/>
      <c r="N606" s="54"/>
      <c r="O606" s="26"/>
    </row>
    <row r="607">
      <c r="A607" s="26"/>
      <c r="B607" s="53"/>
      <c r="C607" s="54"/>
      <c r="D607" s="55"/>
      <c r="F607" s="26"/>
      <c r="G607" s="54"/>
      <c r="H607" s="26"/>
      <c r="I607" s="55"/>
      <c r="K607" s="26"/>
      <c r="L607" s="54"/>
      <c r="M607" s="54"/>
      <c r="N607" s="54"/>
      <c r="O607" s="26"/>
    </row>
    <row r="608">
      <c r="A608" s="26"/>
      <c r="B608" s="53"/>
      <c r="C608" s="54"/>
      <c r="D608" s="55"/>
      <c r="F608" s="26"/>
      <c r="G608" s="54"/>
      <c r="H608" s="26"/>
      <c r="I608" s="55"/>
      <c r="K608" s="26"/>
      <c r="L608" s="54"/>
      <c r="M608" s="54"/>
      <c r="N608" s="54"/>
      <c r="O608" s="26"/>
    </row>
    <row r="609">
      <c r="A609" s="26"/>
      <c r="B609" s="53"/>
      <c r="C609" s="54"/>
      <c r="D609" s="55"/>
      <c r="F609" s="26"/>
      <c r="G609" s="54"/>
      <c r="H609" s="26"/>
      <c r="I609" s="55"/>
      <c r="K609" s="26"/>
      <c r="L609" s="54"/>
      <c r="M609" s="54"/>
      <c r="N609" s="54"/>
      <c r="O609" s="26"/>
    </row>
    <row r="610">
      <c r="A610" s="26"/>
      <c r="B610" s="53"/>
      <c r="C610" s="54"/>
      <c r="D610" s="55"/>
      <c r="F610" s="26"/>
      <c r="G610" s="54"/>
      <c r="H610" s="26"/>
      <c r="I610" s="55"/>
      <c r="K610" s="26"/>
      <c r="L610" s="54"/>
      <c r="M610" s="54"/>
      <c r="N610" s="54"/>
      <c r="O610" s="26"/>
    </row>
    <row r="611">
      <c r="A611" s="26"/>
      <c r="B611" s="53"/>
      <c r="C611" s="54"/>
      <c r="D611" s="55"/>
      <c r="F611" s="26"/>
      <c r="G611" s="54"/>
      <c r="H611" s="26"/>
      <c r="I611" s="55"/>
      <c r="K611" s="26"/>
      <c r="L611" s="54"/>
      <c r="M611" s="54"/>
      <c r="N611" s="54"/>
      <c r="O611" s="26"/>
    </row>
    <row r="612">
      <c r="A612" s="26"/>
      <c r="B612" s="53"/>
      <c r="C612" s="54"/>
      <c r="D612" s="55"/>
      <c r="F612" s="26"/>
      <c r="G612" s="54"/>
      <c r="H612" s="26"/>
      <c r="I612" s="55"/>
      <c r="K612" s="26"/>
      <c r="L612" s="54"/>
      <c r="M612" s="54"/>
      <c r="N612" s="54"/>
      <c r="O612" s="26"/>
    </row>
    <row r="613">
      <c r="A613" s="26"/>
      <c r="B613" s="53"/>
      <c r="C613" s="54"/>
      <c r="D613" s="55"/>
      <c r="F613" s="26"/>
      <c r="G613" s="54"/>
      <c r="H613" s="26"/>
      <c r="I613" s="55"/>
      <c r="K613" s="26"/>
      <c r="L613" s="54"/>
      <c r="M613" s="54"/>
      <c r="N613" s="54"/>
      <c r="O613" s="26"/>
    </row>
    <row r="614">
      <c r="A614" s="26"/>
      <c r="B614" s="53"/>
      <c r="C614" s="54"/>
      <c r="D614" s="55"/>
      <c r="F614" s="26"/>
      <c r="G614" s="54"/>
      <c r="H614" s="26"/>
      <c r="I614" s="55"/>
      <c r="K614" s="26"/>
      <c r="L614" s="54"/>
      <c r="M614" s="54"/>
      <c r="N614" s="54"/>
      <c r="O614" s="26"/>
    </row>
    <row r="615">
      <c r="A615" s="26"/>
      <c r="B615" s="53"/>
      <c r="C615" s="54"/>
      <c r="D615" s="55"/>
      <c r="F615" s="26"/>
      <c r="G615" s="54"/>
      <c r="H615" s="26"/>
      <c r="I615" s="55"/>
      <c r="K615" s="26"/>
      <c r="L615" s="54"/>
      <c r="M615" s="54"/>
      <c r="N615" s="54"/>
      <c r="O615" s="26"/>
    </row>
    <row r="616">
      <c r="A616" s="26"/>
      <c r="B616" s="53"/>
      <c r="C616" s="54"/>
      <c r="D616" s="55"/>
      <c r="F616" s="26"/>
      <c r="G616" s="54"/>
      <c r="H616" s="26"/>
      <c r="I616" s="55"/>
      <c r="K616" s="26"/>
      <c r="L616" s="54"/>
      <c r="M616" s="54"/>
      <c r="N616" s="54"/>
      <c r="O616" s="26"/>
    </row>
    <row r="617">
      <c r="A617" s="26"/>
      <c r="B617" s="53"/>
      <c r="C617" s="54"/>
      <c r="D617" s="55"/>
      <c r="F617" s="26"/>
      <c r="G617" s="54"/>
      <c r="H617" s="26"/>
      <c r="I617" s="55"/>
      <c r="K617" s="26"/>
      <c r="L617" s="54"/>
      <c r="M617" s="54"/>
      <c r="N617" s="54"/>
      <c r="O617" s="26"/>
    </row>
    <row r="618">
      <c r="A618" s="26"/>
      <c r="B618" s="53"/>
      <c r="C618" s="54"/>
      <c r="D618" s="55"/>
      <c r="F618" s="26"/>
      <c r="G618" s="54"/>
      <c r="H618" s="26"/>
      <c r="I618" s="55"/>
      <c r="K618" s="26"/>
      <c r="L618" s="54"/>
      <c r="M618" s="54"/>
      <c r="N618" s="54"/>
      <c r="O618" s="26"/>
    </row>
    <row r="619">
      <c r="A619" s="26"/>
      <c r="B619" s="53"/>
      <c r="C619" s="54"/>
      <c r="D619" s="55"/>
      <c r="F619" s="26"/>
      <c r="G619" s="54"/>
      <c r="H619" s="26"/>
      <c r="I619" s="55"/>
      <c r="K619" s="26"/>
      <c r="L619" s="54"/>
      <c r="M619" s="54"/>
      <c r="N619" s="54"/>
      <c r="O619" s="26"/>
    </row>
    <row r="620">
      <c r="A620" s="26"/>
      <c r="B620" s="53"/>
      <c r="C620" s="54"/>
      <c r="D620" s="55"/>
      <c r="F620" s="26"/>
      <c r="G620" s="54"/>
      <c r="H620" s="26"/>
      <c r="I620" s="55"/>
      <c r="K620" s="26"/>
      <c r="L620" s="54"/>
      <c r="M620" s="54"/>
      <c r="N620" s="54"/>
      <c r="O620" s="26"/>
    </row>
    <row r="621">
      <c r="A621" s="26"/>
      <c r="B621" s="53"/>
      <c r="C621" s="54"/>
      <c r="D621" s="55"/>
      <c r="F621" s="26"/>
      <c r="G621" s="54"/>
      <c r="H621" s="26"/>
      <c r="I621" s="55"/>
      <c r="K621" s="26"/>
      <c r="L621" s="54"/>
      <c r="M621" s="54"/>
      <c r="N621" s="54"/>
      <c r="O621" s="26"/>
    </row>
    <row r="622">
      <c r="A622" s="26"/>
      <c r="B622" s="53"/>
      <c r="C622" s="54"/>
      <c r="D622" s="55"/>
      <c r="F622" s="26"/>
      <c r="G622" s="54"/>
      <c r="H622" s="26"/>
      <c r="I622" s="55"/>
      <c r="K622" s="26"/>
      <c r="L622" s="54"/>
      <c r="M622" s="54"/>
      <c r="N622" s="54"/>
      <c r="O622" s="26"/>
    </row>
    <row r="623">
      <c r="A623" s="26"/>
      <c r="B623" s="53"/>
      <c r="C623" s="54"/>
      <c r="D623" s="55"/>
      <c r="F623" s="26"/>
      <c r="G623" s="54"/>
      <c r="H623" s="26"/>
      <c r="I623" s="55"/>
      <c r="K623" s="26"/>
      <c r="L623" s="54"/>
      <c r="M623" s="54"/>
      <c r="N623" s="54"/>
      <c r="O623" s="26"/>
    </row>
    <row r="624">
      <c r="A624" s="26"/>
      <c r="B624" s="53"/>
      <c r="C624" s="54"/>
      <c r="D624" s="55"/>
      <c r="F624" s="26"/>
      <c r="G624" s="54"/>
      <c r="H624" s="26"/>
      <c r="I624" s="55"/>
      <c r="K624" s="26"/>
      <c r="L624" s="54"/>
      <c r="M624" s="54"/>
      <c r="N624" s="54"/>
      <c r="O624" s="26"/>
    </row>
    <row r="625">
      <c r="A625" s="26"/>
      <c r="B625" s="53"/>
      <c r="C625" s="54"/>
      <c r="D625" s="55"/>
      <c r="F625" s="26"/>
      <c r="G625" s="54"/>
      <c r="H625" s="26"/>
      <c r="I625" s="55"/>
      <c r="K625" s="26"/>
      <c r="L625" s="54"/>
      <c r="M625" s="54"/>
      <c r="N625" s="54"/>
      <c r="O625" s="26"/>
    </row>
    <row r="626">
      <c r="A626" s="26"/>
      <c r="B626" s="53"/>
      <c r="C626" s="54"/>
      <c r="D626" s="55"/>
      <c r="F626" s="26"/>
      <c r="G626" s="54"/>
      <c r="H626" s="26"/>
      <c r="I626" s="55"/>
      <c r="K626" s="26"/>
      <c r="L626" s="54"/>
      <c r="M626" s="54"/>
      <c r="N626" s="54"/>
      <c r="O626" s="26"/>
    </row>
    <row r="627">
      <c r="A627" s="26"/>
      <c r="B627" s="53"/>
      <c r="C627" s="54"/>
      <c r="D627" s="55"/>
      <c r="F627" s="26"/>
      <c r="G627" s="54"/>
      <c r="H627" s="26"/>
      <c r="I627" s="55"/>
      <c r="K627" s="26"/>
      <c r="L627" s="54"/>
      <c r="M627" s="54"/>
      <c r="N627" s="54"/>
      <c r="O627" s="26"/>
    </row>
    <row r="628">
      <c r="A628" s="26"/>
      <c r="B628" s="53"/>
      <c r="C628" s="54"/>
      <c r="D628" s="55"/>
      <c r="F628" s="26"/>
      <c r="G628" s="54"/>
      <c r="H628" s="26"/>
      <c r="I628" s="55"/>
      <c r="K628" s="26"/>
      <c r="L628" s="54"/>
      <c r="M628" s="54"/>
      <c r="N628" s="54"/>
      <c r="O628" s="26"/>
    </row>
    <row r="629">
      <c r="A629" s="26"/>
      <c r="B629" s="53"/>
      <c r="C629" s="54"/>
      <c r="D629" s="55"/>
      <c r="F629" s="26"/>
      <c r="G629" s="54"/>
      <c r="H629" s="26"/>
      <c r="I629" s="55"/>
      <c r="K629" s="26"/>
      <c r="L629" s="54"/>
      <c r="M629" s="54"/>
      <c r="N629" s="54"/>
      <c r="O629" s="26"/>
    </row>
    <row r="630">
      <c r="A630" s="26"/>
      <c r="B630" s="53"/>
      <c r="C630" s="54"/>
      <c r="D630" s="55"/>
      <c r="F630" s="26"/>
      <c r="G630" s="54"/>
      <c r="H630" s="26"/>
      <c r="I630" s="55"/>
      <c r="K630" s="26"/>
      <c r="L630" s="54"/>
      <c r="M630" s="54"/>
      <c r="N630" s="54"/>
      <c r="O630" s="26"/>
    </row>
    <row r="631">
      <c r="A631" s="26"/>
      <c r="B631" s="53"/>
      <c r="C631" s="54"/>
      <c r="D631" s="55"/>
      <c r="F631" s="26"/>
      <c r="G631" s="54"/>
      <c r="H631" s="26"/>
      <c r="I631" s="55"/>
      <c r="K631" s="26"/>
      <c r="L631" s="54"/>
      <c r="M631" s="54"/>
      <c r="N631" s="54"/>
      <c r="O631" s="26"/>
    </row>
    <row r="632">
      <c r="A632" s="26"/>
      <c r="B632" s="53"/>
      <c r="C632" s="54"/>
      <c r="D632" s="55"/>
      <c r="F632" s="26"/>
      <c r="G632" s="54"/>
      <c r="H632" s="26"/>
      <c r="I632" s="55"/>
      <c r="K632" s="26"/>
      <c r="L632" s="54"/>
      <c r="M632" s="54"/>
      <c r="N632" s="54"/>
      <c r="O632" s="26"/>
    </row>
    <row r="633">
      <c r="A633" s="26"/>
      <c r="B633" s="53"/>
      <c r="C633" s="54"/>
      <c r="D633" s="55"/>
      <c r="F633" s="26"/>
      <c r="G633" s="54"/>
      <c r="H633" s="26"/>
      <c r="I633" s="55"/>
      <c r="K633" s="26"/>
      <c r="L633" s="54"/>
      <c r="M633" s="54"/>
      <c r="N633" s="54"/>
      <c r="O633" s="26"/>
    </row>
    <row r="634">
      <c r="A634" s="26"/>
      <c r="B634" s="53"/>
      <c r="C634" s="54"/>
      <c r="D634" s="55"/>
      <c r="F634" s="26"/>
      <c r="G634" s="54"/>
      <c r="H634" s="26"/>
      <c r="I634" s="55"/>
      <c r="K634" s="26"/>
      <c r="L634" s="54"/>
      <c r="M634" s="54"/>
      <c r="N634" s="54"/>
      <c r="O634" s="26"/>
    </row>
    <row r="635">
      <c r="A635" s="26"/>
      <c r="B635" s="53"/>
      <c r="C635" s="54"/>
      <c r="D635" s="55"/>
      <c r="F635" s="26"/>
      <c r="G635" s="54"/>
      <c r="H635" s="26"/>
      <c r="I635" s="55"/>
      <c r="K635" s="26"/>
      <c r="L635" s="54"/>
      <c r="M635" s="54"/>
      <c r="N635" s="54"/>
      <c r="O635" s="26"/>
    </row>
    <row r="636">
      <c r="A636" s="26"/>
      <c r="B636" s="53"/>
      <c r="C636" s="54"/>
      <c r="D636" s="55"/>
      <c r="F636" s="26"/>
      <c r="G636" s="54"/>
      <c r="H636" s="26"/>
      <c r="I636" s="55"/>
      <c r="K636" s="26"/>
      <c r="L636" s="54"/>
      <c r="M636" s="54"/>
      <c r="N636" s="54"/>
      <c r="O636" s="26"/>
    </row>
    <row r="637">
      <c r="A637" s="26"/>
      <c r="B637" s="53"/>
      <c r="C637" s="54"/>
      <c r="D637" s="55"/>
      <c r="F637" s="26"/>
      <c r="G637" s="54"/>
      <c r="H637" s="26"/>
      <c r="I637" s="55"/>
      <c r="K637" s="26"/>
      <c r="L637" s="54"/>
      <c r="M637" s="54"/>
      <c r="N637" s="54"/>
      <c r="O637" s="26"/>
    </row>
    <row r="638">
      <c r="A638" s="26"/>
      <c r="B638" s="53"/>
      <c r="C638" s="54"/>
      <c r="D638" s="55"/>
      <c r="F638" s="26"/>
      <c r="G638" s="54"/>
      <c r="H638" s="26"/>
      <c r="I638" s="55"/>
      <c r="K638" s="26"/>
      <c r="L638" s="54"/>
      <c r="M638" s="54"/>
      <c r="N638" s="54"/>
      <c r="O638" s="26"/>
    </row>
    <row r="639">
      <c r="A639" s="26"/>
      <c r="B639" s="53"/>
      <c r="C639" s="54"/>
      <c r="D639" s="55"/>
      <c r="F639" s="26"/>
      <c r="G639" s="54"/>
      <c r="H639" s="26"/>
      <c r="I639" s="55"/>
      <c r="K639" s="26"/>
      <c r="L639" s="54"/>
      <c r="M639" s="54"/>
      <c r="N639" s="54"/>
      <c r="O639" s="26"/>
    </row>
    <row r="640">
      <c r="A640" s="26"/>
      <c r="B640" s="53"/>
      <c r="C640" s="54"/>
      <c r="D640" s="55"/>
      <c r="F640" s="26"/>
      <c r="G640" s="54"/>
      <c r="H640" s="26"/>
      <c r="I640" s="55"/>
      <c r="K640" s="26"/>
      <c r="L640" s="54"/>
      <c r="M640" s="54"/>
      <c r="N640" s="54"/>
      <c r="O640" s="26"/>
    </row>
    <row r="641">
      <c r="A641" s="26"/>
      <c r="B641" s="53"/>
      <c r="C641" s="54"/>
      <c r="D641" s="55"/>
      <c r="F641" s="26"/>
      <c r="G641" s="54"/>
      <c r="H641" s="26"/>
      <c r="I641" s="55"/>
      <c r="K641" s="26"/>
      <c r="L641" s="54"/>
      <c r="M641" s="54"/>
      <c r="N641" s="54"/>
      <c r="O641" s="26"/>
    </row>
    <row r="642">
      <c r="A642" s="26"/>
      <c r="B642" s="53"/>
      <c r="C642" s="54"/>
      <c r="D642" s="55"/>
      <c r="F642" s="26"/>
      <c r="G642" s="54"/>
      <c r="H642" s="26"/>
      <c r="I642" s="55"/>
      <c r="K642" s="26"/>
      <c r="L642" s="54"/>
      <c r="M642" s="54"/>
      <c r="N642" s="54"/>
      <c r="O642" s="26"/>
    </row>
    <row r="643">
      <c r="A643" s="26"/>
      <c r="B643" s="53"/>
      <c r="C643" s="54"/>
      <c r="D643" s="55"/>
      <c r="F643" s="26"/>
      <c r="G643" s="54"/>
      <c r="H643" s="26"/>
      <c r="I643" s="55"/>
      <c r="K643" s="26"/>
      <c r="L643" s="54"/>
      <c r="M643" s="54"/>
      <c r="N643" s="54"/>
      <c r="O643" s="26"/>
    </row>
    <row r="644">
      <c r="A644" s="26"/>
      <c r="B644" s="53"/>
      <c r="C644" s="54"/>
      <c r="D644" s="55"/>
      <c r="F644" s="26"/>
      <c r="G644" s="54"/>
      <c r="H644" s="26"/>
      <c r="I644" s="55"/>
      <c r="K644" s="26"/>
      <c r="L644" s="54"/>
      <c r="M644" s="54"/>
      <c r="N644" s="54"/>
      <c r="O644" s="26"/>
    </row>
    <row r="645">
      <c r="A645" s="26"/>
      <c r="B645" s="53"/>
      <c r="C645" s="54"/>
      <c r="D645" s="55"/>
      <c r="F645" s="26"/>
      <c r="G645" s="54"/>
      <c r="H645" s="26"/>
      <c r="I645" s="55"/>
      <c r="K645" s="26"/>
      <c r="L645" s="54"/>
      <c r="M645" s="54"/>
      <c r="N645" s="54"/>
      <c r="O645" s="26"/>
    </row>
    <row r="646">
      <c r="A646" s="26"/>
      <c r="B646" s="53"/>
      <c r="C646" s="54"/>
      <c r="D646" s="55"/>
      <c r="F646" s="26"/>
      <c r="G646" s="54"/>
      <c r="H646" s="26"/>
      <c r="I646" s="55"/>
      <c r="K646" s="26"/>
      <c r="L646" s="54"/>
      <c r="M646" s="54"/>
      <c r="N646" s="54"/>
      <c r="O646" s="26"/>
    </row>
    <row r="647">
      <c r="A647" s="26"/>
      <c r="B647" s="53"/>
      <c r="C647" s="54"/>
      <c r="D647" s="55"/>
      <c r="F647" s="26"/>
      <c r="G647" s="54"/>
      <c r="H647" s="26"/>
      <c r="I647" s="55"/>
      <c r="K647" s="26"/>
      <c r="L647" s="54"/>
      <c r="M647" s="54"/>
      <c r="N647" s="54"/>
      <c r="O647" s="26"/>
    </row>
    <row r="648">
      <c r="A648" s="26"/>
      <c r="B648" s="53"/>
      <c r="C648" s="54"/>
      <c r="D648" s="55"/>
      <c r="F648" s="26"/>
      <c r="G648" s="54"/>
      <c r="H648" s="26"/>
      <c r="I648" s="55"/>
      <c r="K648" s="26"/>
      <c r="L648" s="54"/>
      <c r="M648" s="54"/>
      <c r="N648" s="54"/>
      <c r="O648" s="26"/>
    </row>
    <row r="649">
      <c r="A649" s="26"/>
      <c r="B649" s="53"/>
      <c r="C649" s="54"/>
      <c r="D649" s="55"/>
      <c r="F649" s="26"/>
      <c r="G649" s="54"/>
      <c r="H649" s="26"/>
      <c r="I649" s="55"/>
      <c r="K649" s="26"/>
      <c r="L649" s="54"/>
      <c r="M649" s="54"/>
      <c r="N649" s="54"/>
      <c r="O649" s="26"/>
    </row>
    <row r="650">
      <c r="A650" s="26"/>
      <c r="B650" s="53"/>
      <c r="C650" s="54"/>
      <c r="D650" s="55"/>
      <c r="F650" s="26"/>
      <c r="G650" s="54"/>
      <c r="H650" s="26"/>
      <c r="I650" s="55"/>
      <c r="K650" s="26"/>
      <c r="L650" s="54"/>
      <c r="M650" s="54"/>
      <c r="N650" s="54"/>
      <c r="O650" s="26"/>
    </row>
    <row r="651">
      <c r="A651" s="26"/>
      <c r="B651" s="53"/>
      <c r="C651" s="54"/>
      <c r="D651" s="55"/>
      <c r="F651" s="26"/>
      <c r="G651" s="54"/>
      <c r="H651" s="26"/>
      <c r="I651" s="55"/>
      <c r="K651" s="26"/>
      <c r="L651" s="54"/>
      <c r="M651" s="54"/>
      <c r="N651" s="54"/>
      <c r="O651" s="26"/>
    </row>
    <row r="652">
      <c r="A652" s="26"/>
      <c r="B652" s="53"/>
      <c r="C652" s="54"/>
      <c r="D652" s="55"/>
      <c r="F652" s="26"/>
      <c r="G652" s="54"/>
      <c r="H652" s="26"/>
      <c r="I652" s="55"/>
      <c r="K652" s="26"/>
      <c r="L652" s="54"/>
      <c r="M652" s="54"/>
      <c r="N652" s="54"/>
      <c r="O652" s="26"/>
    </row>
    <row r="653">
      <c r="A653" s="26"/>
      <c r="B653" s="53"/>
      <c r="C653" s="54"/>
      <c r="D653" s="55"/>
      <c r="F653" s="26"/>
      <c r="G653" s="54"/>
      <c r="H653" s="26"/>
      <c r="I653" s="55"/>
      <c r="K653" s="26"/>
      <c r="L653" s="54"/>
      <c r="M653" s="54"/>
      <c r="N653" s="54"/>
      <c r="O653" s="26"/>
    </row>
    <row r="654">
      <c r="A654" s="26"/>
      <c r="B654" s="53"/>
      <c r="C654" s="54"/>
      <c r="D654" s="55"/>
      <c r="F654" s="26"/>
      <c r="G654" s="54"/>
      <c r="H654" s="26"/>
      <c r="I654" s="55"/>
      <c r="K654" s="26"/>
      <c r="L654" s="54"/>
      <c r="M654" s="54"/>
      <c r="N654" s="54"/>
      <c r="O654" s="26"/>
    </row>
    <row r="655">
      <c r="A655" s="26"/>
      <c r="B655" s="53"/>
      <c r="C655" s="54"/>
      <c r="D655" s="55"/>
      <c r="F655" s="26"/>
      <c r="G655" s="54"/>
      <c r="H655" s="26"/>
      <c r="I655" s="55"/>
      <c r="K655" s="26"/>
      <c r="L655" s="54"/>
      <c r="M655" s="54"/>
      <c r="N655" s="54"/>
      <c r="O655" s="26"/>
    </row>
    <row r="656">
      <c r="A656" s="26"/>
      <c r="B656" s="53"/>
      <c r="C656" s="54"/>
      <c r="D656" s="55"/>
      <c r="F656" s="26"/>
      <c r="G656" s="54"/>
      <c r="H656" s="26"/>
      <c r="I656" s="55"/>
      <c r="K656" s="26"/>
      <c r="L656" s="54"/>
      <c r="M656" s="54"/>
      <c r="N656" s="54"/>
      <c r="O656" s="26"/>
    </row>
    <row r="657">
      <c r="A657" s="26"/>
      <c r="B657" s="53"/>
      <c r="C657" s="54"/>
      <c r="D657" s="55"/>
      <c r="F657" s="26"/>
      <c r="G657" s="54"/>
      <c r="H657" s="26"/>
      <c r="I657" s="55"/>
      <c r="K657" s="26"/>
      <c r="L657" s="54"/>
      <c r="M657" s="54"/>
      <c r="N657" s="54"/>
      <c r="O657" s="26"/>
    </row>
    <row r="658">
      <c r="A658" s="26"/>
      <c r="B658" s="53"/>
      <c r="C658" s="54"/>
      <c r="D658" s="55"/>
      <c r="F658" s="26"/>
      <c r="G658" s="54"/>
      <c r="H658" s="26"/>
      <c r="I658" s="55"/>
      <c r="K658" s="26"/>
      <c r="L658" s="54"/>
      <c r="M658" s="54"/>
      <c r="N658" s="54"/>
      <c r="O658" s="26"/>
    </row>
    <row r="659">
      <c r="A659" s="26"/>
      <c r="B659" s="53"/>
      <c r="C659" s="54"/>
      <c r="D659" s="55"/>
      <c r="F659" s="26"/>
      <c r="G659" s="54"/>
      <c r="H659" s="26"/>
      <c r="I659" s="55"/>
      <c r="K659" s="26"/>
      <c r="L659" s="54"/>
      <c r="M659" s="54"/>
      <c r="N659" s="54"/>
      <c r="O659" s="26"/>
    </row>
    <row r="660">
      <c r="A660" s="26"/>
      <c r="B660" s="53"/>
      <c r="C660" s="54"/>
      <c r="D660" s="55"/>
      <c r="F660" s="26"/>
      <c r="G660" s="54"/>
      <c r="H660" s="26"/>
      <c r="I660" s="55"/>
      <c r="K660" s="26"/>
      <c r="L660" s="54"/>
      <c r="M660" s="54"/>
      <c r="N660" s="54"/>
      <c r="O660" s="26"/>
    </row>
    <row r="661">
      <c r="A661" s="26"/>
      <c r="B661" s="53"/>
      <c r="C661" s="54"/>
      <c r="D661" s="55"/>
      <c r="F661" s="26"/>
      <c r="G661" s="54"/>
      <c r="H661" s="26"/>
      <c r="I661" s="55"/>
      <c r="K661" s="26"/>
      <c r="L661" s="54"/>
      <c r="M661" s="54"/>
      <c r="N661" s="54"/>
      <c r="O661" s="26"/>
    </row>
    <row r="662">
      <c r="A662" s="26"/>
      <c r="B662" s="53"/>
      <c r="C662" s="54"/>
      <c r="D662" s="55"/>
      <c r="F662" s="26"/>
      <c r="G662" s="54"/>
      <c r="H662" s="26"/>
      <c r="I662" s="55"/>
      <c r="K662" s="26"/>
      <c r="L662" s="54"/>
      <c r="M662" s="54"/>
      <c r="N662" s="54"/>
      <c r="O662" s="26"/>
    </row>
    <row r="663">
      <c r="A663" s="26"/>
      <c r="B663" s="53"/>
      <c r="C663" s="54"/>
      <c r="D663" s="55"/>
      <c r="F663" s="26"/>
      <c r="G663" s="54"/>
      <c r="H663" s="26"/>
      <c r="I663" s="55"/>
      <c r="K663" s="26"/>
      <c r="L663" s="54"/>
      <c r="M663" s="54"/>
      <c r="N663" s="54"/>
      <c r="O663" s="26"/>
    </row>
    <row r="664">
      <c r="A664" s="26"/>
      <c r="B664" s="53"/>
      <c r="C664" s="54"/>
      <c r="D664" s="55"/>
      <c r="F664" s="26"/>
      <c r="G664" s="54"/>
      <c r="H664" s="26"/>
      <c r="I664" s="55"/>
      <c r="K664" s="26"/>
      <c r="L664" s="54"/>
      <c r="M664" s="54"/>
      <c r="N664" s="54"/>
      <c r="O664" s="26"/>
    </row>
    <row r="665">
      <c r="A665" s="26"/>
      <c r="B665" s="53"/>
      <c r="C665" s="54"/>
      <c r="D665" s="55"/>
      <c r="F665" s="26"/>
      <c r="G665" s="54"/>
      <c r="H665" s="26"/>
      <c r="I665" s="55"/>
      <c r="K665" s="26"/>
      <c r="L665" s="54"/>
      <c r="M665" s="54"/>
      <c r="N665" s="54"/>
      <c r="O665" s="26"/>
    </row>
    <row r="666">
      <c r="A666" s="26"/>
      <c r="B666" s="53"/>
      <c r="C666" s="54"/>
      <c r="D666" s="55"/>
      <c r="F666" s="26"/>
      <c r="G666" s="54"/>
      <c r="H666" s="26"/>
      <c r="I666" s="55"/>
      <c r="K666" s="26"/>
      <c r="L666" s="54"/>
      <c r="M666" s="54"/>
      <c r="N666" s="54"/>
      <c r="O666" s="26"/>
    </row>
    <row r="667">
      <c r="A667" s="26"/>
      <c r="B667" s="53"/>
      <c r="C667" s="54"/>
      <c r="D667" s="55"/>
      <c r="F667" s="26"/>
      <c r="G667" s="54"/>
      <c r="H667" s="26"/>
      <c r="I667" s="55"/>
      <c r="K667" s="26"/>
      <c r="L667" s="54"/>
      <c r="M667" s="54"/>
      <c r="N667" s="54"/>
      <c r="O667" s="26"/>
    </row>
    <row r="668">
      <c r="A668" s="26"/>
      <c r="B668" s="53"/>
      <c r="C668" s="54"/>
      <c r="D668" s="55"/>
      <c r="F668" s="26"/>
      <c r="G668" s="54"/>
      <c r="H668" s="26"/>
      <c r="I668" s="55"/>
      <c r="K668" s="26"/>
      <c r="L668" s="54"/>
      <c r="M668" s="54"/>
      <c r="N668" s="54"/>
      <c r="O668" s="26"/>
    </row>
    <row r="669">
      <c r="A669" s="26"/>
      <c r="B669" s="53"/>
      <c r="C669" s="54"/>
      <c r="D669" s="55"/>
      <c r="F669" s="26"/>
      <c r="G669" s="54"/>
      <c r="H669" s="26"/>
      <c r="I669" s="55"/>
      <c r="K669" s="26"/>
      <c r="L669" s="54"/>
      <c r="M669" s="54"/>
      <c r="N669" s="54"/>
      <c r="O669" s="26"/>
    </row>
    <row r="670">
      <c r="A670" s="26"/>
      <c r="B670" s="53"/>
      <c r="C670" s="54"/>
      <c r="D670" s="55"/>
      <c r="F670" s="26"/>
      <c r="G670" s="54"/>
      <c r="H670" s="26"/>
      <c r="I670" s="55"/>
      <c r="K670" s="26"/>
      <c r="L670" s="54"/>
      <c r="M670" s="54"/>
      <c r="N670" s="54"/>
      <c r="O670" s="26"/>
    </row>
    <row r="671">
      <c r="A671" s="26"/>
      <c r="B671" s="53"/>
      <c r="C671" s="54"/>
      <c r="D671" s="55"/>
      <c r="F671" s="26"/>
      <c r="G671" s="54"/>
      <c r="H671" s="26"/>
      <c r="I671" s="55"/>
      <c r="K671" s="26"/>
      <c r="L671" s="54"/>
      <c r="M671" s="54"/>
      <c r="N671" s="54"/>
      <c r="O671" s="26"/>
    </row>
    <row r="672">
      <c r="A672" s="26"/>
      <c r="B672" s="53"/>
      <c r="C672" s="54"/>
      <c r="D672" s="55"/>
      <c r="F672" s="26"/>
      <c r="G672" s="54"/>
      <c r="H672" s="26"/>
      <c r="I672" s="55"/>
      <c r="K672" s="26"/>
      <c r="L672" s="54"/>
      <c r="M672" s="54"/>
      <c r="N672" s="54"/>
      <c r="O672" s="26"/>
    </row>
    <row r="673">
      <c r="A673" s="26"/>
      <c r="B673" s="53"/>
      <c r="C673" s="54"/>
      <c r="D673" s="55"/>
      <c r="F673" s="26"/>
      <c r="G673" s="54"/>
      <c r="H673" s="26"/>
      <c r="I673" s="55"/>
      <c r="K673" s="26"/>
      <c r="L673" s="54"/>
      <c r="M673" s="54"/>
      <c r="N673" s="54"/>
      <c r="O673" s="26"/>
    </row>
    <row r="674">
      <c r="A674" s="26"/>
      <c r="B674" s="53"/>
      <c r="C674" s="54"/>
      <c r="D674" s="55"/>
      <c r="F674" s="26"/>
      <c r="G674" s="54"/>
      <c r="H674" s="26"/>
      <c r="I674" s="55"/>
      <c r="K674" s="26"/>
      <c r="L674" s="54"/>
      <c r="M674" s="54"/>
      <c r="N674" s="54"/>
      <c r="O674" s="26"/>
    </row>
    <row r="675">
      <c r="A675" s="26"/>
      <c r="B675" s="53"/>
      <c r="C675" s="54"/>
      <c r="D675" s="55"/>
      <c r="F675" s="26"/>
      <c r="G675" s="54"/>
      <c r="H675" s="26"/>
      <c r="I675" s="55"/>
      <c r="K675" s="26"/>
      <c r="L675" s="54"/>
      <c r="M675" s="54"/>
      <c r="N675" s="54"/>
      <c r="O675" s="26"/>
    </row>
    <row r="676">
      <c r="A676" s="26"/>
      <c r="B676" s="53"/>
      <c r="C676" s="54"/>
      <c r="D676" s="55"/>
      <c r="F676" s="26"/>
      <c r="G676" s="54"/>
      <c r="H676" s="26"/>
      <c r="I676" s="55"/>
      <c r="K676" s="26"/>
      <c r="L676" s="54"/>
      <c r="M676" s="54"/>
      <c r="N676" s="54"/>
      <c r="O676" s="26"/>
    </row>
    <row r="677">
      <c r="A677" s="26"/>
      <c r="B677" s="53"/>
      <c r="C677" s="54"/>
      <c r="D677" s="55"/>
      <c r="F677" s="26"/>
      <c r="G677" s="54"/>
      <c r="H677" s="26"/>
      <c r="I677" s="55"/>
      <c r="K677" s="26"/>
      <c r="L677" s="54"/>
      <c r="M677" s="54"/>
      <c r="N677" s="54"/>
      <c r="O677" s="26"/>
    </row>
    <row r="678">
      <c r="A678" s="26"/>
      <c r="B678" s="53"/>
      <c r="C678" s="54"/>
      <c r="D678" s="55"/>
      <c r="F678" s="26"/>
      <c r="G678" s="54"/>
      <c r="H678" s="26"/>
      <c r="I678" s="55"/>
      <c r="K678" s="26"/>
      <c r="L678" s="54"/>
      <c r="M678" s="54"/>
      <c r="N678" s="54"/>
      <c r="O678" s="26"/>
    </row>
    <row r="679">
      <c r="A679" s="26"/>
      <c r="B679" s="53"/>
      <c r="C679" s="54"/>
      <c r="D679" s="55"/>
      <c r="F679" s="26"/>
      <c r="G679" s="54"/>
      <c r="H679" s="26"/>
      <c r="I679" s="55"/>
      <c r="K679" s="26"/>
      <c r="L679" s="54"/>
      <c r="M679" s="54"/>
      <c r="N679" s="54"/>
      <c r="O679" s="26"/>
    </row>
    <row r="680">
      <c r="A680" s="26"/>
      <c r="B680" s="53"/>
      <c r="C680" s="54"/>
      <c r="D680" s="55"/>
      <c r="F680" s="26"/>
      <c r="G680" s="54"/>
      <c r="H680" s="26"/>
      <c r="I680" s="55"/>
      <c r="K680" s="26"/>
      <c r="L680" s="54"/>
      <c r="M680" s="54"/>
      <c r="N680" s="54"/>
      <c r="O680" s="26"/>
    </row>
    <row r="681">
      <c r="A681" s="26"/>
      <c r="B681" s="53"/>
      <c r="C681" s="54"/>
      <c r="D681" s="55"/>
      <c r="F681" s="26"/>
      <c r="G681" s="54"/>
      <c r="H681" s="26"/>
      <c r="I681" s="55"/>
      <c r="K681" s="26"/>
      <c r="L681" s="54"/>
      <c r="M681" s="54"/>
      <c r="N681" s="54"/>
      <c r="O681" s="26"/>
    </row>
    <row r="682">
      <c r="A682" s="26"/>
      <c r="B682" s="53"/>
      <c r="C682" s="54"/>
      <c r="D682" s="55"/>
      <c r="F682" s="26"/>
      <c r="G682" s="54"/>
      <c r="H682" s="26"/>
      <c r="I682" s="55"/>
      <c r="K682" s="26"/>
      <c r="L682" s="54"/>
      <c r="M682" s="54"/>
      <c r="N682" s="54"/>
      <c r="O682" s="26"/>
    </row>
    <row r="683">
      <c r="A683" s="26"/>
      <c r="B683" s="53"/>
      <c r="C683" s="54"/>
      <c r="D683" s="55"/>
      <c r="F683" s="26"/>
      <c r="G683" s="54"/>
      <c r="H683" s="26"/>
      <c r="I683" s="55"/>
      <c r="K683" s="26"/>
      <c r="L683" s="54"/>
      <c r="M683" s="54"/>
      <c r="N683" s="54"/>
      <c r="O683" s="26"/>
    </row>
    <row r="684">
      <c r="A684" s="26"/>
      <c r="B684" s="53"/>
      <c r="C684" s="54"/>
      <c r="D684" s="55"/>
      <c r="F684" s="26"/>
      <c r="G684" s="54"/>
      <c r="H684" s="26"/>
      <c r="I684" s="55"/>
      <c r="K684" s="26"/>
      <c r="L684" s="54"/>
      <c r="M684" s="54"/>
      <c r="N684" s="54"/>
      <c r="O684" s="26"/>
    </row>
    <row r="685">
      <c r="A685" s="26"/>
      <c r="B685" s="53"/>
      <c r="C685" s="54"/>
      <c r="D685" s="55"/>
      <c r="F685" s="26"/>
      <c r="G685" s="54"/>
      <c r="H685" s="26"/>
      <c r="I685" s="55"/>
      <c r="K685" s="26"/>
      <c r="L685" s="54"/>
      <c r="M685" s="54"/>
      <c r="N685" s="54"/>
      <c r="O685" s="26"/>
    </row>
    <row r="686">
      <c r="A686" s="26"/>
      <c r="B686" s="53"/>
      <c r="C686" s="54"/>
      <c r="D686" s="55"/>
      <c r="F686" s="26"/>
      <c r="G686" s="54"/>
      <c r="H686" s="26"/>
      <c r="I686" s="55"/>
      <c r="K686" s="26"/>
      <c r="L686" s="54"/>
      <c r="M686" s="54"/>
      <c r="N686" s="54"/>
      <c r="O686" s="26"/>
    </row>
    <row r="687">
      <c r="A687" s="26"/>
      <c r="B687" s="53"/>
      <c r="C687" s="54"/>
      <c r="D687" s="55"/>
      <c r="F687" s="26"/>
      <c r="G687" s="54"/>
      <c r="H687" s="26"/>
      <c r="I687" s="55"/>
      <c r="K687" s="26"/>
      <c r="L687" s="54"/>
      <c r="M687" s="54"/>
      <c r="N687" s="54"/>
      <c r="O687" s="26"/>
    </row>
    <row r="688">
      <c r="A688" s="26"/>
      <c r="B688" s="53"/>
      <c r="C688" s="54"/>
      <c r="D688" s="55"/>
      <c r="F688" s="26"/>
      <c r="G688" s="54"/>
      <c r="H688" s="26"/>
      <c r="I688" s="55"/>
      <c r="K688" s="26"/>
      <c r="L688" s="54"/>
      <c r="M688" s="54"/>
      <c r="N688" s="54"/>
      <c r="O688" s="26"/>
    </row>
    <row r="689">
      <c r="A689" s="26"/>
      <c r="B689" s="53"/>
      <c r="C689" s="54"/>
      <c r="D689" s="55"/>
      <c r="F689" s="26"/>
      <c r="G689" s="54"/>
      <c r="H689" s="26"/>
      <c r="I689" s="55"/>
      <c r="K689" s="26"/>
      <c r="L689" s="54"/>
      <c r="M689" s="54"/>
      <c r="N689" s="54"/>
      <c r="O689" s="26"/>
    </row>
    <row r="690">
      <c r="A690" s="26"/>
      <c r="B690" s="53"/>
      <c r="C690" s="54"/>
      <c r="D690" s="55"/>
      <c r="F690" s="26"/>
      <c r="G690" s="54"/>
      <c r="H690" s="26"/>
      <c r="I690" s="55"/>
      <c r="K690" s="26"/>
      <c r="L690" s="54"/>
      <c r="M690" s="54"/>
      <c r="N690" s="54"/>
      <c r="O690" s="26"/>
    </row>
    <row r="691">
      <c r="A691" s="26"/>
      <c r="B691" s="53"/>
      <c r="C691" s="54"/>
      <c r="D691" s="55"/>
      <c r="F691" s="26"/>
      <c r="G691" s="54"/>
      <c r="H691" s="26"/>
      <c r="I691" s="55"/>
      <c r="K691" s="26"/>
      <c r="L691" s="54"/>
      <c r="M691" s="54"/>
      <c r="N691" s="54"/>
      <c r="O691" s="26"/>
    </row>
    <row r="692">
      <c r="A692" s="26"/>
      <c r="B692" s="53"/>
      <c r="C692" s="54"/>
      <c r="D692" s="55"/>
      <c r="F692" s="26"/>
      <c r="G692" s="54"/>
      <c r="H692" s="26"/>
      <c r="I692" s="55"/>
      <c r="K692" s="26"/>
      <c r="L692" s="54"/>
      <c r="M692" s="54"/>
      <c r="N692" s="54"/>
      <c r="O692" s="26"/>
    </row>
    <row r="693">
      <c r="A693" s="26"/>
      <c r="B693" s="53"/>
      <c r="C693" s="54"/>
      <c r="D693" s="55"/>
      <c r="F693" s="26"/>
      <c r="G693" s="54"/>
      <c r="H693" s="26"/>
      <c r="I693" s="55"/>
      <c r="K693" s="26"/>
      <c r="L693" s="54"/>
      <c r="M693" s="54"/>
      <c r="N693" s="54"/>
      <c r="O693" s="26"/>
    </row>
    <row r="694">
      <c r="A694" s="26"/>
      <c r="B694" s="53"/>
      <c r="C694" s="54"/>
      <c r="D694" s="55"/>
      <c r="F694" s="26"/>
      <c r="G694" s="54"/>
      <c r="H694" s="26"/>
      <c r="I694" s="55"/>
      <c r="K694" s="26"/>
      <c r="L694" s="54"/>
      <c r="M694" s="54"/>
      <c r="N694" s="54"/>
      <c r="O694" s="26"/>
    </row>
    <row r="695">
      <c r="A695" s="26"/>
      <c r="B695" s="53"/>
      <c r="C695" s="54"/>
      <c r="D695" s="55"/>
      <c r="F695" s="26"/>
      <c r="G695" s="54"/>
      <c r="H695" s="26"/>
      <c r="I695" s="55"/>
      <c r="K695" s="26"/>
      <c r="L695" s="54"/>
      <c r="M695" s="54"/>
      <c r="N695" s="54"/>
      <c r="O695" s="26"/>
    </row>
    <row r="696">
      <c r="A696" s="26"/>
      <c r="B696" s="53"/>
      <c r="C696" s="54"/>
      <c r="D696" s="55"/>
      <c r="F696" s="26"/>
      <c r="G696" s="54"/>
      <c r="H696" s="26"/>
      <c r="I696" s="55"/>
      <c r="K696" s="26"/>
      <c r="L696" s="54"/>
      <c r="M696" s="54"/>
      <c r="N696" s="54"/>
      <c r="O696" s="26"/>
    </row>
    <row r="697">
      <c r="A697" s="26"/>
      <c r="B697" s="53"/>
      <c r="C697" s="54"/>
      <c r="D697" s="55"/>
      <c r="F697" s="26"/>
      <c r="G697" s="54"/>
      <c r="H697" s="26"/>
      <c r="I697" s="55"/>
      <c r="K697" s="26"/>
      <c r="L697" s="54"/>
      <c r="M697" s="54"/>
      <c r="N697" s="54"/>
      <c r="O697" s="26"/>
    </row>
    <row r="698">
      <c r="A698" s="26"/>
      <c r="B698" s="53"/>
      <c r="C698" s="54"/>
      <c r="D698" s="55"/>
      <c r="F698" s="26"/>
      <c r="G698" s="54"/>
      <c r="H698" s="26"/>
      <c r="I698" s="55"/>
      <c r="K698" s="26"/>
      <c r="L698" s="54"/>
      <c r="M698" s="54"/>
      <c r="N698" s="54"/>
      <c r="O698" s="26"/>
    </row>
    <row r="699">
      <c r="A699" s="26"/>
      <c r="B699" s="53"/>
      <c r="C699" s="54"/>
      <c r="D699" s="55"/>
      <c r="F699" s="26"/>
      <c r="G699" s="54"/>
      <c r="H699" s="26"/>
      <c r="I699" s="55"/>
      <c r="K699" s="26"/>
      <c r="L699" s="54"/>
      <c r="M699" s="54"/>
      <c r="N699" s="54"/>
      <c r="O699" s="26"/>
    </row>
    <row r="700">
      <c r="A700" s="26"/>
      <c r="B700" s="53"/>
      <c r="C700" s="54"/>
      <c r="D700" s="55"/>
      <c r="F700" s="26"/>
      <c r="G700" s="54"/>
      <c r="H700" s="26"/>
      <c r="I700" s="55"/>
      <c r="K700" s="26"/>
      <c r="L700" s="54"/>
      <c r="M700" s="54"/>
      <c r="N700" s="54"/>
      <c r="O700" s="26"/>
    </row>
    <row r="701">
      <c r="A701" s="26"/>
      <c r="B701" s="53"/>
      <c r="C701" s="54"/>
      <c r="D701" s="55"/>
      <c r="F701" s="26"/>
      <c r="G701" s="54"/>
      <c r="H701" s="26"/>
      <c r="I701" s="55"/>
      <c r="K701" s="26"/>
      <c r="L701" s="54"/>
      <c r="M701" s="54"/>
      <c r="N701" s="54"/>
      <c r="O701" s="26"/>
    </row>
    <row r="702">
      <c r="A702" s="26"/>
      <c r="B702" s="53"/>
      <c r="C702" s="54"/>
      <c r="D702" s="55"/>
      <c r="F702" s="26"/>
      <c r="G702" s="54"/>
      <c r="H702" s="26"/>
      <c r="I702" s="55"/>
      <c r="K702" s="26"/>
      <c r="L702" s="54"/>
      <c r="M702" s="54"/>
      <c r="N702" s="54"/>
      <c r="O702" s="26"/>
    </row>
    <row r="703">
      <c r="A703" s="26"/>
      <c r="B703" s="53"/>
      <c r="C703" s="54"/>
      <c r="D703" s="55"/>
      <c r="F703" s="26"/>
      <c r="G703" s="54"/>
      <c r="H703" s="26"/>
      <c r="I703" s="55"/>
      <c r="K703" s="26"/>
      <c r="L703" s="54"/>
      <c r="M703" s="54"/>
      <c r="N703" s="54"/>
      <c r="O703" s="26"/>
    </row>
    <row r="704">
      <c r="A704" s="26"/>
      <c r="B704" s="53"/>
      <c r="C704" s="54"/>
      <c r="D704" s="55"/>
      <c r="F704" s="26"/>
      <c r="G704" s="54"/>
      <c r="H704" s="26"/>
      <c r="I704" s="55"/>
      <c r="K704" s="26"/>
      <c r="L704" s="54"/>
      <c r="M704" s="54"/>
      <c r="N704" s="54"/>
      <c r="O704" s="26"/>
    </row>
    <row r="705">
      <c r="A705" s="26"/>
      <c r="B705" s="53"/>
      <c r="C705" s="54"/>
      <c r="D705" s="55"/>
      <c r="F705" s="26"/>
      <c r="G705" s="54"/>
      <c r="H705" s="26"/>
      <c r="I705" s="55"/>
      <c r="K705" s="26"/>
      <c r="L705" s="54"/>
      <c r="M705" s="54"/>
      <c r="N705" s="54"/>
      <c r="O705" s="26"/>
    </row>
    <row r="706">
      <c r="A706" s="26"/>
      <c r="B706" s="53"/>
      <c r="C706" s="54"/>
      <c r="D706" s="55"/>
      <c r="F706" s="26"/>
      <c r="G706" s="54"/>
      <c r="H706" s="26"/>
      <c r="I706" s="55"/>
      <c r="K706" s="26"/>
      <c r="L706" s="54"/>
      <c r="M706" s="54"/>
      <c r="N706" s="54"/>
      <c r="O706" s="26"/>
    </row>
    <row r="707">
      <c r="A707" s="26"/>
      <c r="B707" s="53"/>
      <c r="C707" s="54"/>
      <c r="D707" s="55"/>
      <c r="F707" s="26"/>
      <c r="G707" s="54"/>
      <c r="H707" s="26"/>
      <c r="I707" s="55"/>
      <c r="K707" s="26"/>
      <c r="L707" s="54"/>
      <c r="M707" s="54"/>
      <c r="N707" s="54"/>
      <c r="O707" s="26"/>
    </row>
    <row r="708">
      <c r="A708" s="26"/>
      <c r="B708" s="53"/>
      <c r="C708" s="54"/>
      <c r="D708" s="55"/>
      <c r="F708" s="26"/>
      <c r="G708" s="54"/>
      <c r="H708" s="26"/>
      <c r="I708" s="55"/>
      <c r="K708" s="26"/>
      <c r="L708" s="54"/>
      <c r="M708" s="54"/>
      <c r="N708" s="54"/>
      <c r="O708" s="26"/>
    </row>
    <row r="709">
      <c r="A709" s="26"/>
      <c r="B709" s="53"/>
      <c r="C709" s="54"/>
      <c r="D709" s="55"/>
      <c r="F709" s="26"/>
      <c r="G709" s="54"/>
      <c r="H709" s="26"/>
      <c r="I709" s="55"/>
      <c r="K709" s="26"/>
      <c r="L709" s="54"/>
      <c r="M709" s="54"/>
      <c r="N709" s="54"/>
      <c r="O709" s="26"/>
    </row>
    <row r="710">
      <c r="A710" s="26"/>
      <c r="B710" s="53"/>
      <c r="C710" s="54"/>
      <c r="D710" s="55"/>
      <c r="F710" s="26"/>
      <c r="G710" s="54"/>
      <c r="H710" s="26"/>
      <c r="I710" s="55"/>
      <c r="K710" s="26"/>
      <c r="L710" s="54"/>
      <c r="M710" s="54"/>
      <c r="N710" s="54"/>
      <c r="O710" s="26"/>
    </row>
    <row r="711">
      <c r="A711" s="26"/>
      <c r="B711" s="53"/>
      <c r="C711" s="54"/>
      <c r="D711" s="55"/>
      <c r="F711" s="26"/>
      <c r="G711" s="54"/>
      <c r="H711" s="26"/>
      <c r="I711" s="55"/>
      <c r="K711" s="26"/>
      <c r="L711" s="54"/>
      <c r="M711" s="54"/>
      <c r="N711" s="54"/>
      <c r="O711" s="26"/>
    </row>
    <row r="712">
      <c r="A712" s="26"/>
      <c r="B712" s="53"/>
      <c r="C712" s="54"/>
      <c r="D712" s="55"/>
      <c r="F712" s="26"/>
      <c r="G712" s="54"/>
      <c r="H712" s="26"/>
      <c r="I712" s="55"/>
      <c r="K712" s="26"/>
      <c r="L712" s="54"/>
      <c r="M712" s="54"/>
      <c r="N712" s="54"/>
      <c r="O712" s="26"/>
    </row>
    <row r="713">
      <c r="A713" s="26"/>
      <c r="B713" s="53"/>
      <c r="C713" s="54"/>
      <c r="D713" s="55"/>
      <c r="F713" s="26"/>
      <c r="G713" s="54"/>
      <c r="H713" s="26"/>
      <c r="I713" s="55"/>
      <c r="K713" s="26"/>
      <c r="L713" s="54"/>
      <c r="M713" s="54"/>
      <c r="N713" s="54"/>
      <c r="O713" s="26"/>
    </row>
    <row r="714">
      <c r="A714" s="26"/>
      <c r="B714" s="53"/>
      <c r="C714" s="54"/>
      <c r="D714" s="55"/>
      <c r="F714" s="26"/>
      <c r="G714" s="54"/>
      <c r="H714" s="26"/>
      <c r="I714" s="55"/>
      <c r="K714" s="26"/>
      <c r="L714" s="54"/>
      <c r="M714" s="54"/>
      <c r="N714" s="54"/>
      <c r="O714" s="26"/>
    </row>
    <row r="715">
      <c r="A715" s="26"/>
      <c r="B715" s="53"/>
      <c r="C715" s="54"/>
      <c r="D715" s="55"/>
      <c r="F715" s="26"/>
      <c r="G715" s="54"/>
      <c r="H715" s="26"/>
      <c r="I715" s="55"/>
      <c r="K715" s="26"/>
      <c r="L715" s="54"/>
      <c r="M715" s="54"/>
      <c r="N715" s="54"/>
      <c r="O715" s="26"/>
    </row>
    <row r="716">
      <c r="A716" s="26"/>
      <c r="B716" s="53"/>
      <c r="C716" s="54"/>
      <c r="D716" s="55"/>
      <c r="F716" s="26"/>
      <c r="G716" s="54"/>
      <c r="H716" s="26"/>
      <c r="I716" s="55"/>
      <c r="K716" s="26"/>
      <c r="L716" s="54"/>
      <c r="M716" s="54"/>
      <c r="N716" s="54"/>
      <c r="O716" s="26"/>
    </row>
    <row r="717">
      <c r="A717" s="26"/>
      <c r="B717" s="53"/>
      <c r="C717" s="54"/>
      <c r="D717" s="55"/>
      <c r="F717" s="26"/>
      <c r="G717" s="54"/>
      <c r="H717" s="26"/>
      <c r="I717" s="55"/>
      <c r="K717" s="26"/>
      <c r="L717" s="54"/>
      <c r="M717" s="54"/>
      <c r="N717" s="54"/>
      <c r="O717" s="26"/>
    </row>
    <row r="718">
      <c r="A718" s="26"/>
      <c r="B718" s="53"/>
      <c r="C718" s="54"/>
      <c r="D718" s="55"/>
      <c r="F718" s="26"/>
      <c r="G718" s="54"/>
      <c r="H718" s="26"/>
      <c r="I718" s="55"/>
      <c r="K718" s="26"/>
      <c r="L718" s="54"/>
      <c r="M718" s="54"/>
      <c r="N718" s="54"/>
      <c r="O718" s="26"/>
    </row>
    <row r="719">
      <c r="A719" s="26"/>
      <c r="B719" s="53"/>
      <c r="C719" s="54"/>
      <c r="D719" s="55"/>
      <c r="F719" s="26"/>
      <c r="G719" s="54"/>
      <c r="H719" s="26"/>
      <c r="I719" s="55"/>
      <c r="K719" s="26"/>
      <c r="L719" s="54"/>
      <c r="M719" s="54"/>
      <c r="N719" s="54"/>
      <c r="O719" s="26"/>
    </row>
    <row r="720">
      <c r="A720" s="26"/>
      <c r="B720" s="53"/>
      <c r="C720" s="54"/>
      <c r="D720" s="55"/>
      <c r="F720" s="26"/>
      <c r="G720" s="54"/>
      <c r="H720" s="26"/>
      <c r="I720" s="55"/>
      <c r="K720" s="26"/>
      <c r="L720" s="54"/>
      <c r="M720" s="54"/>
      <c r="N720" s="54"/>
      <c r="O720" s="26"/>
    </row>
    <row r="721">
      <c r="A721" s="26"/>
      <c r="B721" s="53"/>
      <c r="C721" s="54"/>
      <c r="D721" s="55"/>
      <c r="F721" s="26"/>
      <c r="G721" s="54"/>
      <c r="H721" s="26"/>
      <c r="I721" s="55"/>
      <c r="K721" s="26"/>
      <c r="L721" s="54"/>
      <c r="M721" s="54"/>
      <c r="N721" s="54"/>
      <c r="O721" s="26"/>
    </row>
    <row r="722">
      <c r="A722" s="26"/>
      <c r="B722" s="53"/>
      <c r="C722" s="54"/>
      <c r="D722" s="55"/>
      <c r="F722" s="26"/>
      <c r="G722" s="54"/>
      <c r="H722" s="26"/>
      <c r="I722" s="55"/>
      <c r="K722" s="26"/>
      <c r="L722" s="54"/>
      <c r="M722" s="54"/>
      <c r="N722" s="54"/>
      <c r="O722" s="26"/>
    </row>
    <row r="723">
      <c r="A723" s="26"/>
      <c r="B723" s="53"/>
      <c r="C723" s="54"/>
      <c r="D723" s="55"/>
      <c r="F723" s="26"/>
      <c r="G723" s="54"/>
      <c r="H723" s="26"/>
      <c r="I723" s="55"/>
      <c r="K723" s="26"/>
      <c r="L723" s="54"/>
      <c r="M723" s="54"/>
      <c r="N723" s="54"/>
      <c r="O723" s="26"/>
    </row>
    <row r="724">
      <c r="A724" s="26"/>
      <c r="B724" s="53"/>
      <c r="C724" s="54"/>
      <c r="D724" s="55"/>
      <c r="F724" s="26"/>
      <c r="G724" s="54"/>
      <c r="H724" s="26"/>
      <c r="I724" s="55"/>
      <c r="K724" s="26"/>
      <c r="L724" s="54"/>
      <c r="M724" s="54"/>
      <c r="N724" s="54"/>
      <c r="O724" s="26"/>
    </row>
    <row r="725">
      <c r="A725" s="26"/>
      <c r="B725" s="53"/>
      <c r="C725" s="54"/>
      <c r="D725" s="55"/>
      <c r="F725" s="26"/>
      <c r="G725" s="54"/>
      <c r="H725" s="26"/>
      <c r="I725" s="55"/>
      <c r="K725" s="26"/>
      <c r="L725" s="54"/>
      <c r="M725" s="54"/>
      <c r="N725" s="54"/>
      <c r="O725" s="26"/>
    </row>
    <row r="726">
      <c r="A726" s="26"/>
      <c r="B726" s="53"/>
      <c r="C726" s="54"/>
      <c r="D726" s="55"/>
      <c r="F726" s="26"/>
      <c r="G726" s="54"/>
      <c r="H726" s="26"/>
      <c r="I726" s="55"/>
      <c r="K726" s="26"/>
      <c r="L726" s="54"/>
      <c r="M726" s="54"/>
      <c r="N726" s="54"/>
      <c r="O726" s="26"/>
    </row>
    <row r="727">
      <c r="A727" s="26"/>
      <c r="B727" s="53"/>
      <c r="C727" s="54"/>
      <c r="D727" s="55"/>
      <c r="F727" s="26"/>
      <c r="G727" s="54"/>
      <c r="H727" s="26"/>
      <c r="I727" s="55"/>
      <c r="K727" s="26"/>
      <c r="L727" s="54"/>
      <c r="M727" s="54"/>
      <c r="N727" s="54"/>
      <c r="O727" s="26"/>
    </row>
    <row r="728">
      <c r="A728" s="26"/>
      <c r="B728" s="53"/>
      <c r="C728" s="54"/>
      <c r="D728" s="55"/>
      <c r="F728" s="26"/>
      <c r="G728" s="54"/>
      <c r="H728" s="26"/>
      <c r="I728" s="55"/>
      <c r="K728" s="26"/>
      <c r="L728" s="54"/>
      <c r="M728" s="54"/>
      <c r="N728" s="54"/>
      <c r="O728" s="26"/>
    </row>
    <row r="729">
      <c r="A729" s="26"/>
      <c r="B729" s="53"/>
      <c r="C729" s="54"/>
      <c r="D729" s="55"/>
      <c r="F729" s="26"/>
      <c r="G729" s="54"/>
      <c r="H729" s="26"/>
      <c r="I729" s="55"/>
      <c r="K729" s="26"/>
      <c r="L729" s="54"/>
      <c r="M729" s="54"/>
      <c r="N729" s="54"/>
      <c r="O729" s="26"/>
    </row>
    <row r="730">
      <c r="A730" s="26"/>
      <c r="B730" s="53"/>
      <c r="C730" s="54"/>
      <c r="D730" s="55"/>
      <c r="F730" s="26"/>
      <c r="G730" s="54"/>
      <c r="H730" s="26"/>
      <c r="I730" s="55"/>
      <c r="K730" s="26"/>
      <c r="L730" s="54"/>
      <c r="M730" s="54"/>
      <c r="N730" s="54"/>
      <c r="O730" s="26"/>
    </row>
    <row r="731">
      <c r="A731" s="26"/>
      <c r="B731" s="53"/>
      <c r="C731" s="54"/>
      <c r="D731" s="55"/>
      <c r="F731" s="26"/>
      <c r="G731" s="54"/>
      <c r="H731" s="26"/>
      <c r="I731" s="55"/>
      <c r="K731" s="26"/>
      <c r="L731" s="54"/>
      <c r="M731" s="54"/>
      <c r="N731" s="54"/>
      <c r="O731" s="26"/>
    </row>
    <row r="732">
      <c r="A732" s="26"/>
      <c r="B732" s="53"/>
      <c r="C732" s="54"/>
      <c r="D732" s="55"/>
      <c r="F732" s="26"/>
      <c r="G732" s="54"/>
      <c r="H732" s="26"/>
      <c r="I732" s="55"/>
      <c r="K732" s="26"/>
      <c r="L732" s="54"/>
      <c r="M732" s="54"/>
      <c r="N732" s="54"/>
      <c r="O732" s="26"/>
    </row>
    <row r="733">
      <c r="A733" s="26"/>
      <c r="B733" s="53"/>
      <c r="C733" s="54"/>
      <c r="D733" s="55"/>
      <c r="F733" s="26"/>
      <c r="G733" s="54"/>
      <c r="H733" s="26"/>
      <c r="I733" s="55"/>
      <c r="K733" s="26"/>
      <c r="L733" s="54"/>
      <c r="M733" s="54"/>
      <c r="N733" s="54"/>
      <c r="O733" s="26"/>
    </row>
    <row r="734">
      <c r="A734" s="26"/>
      <c r="B734" s="53"/>
      <c r="C734" s="54"/>
      <c r="D734" s="55"/>
      <c r="F734" s="26"/>
      <c r="G734" s="54"/>
      <c r="H734" s="26"/>
      <c r="I734" s="55"/>
      <c r="K734" s="26"/>
      <c r="L734" s="54"/>
      <c r="M734" s="54"/>
      <c r="N734" s="54"/>
      <c r="O734" s="26"/>
    </row>
    <row r="735">
      <c r="A735" s="26"/>
      <c r="B735" s="53"/>
      <c r="C735" s="54"/>
      <c r="D735" s="55"/>
      <c r="F735" s="26"/>
      <c r="G735" s="54"/>
      <c r="H735" s="26"/>
      <c r="I735" s="55"/>
      <c r="K735" s="26"/>
      <c r="L735" s="54"/>
      <c r="M735" s="54"/>
      <c r="N735" s="54"/>
      <c r="O735" s="26"/>
    </row>
    <row r="736">
      <c r="A736" s="26"/>
      <c r="B736" s="53"/>
      <c r="C736" s="54"/>
      <c r="D736" s="55"/>
      <c r="F736" s="26"/>
      <c r="G736" s="54"/>
      <c r="H736" s="26"/>
      <c r="I736" s="55"/>
      <c r="K736" s="26"/>
      <c r="L736" s="54"/>
      <c r="M736" s="54"/>
      <c r="N736" s="54"/>
      <c r="O736" s="26"/>
    </row>
    <row r="737">
      <c r="A737" s="26"/>
      <c r="B737" s="53"/>
      <c r="C737" s="54"/>
      <c r="D737" s="55"/>
      <c r="F737" s="26"/>
      <c r="G737" s="54"/>
      <c r="H737" s="26"/>
      <c r="I737" s="55"/>
      <c r="K737" s="26"/>
      <c r="L737" s="54"/>
      <c r="M737" s="54"/>
      <c r="N737" s="54"/>
      <c r="O737" s="26"/>
    </row>
    <row r="738">
      <c r="A738" s="26"/>
      <c r="B738" s="53"/>
      <c r="C738" s="54"/>
      <c r="D738" s="55"/>
      <c r="F738" s="26"/>
      <c r="G738" s="54"/>
      <c r="H738" s="26"/>
      <c r="I738" s="55"/>
      <c r="K738" s="26"/>
      <c r="L738" s="54"/>
      <c r="M738" s="54"/>
      <c r="N738" s="54"/>
      <c r="O738" s="26"/>
    </row>
    <row r="739">
      <c r="A739" s="26"/>
      <c r="B739" s="53"/>
      <c r="C739" s="54"/>
      <c r="D739" s="55"/>
      <c r="F739" s="26"/>
      <c r="G739" s="54"/>
      <c r="H739" s="26"/>
      <c r="I739" s="55"/>
      <c r="K739" s="26"/>
      <c r="L739" s="54"/>
      <c r="M739" s="54"/>
      <c r="N739" s="54"/>
      <c r="O739" s="26"/>
    </row>
    <row r="740">
      <c r="A740" s="26"/>
      <c r="B740" s="53"/>
      <c r="C740" s="54"/>
      <c r="D740" s="55"/>
      <c r="F740" s="26"/>
      <c r="G740" s="54"/>
      <c r="H740" s="26"/>
      <c r="I740" s="55"/>
      <c r="K740" s="26"/>
      <c r="L740" s="54"/>
      <c r="M740" s="54"/>
      <c r="N740" s="54"/>
      <c r="O740" s="26"/>
    </row>
    <row r="741">
      <c r="A741" s="26"/>
      <c r="B741" s="53"/>
      <c r="C741" s="54"/>
      <c r="D741" s="55"/>
      <c r="F741" s="26"/>
      <c r="G741" s="54"/>
      <c r="H741" s="26"/>
      <c r="I741" s="55"/>
      <c r="K741" s="26"/>
      <c r="L741" s="54"/>
      <c r="M741" s="54"/>
      <c r="N741" s="54"/>
      <c r="O741" s="26"/>
    </row>
    <row r="742">
      <c r="A742" s="26"/>
      <c r="B742" s="53"/>
      <c r="C742" s="54"/>
      <c r="D742" s="55"/>
      <c r="F742" s="26"/>
      <c r="G742" s="54"/>
      <c r="H742" s="26"/>
      <c r="I742" s="55"/>
      <c r="K742" s="26"/>
      <c r="L742" s="54"/>
      <c r="M742" s="54"/>
      <c r="N742" s="54"/>
      <c r="O742" s="26"/>
    </row>
    <row r="743">
      <c r="A743" s="26"/>
      <c r="B743" s="53"/>
      <c r="C743" s="54"/>
      <c r="D743" s="55"/>
      <c r="F743" s="26"/>
      <c r="G743" s="54"/>
      <c r="H743" s="26"/>
      <c r="I743" s="55"/>
      <c r="K743" s="26"/>
      <c r="L743" s="54"/>
      <c r="M743" s="54"/>
      <c r="N743" s="54"/>
      <c r="O743" s="26"/>
    </row>
    <row r="744">
      <c r="A744" s="26"/>
      <c r="B744" s="53"/>
      <c r="C744" s="54"/>
      <c r="D744" s="55"/>
      <c r="F744" s="26"/>
      <c r="G744" s="54"/>
      <c r="H744" s="26"/>
      <c r="I744" s="55"/>
      <c r="K744" s="26"/>
      <c r="L744" s="54"/>
      <c r="M744" s="54"/>
      <c r="N744" s="54"/>
      <c r="O744" s="26"/>
    </row>
    <row r="745">
      <c r="A745" s="26"/>
      <c r="B745" s="53"/>
      <c r="C745" s="54"/>
      <c r="D745" s="55"/>
      <c r="F745" s="26"/>
      <c r="G745" s="54"/>
      <c r="H745" s="26"/>
      <c r="I745" s="55"/>
      <c r="K745" s="26"/>
      <c r="L745" s="54"/>
      <c r="M745" s="54"/>
      <c r="N745" s="54"/>
      <c r="O745" s="26"/>
    </row>
    <row r="746">
      <c r="A746" s="26"/>
      <c r="B746" s="53"/>
      <c r="C746" s="54"/>
      <c r="D746" s="55"/>
      <c r="F746" s="26"/>
      <c r="G746" s="54"/>
      <c r="H746" s="26"/>
      <c r="I746" s="55"/>
      <c r="K746" s="26"/>
      <c r="L746" s="54"/>
      <c r="M746" s="54"/>
      <c r="N746" s="54"/>
      <c r="O746" s="26"/>
    </row>
    <row r="747">
      <c r="A747" s="26"/>
      <c r="B747" s="53"/>
      <c r="C747" s="54"/>
      <c r="D747" s="55"/>
      <c r="F747" s="26"/>
      <c r="G747" s="54"/>
      <c r="H747" s="26"/>
      <c r="I747" s="55"/>
      <c r="K747" s="26"/>
      <c r="L747" s="54"/>
      <c r="M747" s="54"/>
      <c r="N747" s="54"/>
      <c r="O747" s="26"/>
    </row>
    <row r="748">
      <c r="A748" s="26"/>
      <c r="B748" s="53"/>
      <c r="C748" s="54"/>
      <c r="D748" s="55"/>
      <c r="F748" s="26"/>
      <c r="G748" s="54"/>
      <c r="H748" s="26"/>
      <c r="I748" s="55"/>
      <c r="K748" s="26"/>
      <c r="L748" s="54"/>
      <c r="M748" s="54"/>
      <c r="N748" s="54"/>
      <c r="O748" s="26"/>
    </row>
    <row r="749">
      <c r="A749" s="26"/>
      <c r="B749" s="53"/>
      <c r="C749" s="54"/>
      <c r="D749" s="55"/>
      <c r="F749" s="26"/>
      <c r="G749" s="54"/>
      <c r="H749" s="26"/>
      <c r="I749" s="55"/>
      <c r="K749" s="26"/>
      <c r="L749" s="54"/>
      <c r="M749" s="54"/>
      <c r="N749" s="54"/>
      <c r="O749" s="26"/>
    </row>
    <row r="750">
      <c r="A750" s="26"/>
      <c r="B750" s="53"/>
      <c r="C750" s="54"/>
      <c r="D750" s="55"/>
      <c r="F750" s="26"/>
      <c r="G750" s="54"/>
      <c r="H750" s="26"/>
      <c r="I750" s="55"/>
      <c r="K750" s="26"/>
      <c r="L750" s="54"/>
      <c r="M750" s="54"/>
      <c r="N750" s="54"/>
      <c r="O750" s="26"/>
    </row>
    <row r="751">
      <c r="A751" s="26"/>
      <c r="B751" s="53"/>
      <c r="C751" s="54"/>
      <c r="D751" s="55"/>
      <c r="F751" s="26"/>
      <c r="G751" s="54"/>
      <c r="H751" s="26"/>
      <c r="I751" s="55"/>
      <c r="K751" s="26"/>
      <c r="L751" s="54"/>
      <c r="M751" s="54"/>
      <c r="N751" s="54"/>
      <c r="O751" s="26"/>
    </row>
    <row r="752">
      <c r="A752" s="26"/>
      <c r="B752" s="53"/>
      <c r="C752" s="54"/>
      <c r="D752" s="55"/>
      <c r="F752" s="26"/>
      <c r="G752" s="54"/>
      <c r="H752" s="26"/>
      <c r="I752" s="55"/>
      <c r="K752" s="26"/>
      <c r="L752" s="54"/>
      <c r="M752" s="54"/>
      <c r="N752" s="54"/>
      <c r="O752" s="26"/>
    </row>
    <row r="753">
      <c r="A753" s="26"/>
      <c r="B753" s="53"/>
      <c r="C753" s="54"/>
      <c r="D753" s="55"/>
      <c r="F753" s="26"/>
      <c r="G753" s="54"/>
      <c r="H753" s="26"/>
      <c r="I753" s="55"/>
      <c r="K753" s="26"/>
      <c r="L753" s="54"/>
      <c r="M753" s="54"/>
      <c r="N753" s="54"/>
      <c r="O753" s="26"/>
    </row>
    <row r="754">
      <c r="A754" s="26"/>
      <c r="B754" s="53"/>
      <c r="C754" s="54"/>
      <c r="D754" s="55"/>
      <c r="F754" s="26"/>
      <c r="G754" s="54"/>
      <c r="H754" s="26"/>
      <c r="I754" s="55"/>
      <c r="K754" s="26"/>
      <c r="L754" s="54"/>
      <c r="M754" s="54"/>
      <c r="N754" s="54"/>
      <c r="O754" s="26"/>
    </row>
    <row r="755">
      <c r="A755" s="26"/>
      <c r="B755" s="53"/>
      <c r="C755" s="54"/>
      <c r="D755" s="55"/>
      <c r="F755" s="26"/>
      <c r="G755" s="54"/>
      <c r="H755" s="26"/>
      <c r="I755" s="55"/>
      <c r="K755" s="26"/>
      <c r="L755" s="54"/>
      <c r="M755" s="54"/>
      <c r="N755" s="54"/>
      <c r="O755" s="26"/>
    </row>
    <row r="756">
      <c r="A756" s="26"/>
      <c r="B756" s="53"/>
      <c r="C756" s="54"/>
      <c r="D756" s="55"/>
      <c r="F756" s="26"/>
      <c r="G756" s="54"/>
      <c r="H756" s="26"/>
      <c r="I756" s="55"/>
      <c r="K756" s="26"/>
      <c r="L756" s="54"/>
      <c r="M756" s="54"/>
      <c r="N756" s="54"/>
      <c r="O756" s="26"/>
    </row>
    <row r="757">
      <c r="A757" s="26"/>
      <c r="B757" s="53"/>
      <c r="C757" s="54"/>
      <c r="D757" s="55"/>
      <c r="F757" s="26"/>
      <c r="G757" s="54"/>
      <c r="H757" s="26"/>
      <c r="I757" s="55"/>
      <c r="K757" s="26"/>
      <c r="L757" s="54"/>
      <c r="M757" s="54"/>
      <c r="N757" s="54"/>
      <c r="O757" s="26"/>
    </row>
    <row r="758">
      <c r="A758" s="26"/>
      <c r="B758" s="53"/>
      <c r="C758" s="54"/>
      <c r="D758" s="55"/>
      <c r="F758" s="26"/>
      <c r="G758" s="54"/>
      <c r="H758" s="26"/>
      <c r="I758" s="55"/>
      <c r="K758" s="26"/>
      <c r="L758" s="54"/>
      <c r="M758" s="54"/>
      <c r="N758" s="54"/>
      <c r="O758" s="26"/>
    </row>
    <row r="759">
      <c r="A759" s="26"/>
      <c r="B759" s="53"/>
      <c r="C759" s="54"/>
      <c r="D759" s="55"/>
      <c r="F759" s="26"/>
      <c r="G759" s="54"/>
      <c r="H759" s="26"/>
      <c r="I759" s="55"/>
      <c r="K759" s="26"/>
      <c r="L759" s="54"/>
      <c r="M759" s="54"/>
      <c r="N759" s="54"/>
      <c r="O759" s="26"/>
    </row>
    <row r="760">
      <c r="A760" s="26"/>
      <c r="B760" s="53"/>
      <c r="C760" s="54"/>
      <c r="D760" s="55"/>
      <c r="F760" s="26"/>
      <c r="G760" s="54"/>
      <c r="H760" s="26"/>
      <c r="I760" s="55"/>
      <c r="K760" s="26"/>
      <c r="L760" s="54"/>
      <c r="M760" s="54"/>
      <c r="N760" s="54"/>
      <c r="O760" s="26"/>
    </row>
    <row r="761">
      <c r="A761" s="26"/>
      <c r="B761" s="53"/>
      <c r="C761" s="54"/>
      <c r="D761" s="55"/>
      <c r="F761" s="26"/>
      <c r="G761" s="54"/>
      <c r="H761" s="26"/>
      <c r="I761" s="55"/>
      <c r="K761" s="26"/>
      <c r="L761" s="54"/>
      <c r="M761" s="54"/>
      <c r="N761" s="54"/>
      <c r="O761" s="26"/>
    </row>
    <row r="762">
      <c r="A762" s="26"/>
      <c r="B762" s="53"/>
      <c r="C762" s="54"/>
      <c r="D762" s="55"/>
      <c r="F762" s="26"/>
      <c r="G762" s="54"/>
      <c r="H762" s="26"/>
      <c r="I762" s="55"/>
      <c r="K762" s="26"/>
      <c r="L762" s="54"/>
      <c r="M762" s="54"/>
      <c r="N762" s="54"/>
      <c r="O762" s="26"/>
    </row>
    <row r="763">
      <c r="A763" s="26"/>
      <c r="B763" s="53"/>
      <c r="C763" s="54"/>
      <c r="D763" s="55"/>
      <c r="F763" s="26"/>
      <c r="G763" s="54"/>
      <c r="H763" s="26"/>
      <c r="I763" s="55"/>
      <c r="K763" s="26"/>
      <c r="L763" s="54"/>
      <c r="M763" s="54"/>
      <c r="N763" s="54"/>
      <c r="O763" s="26"/>
    </row>
    <row r="764">
      <c r="A764" s="26"/>
      <c r="B764" s="53"/>
      <c r="C764" s="54"/>
      <c r="D764" s="55"/>
      <c r="F764" s="26"/>
      <c r="G764" s="54"/>
      <c r="H764" s="26"/>
      <c r="I764" s="55"/>
      <c r="K764" s="26"/>
      <c r="L764" s="54"/>
      <c r="M764" s="54"/>
      <c r="N764" s="54"/>
      <c r="O764" s="26"/>
    </row>
    <row r="765">
      <c r="A765" s="26"/>
      <c r="B765" s="53"/>
      <c r="C765" s="54"/>
      <c r="D765" s="55"/>
      <c r="F765" s="26"/>
      <c r="G765" s="54"/>
      <c r="H765" s="26"/>
      <c r="I765" s="55"/>
      <c r="K765" s="26"/>
      <c r="L765" s="54"/>
      <c r="M765" s="54"/>
      <c r="N765" s="54"/>
      <c r="O765" s="26"/>
    </row>
    <row r="766">
      <c r="A766" s="26"/>
      <c r="B766" s="53"/>
      <c r="C766" s="54"/>
      <c r="D766" s="55"/>
      <c r="F766" s="26"/>
      <c r="G766" s="54"/>
      <c r="H766" s="26"/>
      <c r="I766" s="55"/>
      <c r="K766" s="26"/>
      <c r="L766" s="54"/>
      <c r="M766" s="54"/>
      <c r="N766" s="54"/>
      <c r="O766" s="26"/>
    </row>
    <row r="767">
      <c r="A767" s="26"/>
      <c r="B767" s="53"/>
      <c r="C767" s="54"/>
      <c r="D767" s="55"/>
      <c r="F767" s="26"/>
      <c r="G767" s="54"/>
      <c r="H767" s="26"/>
      <c r="I767" s="55"/>
      <c r="K767" s="26"/>
      <c r="L767" s="54"/>
      <c r="M767" s="54"/>
      <c r="N767" s="54"/>
      <c r="O767" s="26"/>
    </row>
    <row r="768">
      <c r="A768" s="26"/>
      <c r="B768" s="53"/>
      <c r="C768" s="54"/>
      <c r="D768" s="55"/>
      <c r="F768" s="26"/>
      <c r="G768" s="54"/>
      <c r="H768" s="26"/>
      <c r="I768" s="55"/>
      <c r="K768" s="26"/>
      <c r="L768" s="54"/>
      <c r="M768" s="54"/>
      <c r="N768" s="54"/>
      <c r="O768" s="26"/>
    </row>
    <row r="769">
      <c r="A769" s="26"/>
      <c r="B769" s="53"/>
      <c r="C769" s="54"/>
      <c r="D769" s="55"/>
      <c r="F769" s="26"/>
      <c r="G769" s="54"/>
      <c r="H769" s="26"/>
      <c r="I769" s="55"/>
      <c r="K769" s="26"/>
      <c r="L769" s="54"/>
      <c r="M769" s="54"/>
      <c r="N769" s="54"/>
      <c r="O769" s="26"/>
    </row>
    <row r="770">
      <c r="A770" s="26"/>
      <c r="B770" s="53"/>
      <c r="C770" s="54"/>
      <c r="D770" s="55"/>
      <c r="F770" s="26"/>
      <c r="G770" s="54"/>
      <c r="H770" s="26"/>
      <c r="I770" s="55"/>
      <c r="K770" s="26"/>
      <c r="L770" s="54"/>
      <c r="M770" s="54"/>
      <c r="N770" s="54"/>
      <c r="O770" s="26"/>
    </row>
    <row r="771">
      <c r="A771" s="26"/>
      <c r="B771" s="53"/>
      <c r="C771" s="54"/>
      <c r="D771" s="55"/>
      <c r="F771" s="26"/>
      <c r="G771" s="54"/>
      <c r="H771" s="26"/>
      <c r="I771" s="55"/>
      <c r="K771" s="26"/>
      <c r="L771" s="54"/>
      <c r="M771" s="54"/>
      <c r="N771" s="54"/>
      <c r="O771" s="26"/>
    </row>
    <row r="772">
      <c r="A772" s="26"/>
      <c r="B772" s="53"/>
      <c r="C772" s="54"/>
      <c r="D772" s="55"/>
      <c r="F772" s="26"/>
      <c r="G772" s="54"/>
      <c r="H772" s="26"/>
      <c r="I772" s="55"/>
      <c r="K772" s="26"/>
      <c r="L772" s="54"/>
      <c r="M772" s="54"/>
      <c r="N772" s="54"/>
      <c r="O772" s="26"/>
    </row>
    <row r="773">
      <c r="A773" s="26"/>
      <c r="B773" s="53"/>
      <c r="C773" s="54"/>
      <c r="D773" s="55"/>
      <c r="F773" s="26"/>
      <c r="G773" s="54"/>
      <c r="H773" s="26"/>
      <c r="I773" s="55"/>
      <c r="K773" s="26"/>
      <c r="L773" s="54"/>
      <c r="M773" s="54"/>
      <c r="N773" s="54"/>
      <c r="O773" s="26"/>
    </row>
    <row r="774">
      <c r="A774" s="26"/>
      <c r="B774" s="53"/>
      <c r="C774" s="54"/>
      <c r="D774" s="55"/>
      <c r="F774" s="26"/>
      <c r="G774" s="54"/>
      <c r="H774" s="26"/>
      <c r="I774" s="55"/>
      <c r="K774" s="26"/>
      <c r="L774" s="54"/>
      <c r="M774" s="54"/>
      <c r="N774" s="54"/>
      <c r="O774" s="26"/>
    </row>
    <row r="775">
      <c r="A775" s="26"/>
      <c r="B775" s="53"/>
      <c r="C775" s="54"/>
      <c r="D775" s="55"/>
      <c r="F775" s="26"/>
      <c r="G775" s="54"/>
      <c r="H775" s="26"/>
      <c r="I775" s="55"/>
      <c r="K775" s="26"/>
      <c r="L775" s="54"/>
      <c r="M775" s="54"/>
      <c r="N775" s="54"/>
      <c r="O775" s="26"/>
    </row>
    <row r="776">
      <c r="A776" s="26"/>
      <c r="B776" s="53"/>
      <c r="C776" s="54"/>
      <c r="D776" s="55"/>
      <c r="F776" s="26"/>
      <c r="G776" s="54"/>
      <c r="H776" s="26"/>
      <c r="I776" s="55"/>
      <c r="K776" s="26"/>
      <c r="L776" s="54"/>
      <c r="M776" s="54"/>
      <c r="N776" s="54"/>
      <c r="O776" s="26"/>
    </row>
    <row r="777">
      <c r="A777" s="26"/>
      <c r="B777" s="53"/>
      <c r="C777" s="54"/>
      <c r="D777" s="55"/>
      <c r="F777" s="26"/>
      <c r="G777" s="54"/>
      <c r="H777" s="26"/>
      <c r="I777" s="55"/>
      <c r="K777" s="26"/>
      <c r="L777" s="54"/>
      <c r="M777" s="54"/>
      <c r="N777" s="54"/>
      <c r="O777" s="26"/>
    </row>
    <row r="778">
      <c r="A778" s="26"/>
      <c r="B778" s="53"/>
      <c r="C778" s="54"/>
      <c r="D778" s="55"/>
      <c r="F778" s="26"/>
      <c r="G778" s="54"/>
      <c r="H778" s="26"/>
      <c r="I778" s="55"/>
      <c r="K778" s="26"/>
      <c r="L778" s="54"/>
      <c r="M778" s="54"/>
      <c r="N778" s="54"/>
      <c r="O778" s="26"/>
    </row>
    <row r="779">
      <c r="A779" s="26"/>
      <c r="B779" s="53"/>
      <c r="C779" s="54"/>
      <c r="D779" s="55"/>
      <c r="F779" s="26"/>
      <c r="G779" s="54"/>
      <c r="H779" s="26"/>
      <c r="I779" s="55"/>
      <c r="K779" s="26"/>
      <c r="L779" s="54"/>
      <c r="M779" s="54"/>
      <c r="N779" s="54"/>
      <c r="O779" s="26"/>
    </row>
    <row r="780">
      <c r="A780" s="26"/>
      <c r="B780" s="53"/>
      <c r="C780" s="54"/>
      <c r="D780" s="55"/>
      <c r="F780" s="26"/>
      <c r="G780" s="54"/>
      <c r="H780" s="26"/>
      <c r="I780" s="55"/>
      <c r="K780" s="26"/>
      <c r="L780" s="54"/>
      <c r="M780" s="54"/>
      <c r="N780" s="54"/>
      <c r="O780" s="26"/>
    </row>
    <row r="781">
      <c r="A781" s="26"/>
      <c r="B781" s="53"/>
      <c r="C781" s="54"/>
      <c r="D781" s="55"/>
      <c r="F781" s="26"/>
      <c r="G781" s="54"/>
      <c r="H781" s="26"/>
      <c r="I781" s="55"/>
      <c r="K781" s="26"/>
      <c r="L781" s="54"/>
      <c r="M781" s="54"/>
      <c r="N781" s="54"/>
      <c r="O781" s="26"/>
    </row>
    <row r="782">
      <c r="A782" s="26"/>
      <c r="B782" s="53"/>
      <c r="C782" s="54"/>
      <c r="D782" s="55"/>
      <c r="F782" s="26"/>
      <c r="G782" s="54"/>
      <c r="H782" s="26"/>
      <c r="I782" s="55"/>
      <c r="K782" s="26"/>
      <c r="L782" s="54"/>
      <c r="M782" s="54"/>
      <c r="N782" s="54"/>
      <c r="O782" s="26"/>
    </row>
    <row r="783">
      <c r="A783" s="26"/>
      <c r="B783" s="53"/>
      <c r="C783" s="54"/>
      <c r="D783" s="55"/>
      <c r="F783" s="26"/>
      <c r="G783" s="54"/>
      <c r="H783" s="26"/>
      <c r="I783" s="55"/>
      <c r="K783" s="26"/>
      <c r="L783" s="54"/>
      <c r="M783" s="54"/>
      <c r="N783" s="54"/>
      <c r="O783" s="26"/>
    </row>
    <row r="784">
      <c r="A784" s="26"/>
      <c r="B784" s="53"/>
      <c r="C784" s="54"/>
      <c r="D784" s="55"/>
      <c r="F784" s="26"/>
      <c r="G784" s="54"/>
      <c r="H784" s="26"/>
      <c r="I784" s="55"/>
      <c r="K784" s="26"/>
      <c r="L784" s="54"/>
      <c r="M784" s="54"/>
      <c r="N784" s="54"/>
      <c r="O784" s="26"/>
    </row>
    <row r="785">
      <c r="A785" s="26"/>
      <c r="B785" s="53"/>
      <c r="C785" s="54"/>
      <c r="D785" s="55"/>
      <c r="F785" s="26"/>
      <c r="G785" s="54"/>
      <c r="H785" s="26"/>
      <c r="I785" s="55"/>
      <c r="K785" s="26"/>
      <c r="L785" s="54"/>
      <c r="M785" s="54"/>
      <c r="N785" s="54"/>
      <c r="O785" s="26"/>
    </row>
    <row r="786">
      <c r="A786" s="26"/>
      <c r="B786" s="53"/>
      <c r="C786" s="54"/>
      <c r="D786" s="55"/>
      <c r="F786" s="26"/>
      <c r="G786" s="54"/>
      <c r="H786" s="26"/>
      <c r="I786" s="55"/>
      <c r="K786" s="26"/>
      <c r="L786" s="54"/>
      <c r="M786" s="54"/>
      <c r="N786" s="54"/>
      <c r="O786" s="26"/>
    </row>
    <row r="787">
      <c r="A787" s="26"/>
      <c r="B787" s="53"/>
      <c r="C787" s="54"/>
      <c r="D787" s="55"/>
      <c r="F787" s="26"/>
      <c r="G787" s="54"/>
      <c r="H787" s="26"/>
      <c r="I787" s="55"/>
      <c r="K787" s="26"/>
      <c r="L787" s="54"/>
      <c r="M787" s="54"/>
      <c r="N787" s="54"/>
      <c r="O787" s="26"/>
    </row>
    <row r="788">
      <c r="A788" s="26"/>
      <c r="B788" s="53"/>
      <c r="C788" s="54"/>
      <c r="D788" s="55"/>
      <c r="F788" s="26"/>
      <c r="G788" s="54"/>
      <c r="H788" s="26"/>
      <c r="I788" s="55"/>
      <c r="K788" s="26"/>
      <c r="L788" s="54"/>
      <c r="M788" s="54"/>
      <c r="N788" s="54"/>
      <c r="O788" s="26"/>
    </row>
    <row r="789">
      <c r="A789" s="26"/>
      <c r="B789" s="53"/>
      <c r="C789" s="54"/>
      <c r="D789" s="55"/>
      <c r="F789" s="26"/>
      <c r="G789" s="54"/>
      <c r="H789" s="26"/>
      <c r="I789" s="55"/>
      <c r="K789" s="26"/>
      <c r="L789" s="54"/>
      <c r="M789" s="54"/>
      <c r="N789" s="54"/>
      <c r="O789" s="26"/>
    </row>
    <row r="790">
      <c r="A790" s="26"/>
      <c r="B790" s="53"/>
      <c r="C790" s="54"/>
      <c r="D790" s="55"/>
      <c r="F790" s="26"/>
      <c r="G790" s="54"/>
      <c r="H790" s="26"/>
      <c r="I790" s="55"/>
      <c r="K790" s="26"/>
      <c r="L790" s="54"/>
      <c r="M790" s="54"/>
      <c r="N790" s="54"/>
      <c r="O790" s="26"/>
    </row>
    <row r="791">
      <c r="A791" s="26"/>
      <c r="B791" s="53"/>
      <c r="C791" s="54"/>
      <c r="D791" s="55"/>
      <c r="F791" s="26"/>
      <c r="G791" s="54"/>
      <c r="H791" s="26"/>
      <c r="I791" s="55"/>
      <c r="K791" s="26"/>
      <c r="L791" s="54"/>
      <c r="M791" s="54"/>
      <c r="N791" s="54"/>
      <c r="O791" s="26"/>
    </row>
    <row r="792">
      <c r="A792" s="26"/>
      <c r="B792" s="53"/>
      <c r="C792" s="54"/>
      <c r="D792" s="55"/>
      <c r="F792" s="26"/>
      <c r="G792" s="54"/>
      <c r="H792" s="26"/>
      <c r="I792" s="55"/>
      <c r="K792" s="26"/>
      <c r="L792" s="54"/>
      <c r="M792" s="54"/>
      <c r="N792" s="54"/>
      <c r="O792" s="26"/>
    </row>
    <row r="793">
      <c r="A793" s="26"/>
      <c r="B793" s="53"/>
      <c r="C793" s="54"/>
      <c r="D793" s="55"/>
      <c r="F793" s="26"/>
      <c r="G793" s="54"/>
      <c r="H793" s="26"/>
      <c r="I793" s="55"/>
      <c r="K793" s="26"/>
      <c r="L793" s="54"/>
      <c r="M793" s="54"/>
      <c r="N793" s="54"/>
      <c r="O793" s="26"/>
    </row>
    <row r="794">
      <c r="A794" s="26"/>
      <c r="B794" s="53"/>
      <c r="C794" s="54"/>
      <c r="D794" s="55"/>
      <c r="F794" s="26"/>
      <c r="G794" s="54"/>
      <c r="H794" s="26"/>
      <c r="I794" s="55"/>
      <c r="K794" s="26"/>
      <c r="L794" s="54"/>
      <c r="M794" s="54"/>
      <c r="N794" s="54"/>
      <c r="O794" s="26"/>
    </row>
    <row r="795">
      <c r="A795" s="26"/>
      <c r="B795" s="53"/>
      <c r="C795" s="54"/>
      <c r="D795" s="55"/>
      <c r="F795" s="26"/>
      <c r="G795" s="54"/>
      <c r="H795" s="26"/>
      <c r="I795" s="55"/>
      <c r="K795" s="26"/>
      <c r="L795" s="54"/>
      <c r="M795" s="54"/>
      <c r="N795" s="54"/>
      <c r="O795" s="26"/>
    </row>
    <row r="796">
      <c r="A796" s="26"/>
      <c r="B796" s="53"/>
      <c r="C796" s="54"/>
      <c r="D796" s="55"/>
      <c r="F796" s="26"/>
      <c r="G796" s="54"/>
      <c r="H796" s="26"/>
      <c r="I796" s="55"/>
      <c r="K796" s="26"/>
      <c r="L796" s="54"/>
      <c r="M796" s="54"/>
      <c r="N796" s="54"/>
      <c r="O796" s="26"/>
    </row>
    <row r="797">
      <c r="A797" s="26"/>
      <c r="B797" s="53"/>
      <c r="C797" s="54"/>
      <c r="D797" s="55"/>
      <c r="F797" s="26"/>
      <c r="G797" s="54"/>
      <c r="H797" s="26"/>
      <c r="I797" s="55"/>
      <c r="K797" s="26"/>
      <c r="L797" s="54"/>
      <c r="M797" s="54"/>
      <c r="N797" s="54"/>
      <c r="O797" s="26"/>
    </row>
    <row r="798">
      <c r="A798" s="26"/>
      <c r="B798" s="53"/>
      <c r="C798" s="54"/>
      <c r="D798" s="55"/>
      <c r="F798" s="26"/>
      <c r="G798" s="54"/>
      <c r="H798" s="26"/>
      <c r="I798" s="55"/>
      <c r="K798" s="26"/>
      <c r="L798" s="54"/>
      <c r="M798" s="54"/>
      <c r="N798" s="54"/>
      <c r="O798" s="26"/>
    </row>
    <row r="799">
      <c r="A799" s="26"/>
      <c r="B799" s="53"/>
      <c r="C799" s="54"/>
      <c r="D799" s="55"/>
      <c r="F799" s="26"/>
      <c r="G799" s="54"/>
      <c r="H799" s="26"/>
      <c r="I799" s="55"/>
      <c r="K799" s="26"/>
      <c r="L799" s="54"/>
      <c r="M799" s="54"/>
      <c r="N799" s="54"/>
      <c r="O799" s="26"/>
    </row>
    <row r="800">
      <c r="A800" s="26"/>
      <c r="B800" s="53"/>
      <c r="C800" s="54"/>
      <c r="D800" s="55"/>
      <c r="F800" s="26"/>
      <c r="G800" s="54"/>
      <c r="H800" s="26"/>
      <c r="I800" s="55"/>
      <c r="K800" s="26"/>
      <c r="L800" s="54"/>
      <c r="M800" s="54"/>
      <c r="N800" s="54"/>
      <c r="O800" s="26"/>
    </row>
    <row r="801">
      <c r="A801" s="26"/>
      <c r="B801" s="53"/>
      <c r="C801" s="54"/>
      <c r="D801" s="55"/>
      <c r="F801" s="26"/>
      <c r="G801" s="54"/>
      <c r="H801" s="26"/>
      <c r="I801" s="55"/>
      <c r="K801" s="26"/>
      <c r="L801" s="54"/>
      <c r="M801" s="54"/>
      <c r="N801" s="54"/>
      <c r="O801" s="26"/>
    </row>
    <row r="802">
      <c r="A802" s="26"/>
      <c r="B802" s="53"/>
      <c r="C802" s="54"/>
      <c r="D802" s="55"/>
      <c r="F802" s="26"/>
      <c r="G802" s="54"/>
      <c r="H802" s="26"/>
      <c r="I802" s="55"/>
      <c r="K802" s="26"/>
      <c r="L802" s="54"/>
      <c r="M802" s="54"/>
      <c r="N802" s="54"/>
      <c r="O802" s="26"/>
    </row>
    <row r="803">
      <c r="A803" s="26"/>
      <c r="B803" s="53"/>
      <c r="C803" s="54"/>
      <c r="D803" s="55"/>
      <c r="F803" s="26"/>
      <c r="G803" s="54"/>
      <c r="H803" s="26"/>
      <c r="I803" s="55"/>
      <c r="K803" s="26"/>
      <c r="L803" s="54"/>
      <c r="M803" s="54"/>
      <c r="N803" s="54"/>
      <c r="O803" s="26"/>
    </row>
    <row r="804">
      <c r="A804" s="26"/>
      <c r="B804" s="53"/>
      <c r="C804" s="54"/>
      <c r="D804" s="55"/>
      <c r="F804" s="26"/>
      <c r="G804" s="54"/>
      <c r="H804" s="26"/>
      <c r="I804" s="55"/>
      <c r="K804" s="26"/>
      <c r="L804" s="54"/>
      <c r="M804" s="54"/>
      <c r="N804" s="54"/>
      <c r="O804" s="26"/>
    </row>
    <row r="805">
      <c r="A805" s="26"/>
      <c r="B805" s="53"/>
      <c r="C805" s="54"/>
      <c r="D805" s="55"/>
      <c r="F805" s="26"/>
      <c r="G805" s="54"/>
      <c r="H805" s="26"/>
      <c r="I805" s="55"/>
      <c r="K805" s="26"/>
      <c r="L805" s="54"/>
      <c r="M805" s="54"/>
      <c r="N805" s="54"/>
      <c r="O805" s="26"/>
    </row>
    <row r="806">
      <c r="A806" s="26"/>
      <c r="B806" s="53"/>
      <c r="C806" s="54"/>
      <c r="D806" s="55"/>
      <c r="F806" s="26"/>
      <c r="G806" s="54"/>
      <c r="H806" s="26"/>
      <c r="I806" s="55"/>
      <c r="K806" s="26"/>
      <c r="L806" s="54"/>
      <c r="M806" s="54"/>
      <c r="N806" s="54"/>
      <c r="O806" s="26"/>
    </row>
    <row r="807">
      <c r="A807" s="26"/>
      <c r="B807" s="53"/>
      <c r="C807" s="54"/>
      <c r="D807" s="55"/>
      <c r="F807" s="26"/>
      <c r="G807" s="54"/>
      <c r="H807" s="26"/>
      <c r="I807" s="55"/>
      <c r="K807" s="26"/>
      <c r="L807" s="54"/>
      <c r="M807" s="54"/>
      <c r="N807" s="54"/>
      <c r="O807" s="26"/>
    </row>
    <row r="808">
      <c r="A808" s="26"/>
      <c r="B808" s="53"/>
      <c r="C808" s="54"/>
      <c r="D808" s="55"/>
      <c r="F808" s="26"/>
      <c r="G808" s="54"/>
      <c r="H808" s="26"/>
      <c r="I808" s="55"/>
      <c r="K808" s="26"/>
      <c r="L808" s="54"/>
      <c r="M808" s="54"/>
      <c r="N808" s="54"/>
      <c r="O808" s="26"/>
    </row>
    <row r="809">
      <c r="A809" s="26"/>
      <c r="B809" s="53"/>
      <c r="C809" s="54"/>
      <c r="D809" s="55"/>
      <c r="F809" s="26"/>
      <c r="G809" s="54"/>
      <c r="H809" s="26"/>
      <c r="I809" s="55"/>
      <c r="K809" s="26"/>
      <c r="L809" s="54"/>
      <c r="M809" s="54"/>
      <c r="N809" s="54"/>
      <c r="O809" s="26"/>
    </row>
    <row r="810">
      <c r="A810" s="26"/>
      <c r="B810" s="53"/>
      <c r="C810" s="54"/>
      <c r="D810" s="55"/>
      <c r="F810" s="26"/>
      <c r="G810" s="54"/>
      <c r="H810" s="26"/>
      <c r="I810" s="55"/>
      <c r="K810" s="26"/>
      <c r="L810" s="54"/>
      <c r="M810" s="54"/>
      <c r="N810" s="54"/>
      <c r="O810" s="26"/>
    </row>
    <row r="811">
      <c r="A811" s="26"/>
      <c r="B811" s="53"/>
      <c r="C811" s="54"/>
      <c r="D811" s="55"/>
      <c r="F811" s="26"/>
      <c r="G811" s="54"/>
      <c r="H811" s="26"/>
      <c r="I811" s="55"/>
      <c r="K811" s="26"/>
      <c r="L811" s="54"/>
      <c r="M811" s="54"/>
      <c r="N811" s="54"/>
      <c r="O811" s="26"/>
    </row>
    <row r="812">
      <c r="A812" s="26"/>
      <c r="B812" s="53"/>
      <c r="C812" s="54"/>
      <c r="D812" s="55"/>
      <c r="F812" s="26"/>
      <c r="G812" s="54"/>
      <c r="H812" s="26"/>
      <c r="I812" s="55"/>
      <c r="K812" s="26"/>
      <c r="L812" s="54"/>
      <c r="M812" s="54"/>
      <c r="N812" s="54"/>
      <c r="O812" s="26"/>
    </row>
    <row r="813">
      <c r="A813" s="26"/>
      <c r="B813" s="53"/>
      <c r="C813" s="54"/>
      <c r="D813" s="55"/>
      <c r="F813" s="26"/>
      <c r="G813" s="54"/>
      <c r="H813" s="26"/>
      <c r="I813" s="55"/>
      <c r="K813" s="26"/>
      <c r="L813" s="54"/>
      <c r="M813" s="54"/>
      <c r="N813" s="54"/>
      <c r="O813" s="26"/>
    </row>
    <row r="814">
      <c r="A814" s="26"/>
      <c r="B814" s="53"/>
      <c r="C814" s="54"/>
      <c r="D814" s="55"/>
      <c r="F814" s="26"/>
      <c r="G814" s="54"/>
      <c r="H814" s="26"/>
      <c r="I814" s="55"/>
      <c r="K814" s="26"/>
      <c r="L814" s="54"/>
      <c r="M814" s="54"/>
      <c r="N814" s="54"/>
      <c r="O814" s="26"/>
    </row>
    <row r="815">
      <c r="A815" s="26"/>
      <c r="B815" s="53"/>
      <c r="C815" s="54"/>
      <c r="D815" s="55"/>
      <c r="F815" s="26"/>
      <c r="G815" s="54"/>
      <c r="H815" s="26"/>
      <c r="I815" s="55"/>
      <c r="K815" s="26"/>
      <c r="L815" s="54"/>
      <c r="M815" s="54"/>
      <c r="N815" s="54"/>
      <c r="O815" s="26"/>
    </row>
    <row r="816">
      <c r="A816" s="26"/>
      <c r="B816" s="53"/>
      <c r="C816" s="54"/>
      <c r="D816" s="55"/>
      <c r="F816" s="26"/>
      <c r="G816" s="54"/>
      <c r="H816" s="26"/>
      <c r="I816" s="55"/>
      <c r="K816" s="26"/>
      <c r="L816" s="54"/>
      <c r="M816" s="54"/>
      <c r="N816" s="54"/>
      <c r="O816" s="26"/>
    </row>
    <row r="817">
      <c r="A817" s="26"/>
      <c r="B817" s="53"/>
      <c r="C817" s="54"/>
      <c r="D817" s="55"/>
      <c r="F817" s="26"/>
      <c r="G817" s="54"/>
      <c r="H817" s="26"/>
      <c r="I817" s="55"/>
      <c r="K817" s="26"/>
      <c r="L817" s="54"/>
      <c r="M817" s="54"/>
      <c r="N817" s="54"/>
      <c r="O817" s="26"/>
    </row>
    <row r="818">
      <c r="A818" s="26"/>
      <c r="B818" s="53"/>
      <c r="C818" s="54"/>
      <c r="D818" s="55"/>
      <c r="F818" s="26"/>
      <c r="G818" s="54"/>
      <c r="H818" s="26"/>
      <c r="I818" s="55"/>
      <c r="K818" s="26"/>
      <c r="L818" s="54"/>
      <c r="M818" s="54"/>
      <c r="N818" s="54"/>
      <c r="O818" s="26"/>
    </row>
    <row r="819">
      <c r="A819" s="26"/>
      <c r="B819" s="53"/>
      <c r="C819" s="54"/>
      <c r="D819" s="55"/>
      <c r="F819" s="26"/>
      <c r="G819" s="54"/>
      <c r="H819" s="26"/>
      <c r="I819" s="55"/>
      <c r="K819" s="26"/>
      <c r="L819" s="54"/>
      <c r="M819" s="54"/>
      <c r="N819" s="54"/>
      <c r="O819" s="26"/>
    </row>
    <row r="820">
      <c r="A820" s="26"/>
      <c r="B820" s="53"/>
      <c r="C820" s="54"/>
      <c r="D820" s="55"/>
      <c r="F820" s="26"/>
      <c r="G820" s="54"/>
      <c r="H820" s="26"/>
      <c r="I820" s="55"/>
      <c r="K820" s="26"/>
      <c r="L820" s="54"/>
      <c r="M820" s="54"/>
      <c r="N820" s="54"/>
      <c r="O820" s="26"/>
    </row>
    <row r="821">
      <c r="A821" s="26"/>
      <c r="B821" s="53"/>
      <c r="C821" s="54"/>
      <c r="D821" s="55"/>
      <c r="F821" s="26"/>
      <c r="G821" s="54"/>
      <c r="H821" s="26"/>
      <c r="I821" s="55"/>
      <c r="K821" s="26"/>
      <c r="L821" s="54"/>
      <c r="M821" s="54"/>
      <c r="N821" s="54"/>
      <c r="O821" s="26"/>
    </row>
    <row r="822">
      <c r="A822" s="26"/>
      <c r="B822" s="53"/>
      <c r="C822" s="54"/>
      <c r="D822" s="55"/>
      <c r="F822" s="26"/>
      <c r="G822" s="54"/>
      <c r="H822" s="26"/>
      <c r="I822" s="55"/>
      <c r="K822" s="26"/>
      <c r="L822" s="54"/>
      <c r="M822" s="54"/>
      <c r="N822" s="54"/>
      <c r="O822" s="26"/>
    </row>
    <row r="823">
      <c r="A823" s="26"/>
      <c r="B823" s="53"/>
      <c r="C823" s="54"/>
      <c r="D823" s="55"/>
      <c r="F823" s="26"/>
      <c r="G823" s="54"/>
      <c r="H823" s="26"/>
      <c r="I823" s="55"/>
      <c r="K823" s="26"/>
      <c r="L823" s="54"/>
      <c r="M823" s="54"/>
      <c r="N823" s="54"/>
      <c r="O823" s="26"/>
    </row>
    <row r="824">
      <c r="A824" s="26"/>
      <c r="B824" s="53"/>
      <c r="C824" s="54"/>
      <c r="D824" s="55"/>
      <c r="F824" s="26"/>
      <c r="G824" s="54"/>
      <c r="H824" s="26"/>
      <c r="I824" s="55"/>
      <c r="K824" s="26"/>
      <c r="L824" s="54"/>
      <c r="M824" s="54"/>
      <c r="N824" s="54"/>
      <c r="O824" s="26"/>
    </row>
    <row r="825">
      <c r="A825" s="26"/>
      <c r="B825" s="53"/>
      <c r="C825" s="54"/>
      <c r="D825" s="55"/>
      <c r="F825" s="26"/>
      <c r="G825" s="54"/>
      <c r="H825" s="26"/>
      <c r="I825" s="55"/>
      <c r="K825" s="26"/>
      <c r="L825" s="54"/>
      <c r="M825" s="54"/>
      <c r="N825" s="54"/>
      <c r="O825" s="26"/>
    </row>
    <row r="826">
      <c r="A826" s="26"/>
      <c r="B826" s="53"/>
      <c r="C826" s="54"/>
      <c r="D826" s="55"/>
      <c r="F826" s="26"/>
      <c r="G826" s="54"/>
      <c r="H826" s="26"/>
      <c r="I826" s="55"/>
      <c r="K826" s="26"/>
      <c r="L826" s="54"/>
      <c r="M826" s="54"/>
      <c r="N826" s="54"/>
      <c r="O826" s="26"/>
    </row>
    <row r="827">
      <c r="A827" s="26"/>
      <c r="B827" s="53"/>
      <c r="C827" s="54"/>
      <c r="D827" s="55"/>
      <c r="F827" s="26"/>
      <c r="G827" s="54"/>
      <c r="H827" s="26"/>
      <c r="I827" s="55"/>
      <c r="K827" s="26"/>
      <c r="L827" s="54"/>
      <c r="M827" s="54"/>
      <c r="N827" s="54"/>
      <c r="O827" s="26"/>
    </row>
    <row r="828">
      <c r="A828" s="26"/>
      <c r="B828" s="53"/>
      <c r="C828" s="54"/>
      <c r="D828" s="55"/>
      <c r="F828" s="26"/>
      <c r="G828" s="54"/>
      <c r="H828" s="26"/>
      <c r="I828" s="55"/>
      <c r="K828" s="26"/>
      <c r="L828" s="54"/>
      <c r="M828" s="54"/>
      <c r="N828" s="54"/>
      <c r="O828" s="26"/>
    </row>
    <row r="829">
      <c r="A829" s="26"/>
      <c r="B829" s="53"/>
      <c r="C829" s="54"/>
      <c r="D829" s="55"/>
      <c r="F829" s="26"/>
      <c r="G829" s="54"/>
      <c r="H829" s="26"/>
      <c r="I829" s="55"/>
      <c r="K829" s="26"/>
      <c r="L829" s="54"/>
      <c r="M829" s="54"/>
      <c r="N829" s="54"/>
      <c r="O829" s="26"/>
    </row>
    <row r="830">
      <c r="A830" s="26"/>
      <c r="B830" s="53"/>
      <c r="C830" s="54"/>
      <c r="D830" s="55"/>
      <c r="F830" s="26"/>
      <c r="G830" s="54"/>
      <c r="H830" s="26"/>
      <c r="I830" s="55"/>
      <c r="K830" s="26"/>
      <c r="L830" s="54"/>
      <c r="M830" s="54"/>
      <c r="N830" s="54"/>
      <c r="O830" s="26"/>
    </row>
    <row r="831">
      <c r="A831" s="26"/>
      <c r="B831" s="53"/>
      <c r="C831" s="54"/>
      <c r="D831" s="55"/>
      <c r="F831" s="26"/>
      <c r="G831" s="54"/>
      <c r="H831" s="26"/>
      <c r="I831" s="55"/>
      <c r="K831" s="26"/>
      <c r="L831" s="54"/>
      <c r="M831" s="54"/>
      <c r="N831" s="54"/>
      <c r="O831" s="26"/>
    </row>
    <row r="832">
      <c r="A832" s="26"/>
      <c r="B832" s="53"/>
      <c r="C832" s="54"/>
      <c r="D832" s="55"/>
      <c r="F832" s="26"/>
      <c r="G832" s="54"/>
      <c r="H832" s="26"/>
      <c r="I832" s="55"/>
      <c r="K832" s="26"/>
      <c r="L832" s="54"/>
      <c r="M832" s="54"/>
      <c r="N832" s="54"/>
      <c r="O832" s="26"/>
    </row>
    <row r="833">
      <c r="A833" s="26"/>
      <c r="B833" s="53"/>
      <c r="C833" s="54"/>
      <c r="D833" s="55"/>
      <c r="F833" s="26"/>
      <c r="G833" s="54"/>
      <c r="H833" s="26"/>
      <c r="I833" s="55"/>
      <c r="K833" s="26"/>
      <c r="L833" s="54"/>
      <c r="M833" s="54"/>
      <c r="N833" s="54"/>
      <c r="O833" s="26"/>
    </row>
    <row r="834">
      <c r="A834" s="26"/>
      <c r="B834" s="53"/>
      <c r="C834" s="54"/>
      <c r="D834" s="55"/>
      <c r="F834" s="26"/>
      <c r="G834" s="54"/>
      <c r="H834" s="26"/>
      <c r="I834" s="55"/>
      <c r="K834" s="26"/>
      <c r="L834" s="54"/>
      <c r="M834" s="54"/>
      <c r="N834" s="54"/>
      <c r="O834" s="26"/>
    </row>
    <row r="835">
      <c r="A835" s="26"/>
      <c r="B835" s="53"/>
      <c r="C835" s="54"/>
      <c r="D835" s="55"/>
      <c r="F835" s="26"/>
      <c r="G835" s="54"/>
      <c r="H835" s="26"/>
      <c r="I835" s="55"/>
      <c r="K835" s="26"/>
      <c r="L835" s="54"/>
      <c r="M835" s="54"/>
      <c r="N835" s="54"/>
      <c r="O835" s="26"/>
    </row>
    <row r="836">
      <c r="A836" s="26"/>
      <c r="B836" s="53"/>
      <c r="C836" s="54"/>
      <c r="D836" s="55"/>
      <c r="F836" s="26"/>
      <c r="G836" s="54"/>
      <c r="H836" s="26"/>
      <c r="I836" s="55"/>
      <c r="K836" s="26"/>
      <c r="L836" s="54"/>
      <c r="M836" s="54"/>
      <c r="N836" s="54"/>
      <c r="O836" s="26"/>
    </row>
    <row r="837">
      <c r="A837" s="26"/>
      <c r="B837" s="53"/>
      <c r="C837" s="54"/>
      <c r="D837" s="55"/>
      <c r="F837" s="26"/>
      <c r="G837" s="54"/>
      <c r="H837" s="26"/>
      <c r="I837" s="55"/>
      <c r="K837" s="26"/>
      <c r="L837" s="54"/>
      <c r="M837" s="54"/>
      <c r="N837" s="54"/>
      <c r="O837" s="26"/>
    </row>
    <row r="838">
      <c r="A838" s="26"/>
      <c r="B838" s="53"/>
      <c r="C838" s="54"/>
      <c r="D838" s="55"/>
      <c r="F838" s="26"/>
      <c r="G838" s="54"/>
      <c r="H838" s="26"/>
      <c r="I838" s="55"/>
      <c r="K838" s="26"/>
      <c r="L838" s="54"/>
      <c r="M838" s="54"/>
      <c r="N838" s="54"/>
      <c r="O838" s="26"/>
    </row>
    <row r="839">
      <c r="A839" s="26"/>
      <c r="B839" s="53"/>
      <c r="C839" s="54"/>
      <c r="D839" s="55"/>
      <c r="F839" s="26"/>
      <c r="G839" s="54"/>
      <c r="H839" s="26"/>
      <c r="I839" s="55"/>
      <c r="K839" s="26"/>
      <c r="L839" s="54"/>
      <c r="M839" s="54"/>
      <c r="N839" s="54"/>
      <c r="O839" s="26"/>
    </row>
    <row r="840">
      <c r="A840" s="26"/>
      <c r="B840" s="53"/>
      <c r="C840" s="54"/>
      <c r="D840" s="55"/>
      <c r="F840" s="26"/>
      <c r="G840" s="54"/>
      <c r="H840" s="26"/>
      <c r="I840" s="55"/>
      <c r="K840" s="26"/>
      <c r="L840" s="54"/>
      <c r="M840" s="54"/>
      <c r="N840" s="54"/>
      <c r="O840" s="26"/>
    </row>
    <row r="841">
      <c r="A841" s="26"/>
      <c r="B841" s="53"/>
      <c r="C841" s="54"/>
      <c r="D841" s="55"/>
      <c r="F841" s="26"/>
      <c r="G841" s="54"/>
      <c r="H841" s="26"/>
      <c r="I841" s="55"/>
      <c r="K841" s="26"/>
      <c r="L841" s="54"/>
      <c r="M841" s="54"/>
      <c r="N841" s="54"/>
      <c r="O841" s="26"/>
    </row>
    <row r="842">
      <c r="A842" s="26"/>
      <c r="B842" s="53"/>
      <c r="C842" s="54"/>
      <c r="D842" s="55"/>
      <c r="F842" s="26"/>
      <c r="G842" s="54"/>
      <c r="H842" s="26"/>
      <c r="I842" s="55"/>
      <c r="K842" s="26"/>
      <c r="L842" s="54"/>
      <c r="M842" s="54"/>
      <c r="N842" s="54"/>
      <c r="O842" s="26"/>
    </row>
    <row r="843">
      <c r="A843" s="26"/>
      <c r="B843" s="53"/>
      <c r="C843" s="54"/>
      <c r="D843" s="55"/>
      <c r="F843" s="26"/>
      <c r="G843" s="54"/>
      <c r="H843" s="26"/>
      <c r="I843" s="55"/>
      <c r="K843" s="26"/>
      <c r="L843" s="54"/>
      <c r="M843" s="54"/>
      <c r="N843" s="54"/>
      <c r="O843" s="26"/>
    </row>
    <row r="844">
      <c r="A844" s="26"/>
      <c r="B844" s="53"/>
      <c r="C844" s="54"/>
      <c r="D844" s="55"/>
      <c r="F844" s="26"/>
      <c r="G844" s="54"/>
      <c r="H844" s="26"/>
      <c r="I844" s="55"/>
      <c r="K844" s="26"/>
      <c r="L844" s="54"/>
      <c r="M844" s="54"/>
      <c r="N844" s="54"/>
      <c r="O844" s="26"/>
    </row>
    <row r="845">
      <c r="A845" s="26"/>
      <c r="B845" s="53"/>
      <c r="C845" s="54"/>
      <c r="D845" s="55"/>
      <c r="F845" s="26"/>
      <c r="G845" s="54"/>
      <c r="H845" s="26"/>
      <c r="I845" s="55"/>
      <c r="K845" s="26"/>
      <c r="L845" s="54"/>
      <c r="M845" s="54"/>
      <c r="N845" s="54"/>
      <c r="O845" s="26"/>
    </row>
    <row r="846">
      <c r="A846" s="26"/>
      <c r="B846" s="53"/>
      <c r="C846" s="54"/>
      <c r="D846" s="55"/>
      <c r="F846" s="26"/>
      <c r="G846" s="54"/>
      <c r="H846" s="26"/>
      <c r="I846" s="55"/>
      <c r="K846" s="26"/>
      <c r="L846" s="54"/>
      <c r="M846" s="54"/>
      <c r="N846" s="54"/>
      <c r="O846" s="26"/>
    </row>
    <row r="847">
      <c r="A847" s="26"/>
      <c r="B847" s="53"/>
      <c r="C847" s="54"/>
      <c r="D847" s="55"/>
      <c r="F847" s="26"/>
      <c r="G847" s="54"/>
      <c r="H847" s="26"/>
      <c r="I847" s="55"/>
      <c r="K847" s="26"/>
      <c r="L847" s="54"/>
      <c r="M847" s="54"/>
      <c r="N847" s="54"/>
      <c r="O847" s="26"/>
    </row>
    <row r="848">
      <c r="A848" s="26"/>
      <c r="B848" s="53"/>
      <c r="C848" s="54"/>
      <c r="D848" s="55"/>
      <c r="F848" s="26"/>
      <c r="G848" s="54"/>
      <c r="H848" s="26"/>
      <c r="I848" s="55"/>
      <c r="K848" s="26"/>
      <c r="L848" s="54"/>
      <c r="M848" s="54"/>
      <c r="N848" s="54"/>
      <c r="O848" s="26"/>
    </row>
    <row r="849">
      <c r="A849" s="26"/>
      <c r="B849" s="53"/>
      <c r="C849" s="54"/>
      <c r="D849" s="55"/>
      <c r="F849" s="26"/>
      <c r="G849" s="54"/>
      <c r="H849" s="26"/>
      <c r="I849" s="55"/>
      <c r="K849" s="26"/>
      <c r="L849" s="54"/>
      <c r="M849" s="54"/>
      <c r="N849" s="54"/>
      <c r="O849" s="26"/>
    </row>
    <row r="850">
      <c r="A850" s="26"/>
      <c r="B850" s="53"/>
      <c r="C850" s="54"/>
      <c r="D850" s="55"/>
      <c r="F850" s="26"/>
      <c r="G850" s="54"/>
      <c r="H850" s="26"/>
      <c r="I850" s="55"/>
      <c r="K850" s="26"/>
      <c r="L850" s="54"/>
      <c r="M850" s="54"/>
      <c r="N850" s="54"/>
      <c r="O850" s="26"/>
    </row>
    <row r="851">
      <c r="A851" s="26"/>
      <c r="B851" s="53"/>
      <c r="C851" s="54"/>
      <c r="D851" s="55"/>
      <c r="F851" s="26"/>
      <c r="G851" s="54"/>
      <c r="H851" s="26"/>
      <c r="I851" s="55"/>
      <c r="K851" s="26"/>
      <c r="L851" s="54"/>
      <c r="M851" s="54"/>
      <c r="N851" s="54"/>
      <c r="O851" s="26"/>
    </row>
    <row r="852">
      <c r="A852" s="26"/>
      <c r="B852" s="53"/>
      <c r="C852" s="54"/>
      <c r="D852" s="55"/>
      <c r="F852" s="26"/>
      <c r="G852" s="54"/>
      <c r="H852" s="26"/>
      <c r="I852" s="55"/>
      <c r="K852" s="26"/>
      <c r="L852" s="54"/>
      <c r="M852" s="54"/>
      <c r="N852" s="54"/>
      <c r="O852" s="26"/>
    </row>
    <row r="853">
      <c r="A853" s="26"/>
      <c r="B853" s="53"/>
      <c r="C853" s="54"/>
      <c r="D853" s="55"/>
      <c r="F853" s="26"/>
      <c r="G853" s="54"/>
      <c r="H853" s="26"/>
      <c r="I853" s="55"/>
      <c r="K853" s="26"/>
      <c r="L853" s="54"/>
      <c r="M853" s="54"/>
      <c r="N853" s="54"/>
      <c r="O853" s="26"/>
    </row>
    <row r="854">
      <c r="A854" s="26"/>
      <c r="B854" s="53"/>
      <c r="C854" s="54"/>
      <c r="D854" s="55"/>
      <c r="F854" s="26"/>
      <c r="G854" s="54"/>
      <c r="H854" s="26"/>
      <c r="I854" s="55"/>
      <c r="K854" s="26"/>
      <c r="L854" s="54"/>
      <c r="M854" s="54"/>
      <c r="N854" s="54"/>
      <c r="O854" s="26"/>
    </row>
    <row r="855">
      <c r="A855" s="26"/>
      <c r="B855" s="53"/>
      <c r="C855" s="54"/>
      <c r="D855" s="55"/>
      <c r="F855" s="26"/>
      <c r="G855" s="54"/>
      <c r="H855" s="26"/>
      <c r="I855" s="55"/>
      <c r="K855" s="26"/>
      <c r="L855" s="54"/>
      <c r="M855" s="54"/>
      <c r="N855" s="54"/>
      <c r="O855" s="26"/>
    </row>
    <row r="856">
      <c r="A856" s="26"/>
      <c r="B856" s="53"/>
      <c r="C856" s="54"/>
      <c r="D856" s="55"/>
      <c r="F856" s="26"/>
      <c r="G856" s="54"/>
      <c r="H856" s="26"/>
      <c r="I856" s="55"/>
      <c r="K856" s="26"/>
      <c r="L856" s="54"/>
      <c r="M856" s="54"/>
      <c r="N856" s="54"/>
      <c r="O856" s="26"/>
    </row>
    <row r="857">
      <c r="A857" s="26"/>
      <c r="B857" s="53"/>
      <c r="C857" s="54"/>
      <c r="D857" s="55"/>
      <c r="F857" s="26"/>
      <c r="G857" s="54"/>
      <c r="H857" s="26"/>
      <c r="I857" s="55"/>
      <c r="K857" s="26"/>
      <c r="L857" s="54"/>
      <c r="M857" s="54"/>
      <c r="N857" s="54"/>
      <c r="O857" s="26"/>
    </row>
    <row r="858">
      <c r="A858" s="26"/>
      <c r="B858" s="53"/>
      <c r="C858" s="54"/>
      <c r="D858" s="55"/>
      <c r="F858" s="26"/>
      <c r="G858" s="54"/>
      <c r="H858" s="26"/>
      <c r="I858" s="55"/>
      <c r="K858" s="26"/>
      <c r="L858" s="54"/>
      <c r="M858" s="54"/>
      <c r="N858" s="54"/>
      <c r="O858" s="26"/>
    </row>
    <row r="859">
      <c r="A859" s="26"/>
      <c r="B859" s="53"/>
      <c r="C859" s="54"/>
      <c r="D859" s="55"/>
      <c r="F859" s="26"/>
      <c r="G859" s="54"/>
      <c r="H859" s="26"/>
      <c r="I859" s="55"/>
      <c r="K859" s="26"/>
      <c r="L859" s="54"/>
      <c r="M859" s="54"/>
      <c r="N859" s="54"/>
      <c r="O859" s="26"/>
    </row>
    <row r="860">
      <c r="A860" s="26"/>
      <c r="B860" s="53"/>
      <c r="C860" s="54"/>
      <c r="D860" s="55"/>
      <c r="F860" s="26"/>
      <c r="G860" s="54"/>
      <c r="H860" s="26"/>
      <c r="I860" s="55"/>
      <c r="K860" s="26"/>
      <c r="L860" s="54"/>
      <c r="M860" s="54"/>
      <c r="N860" s="54"/>
      <c r="O860" s="26"/>
    </row>
    <row r="861">
      <c r="A861" s="26"/>
      <c r="B861" s="53"/>
      <c r="C861" s="54"/>
      <c r="D861" s="55"/>
      <c r="F861" s="26"/>
      <c r="G861" s="54"/>
      <c r="H861" s="26"/>
      <c r="I861" s="55"/>
      <c r="K861" s="26"/>
      <c r="L861" s="54"/>
      <c r="M861" s="54"/>
      <c r="N861" s="54"/>
      <c r="O861" s="26"/>
    </row>
    <row r="862">
      <c r="A862" s="26"/>
      <c r="B862" s="53"/>
      <c r="C862" s="54"/>
      <c r="D862" s="55"/>
      <c r="F862" s="26"/>
      <c r="G862" s="54"/>
      <c r="H862" s="26"/>
      <c r="I862" s="55"/>
      <c r="K862" s="26"/>
      <c r="L862" s="54"/>
      <c r="M862" s="54"/>
      <c r="N862" s="54"/>
      <c r="O862" s="26"/>
    </row>
    <row r="863">
      <c r="A863" s="26"/>
      <c r="B863" s="53"/>
      <c r="C863" s="54"/>
      <c r="D863" s="55"/>
      <c r="F863" s="26"/>
      <c r="G863" s="54"/>
      <c r="H863" s="26"/>
      <c r="I863" s="55"/>
      <c r="K863" s="26"/>
      <c r="L863" s="54"/>
      <c r="M863" s="54"/>
      <c r="N863" s="54"/>
      <c r="O863" s="26"/>
    </row>
    <row r="864">
      <c r="A864" s="26"/>
      <c r="B864" s="53"/>
      <c r="C864" s="54"/>
      <c r="D864" s="55"/>
      <c r="F864" s="26"/>
      <c r="G864" s="54"/>
      <c r="H864" s="26"/>
      <c r="I864" s="55"/>
      <c r="K864" s="26"/>
      <c r="L864" s="54"/>
      <c r="M864" s="54"/>
      <c r="N864" s="54"/>
      <c r="O864" s="26"/>
    </row>
    <row r="865">
      <c r="A865" s="26"/>
      <c r="B865" s="53"/>
      <c r="C865" s="54"/>
      <c r="D865" s="55"/>
      <c r="F865" s="26"/>
      <c r="G865" s="54"/>
      <c r="H865" s="26"/>
      <c r="I865" s="55"/>
      <c r="K865" s="26"/>
      <c r="L865" s="54"/>
      <c r="M865" s="54"/>
      <c r="N865" s="54"/>
      <c r="O865" s="26"/>
    </row>
    <row r="866">
      <c r="A866" s="26"/>
      <c r="B866" s="53"/>
      <c r="C866" s="54"/>
      <c r="D866" s="55"/>
      <c r="F866" s="26"/>
      <c r="G866" s="54"/>
      <c r="H866" s="26"/>
      <c r="I866" s="55"/>
      <c r="K866" s="26"/>
      <c r="L866" s="54"/>
      <c r="M866" s="54"/>
      <c r="N866" s="54"/>
      <c r="O866" s="26"/>
    </row>
    <row r="867">
      <c r="A867" s="26"/>
      <c r="B867" s="53"/>
      <c r="C867" s="54"/>
      <c r="D867" s="55"/>
      <c r="F867" s="26"/>
      <c r="G867" s="54"/>
      <c r="H867" s="26"/>
      <c r="I867" s="55"/>
      <c r="K867" s="26"/>
      <c r="L867" s="54"/>
      <c r="M867" s="54"/>
      <c r="N867" s="54"/>
      <c r="O867" s="26"/>
    </row>
    <row r="868">
      <c r="A868" s="26"/>
      <c r="B868" s="53"/>
      <c r="C868" s="54"/>
      <c r="D868" s="55"/>
      <c r="F868" s="26"/>
      <c r="G868" s="54"/>
      <c r="H868" s="26"/>
      <c r="I868" s="55"/>
      <c r="K868" s="26"/>
      <c r="L868" s="54"/>
      <c r="M868" s="54"/>
      <c r="N868" s="54"/>
      <c r="O868" s="26"/>
    </row>
    <row r="869">
      <c r="A869" s="26"/>
      <c r="B869" s="53"/>
      <c r="C869" s="54"/>
      <c r="D869" s="55"/>
      <c r="F869" s="26"/>
      <c r="G869" s="54"/>
      <c r="H869" s="26"/>
      <c r="I869" s="55"/>
      <c r="K869" s="26"/>
      <c r="L869" s="54"/>
      <c r="M869" s="54"/>
      <c r="N869" s="54"/>
      <c r="O869" s="26"/>
    </row>
    <row r="870">
      <c r="A870" s="26"/>
      <c r="B870" s="53"/>
      <c r="C870" s="54"/>
      <c r="D870" s="55"/>
      <c r="F870" s="26"/>
      <c r="G870" s="54"/>
      <c r="H870" s="26"/>
      <c r="I870" s="55"/>
      <c r="K870" s="26"/>
      <c r="L870" s="54"/>
      <c r="M870" s="54"/>
      <c r="N870" s="54"/>
      <c r="O870" s="26"/>
    </row>
    <row r="871">
      <c r="A871" s="26"/>
      <c r="B871" s="53"/>
      <c r="C871" s="54"/>
      <c r="D871" s="55"/>
      <c r="F871" s="26"/>
      <c r="G871" s="54"/>
      <c r="H871" s="26"/>
      <c r="I871" s="55"/>
      <c r="K871" s="26"/>
      <c r="L871" s="54"/>
      <c r="M871" s="54"/>
      <c r="N871" s="54"/>
      <c r="O871" s="26"/>
    </row>
    <row r="872">
      <c r="A872" s="26"/>
      <c r="B872" s="53"/>
      <c r="C872" s="54"/>
      <c r="D872" s="55"/>
      <c r="F872" s="26"/>
      <c r="G872" s="54"/>
      <c r="H872" s="26"/>
      <c r="I872" s="55"/>
      <c r="K872" s="26"/>
      <c r="L872" s="54"/>
      <c r="M872" s="54"/>
      <c r="N872" s="54"/>
      <c r="O872" s="26"/>
    </row>
    <row r="873">
      <c r="A873" s="26"/>
      <c r="B873" s="53"/>
      <c r="C873" s="54"/>
      <c r="D873" s="55"/>
      <c r="F873" s="26"/>
      <c r="G873" s="54"/>
      <c r="H873" s="26"/>
      <c r="I873" s="55"/>
      <c r="K873" s="26"/>
      <c r="L873" s="54"/>
      <c r="M873" s="54"/>
      <c r="N873" s="54"/>
      <c r="O873" s="26"/>
    </row>
    <row r="874">
      <c r="A874" s="26"/>
      <c r="B874" s="53"/>
      <c r="C874" s="54"/>
      <c r="D874" s="55"/>
      <c r="F874" s="26"/>
      <c r="G874" s="54"/>
      <c r="H874" s="26"/>
      <c r="I874" s="55"/>
      <c r="K874" s="26"/>
      <c r="L874" s="54"/>
      <c r="M874" s="54"/>
      <c r="N874" s="54"/>
      <c r="O874" s="26"/>
    </row>
    <row r="875">
      <c r="A875" s="26"/>
      <c r="B875" s="53"/>
      <c r="C875" s="54"/>
      <c r="D875" s="55"/>
      <c r="F875" s="26"/>
      <c r="G875" s="54"/>
      <c r="H875" s="26"/>
      <c r="I875" s="55"/>
      <c r="K875" s="26"/>
      <c r="L875" s="54"/>
      <c r="M875" s="54"/>
      <c r="N875" s="54"/>
      <c r="O875" s="26"/>
    </row>
    <row r="876">
      <c r="A876" s="26"/>
      <c r="B876" s="53"/>
      <c r="C876" s="54"/>
      <c r="D876" s="55"/>
      <c r="F876" s="26"/>
      <c r="G876" s="54"/>
      <c r="H876" s="26"/>
      <c r="I876" s="55"/>
      <c r="K876" s="26"/>
      <c r="L876" s="54"/>
      <c r="M876" s="54"/>
      <c r="N876" s="54"/>
      <c r="O876" s="26"/>
    </row>
    <row r="877">
      <c r="A877" s="26"/>
      <c r="B877" s="53"/>
      <c r="C877" s="54"/>
      <c r="D877" s="55"/>
      <c r="F877" s="26"/>
      <c r="G877" s="54"/>
      <c r="H877" s="26"/>
      <c r="I877" s="55"/>
      <c r="K877" s="26"/>
      <c r="L877" s="54"/>
      <c r="M877" s="54"/>
      <c r="N877" s="54"/>
      <c r="O877" s="26"/>
    </row>
    <row r="878">
      <c r="A878" s="26"/>
      <c r="B878" s="53"/>
      <c r="C878" s="54"/>
      <c r="D878" s="55"/>
      <c r="F878" s="26"/>
      <c r="G878" s="54"/>
      <c r="H878" s="26"/>
      <c r="I878" s="55"/>
      <c r="K878" s="26"/>
      <c r="L878" s="54"/>
      <c r="M878" s="54"/>
      <c r="N878" s="54"/>
      <c r="O878" s="26"/>
    </row>
    <row r="879">
      <c r="A879" s="26"/>
      <c r="B879" s="53"/>
      <c r="C879" s="54"/>
      <c r="D879" s="55"/>
      <c r="F879" s="26"/>
      <c r="G879" s="54"/>
      <c r="H879" s="26"/>
      <c r="I879" s="55"/>
      <c r="K879" s="26"/>
      <c r="L879" s="54"/>
      <c r="M879" s="54"/>
      <c r="N879" s="54"/>
      <c r="O879" s="26"/>
    </row>
    <row r="880">
      <c r="A880" s="26"/>
      <c r="B880" s="53"/>
      <c r="C880" s="54"/>
      <c r="D880" s="55"/>
      <c r="F880" s="26"/>
      <c r="G880" s="54"/>
      <c r="H880" s="26"/>
      <c r="I880" s="55"/>
      <c r="K880" s="26"/>
      <c r="L880" s="54"/>
      <c r="M880" s="54"/>
      <c r="N880" s="54"/>
      <c r="O880" s="26"/>
    </row>
    <row r="881">
      <c r="A881" s="26"/>
      <c r="B881" s="53"/>
      <c r="C881" s="54"/>
      <c r="D881" s="55"/>
      <c r="F881" s="26"/>
      <c r="G881" s="54"/>
      <c r="H881" s="26"/>
      <c r="I881" s="55"/>
      <c r="K881" s="26"/>
      <c r="L881" s="54"/>
      <c r="M881" s="54"/>
      <c r="N881" s="54"/>
      <c r="O881" s="26"/>
    </row>
    <row r="882">
      <c r="A882" s="26"/>
      <c r="B882" s="53"/>
      <c r="C882" s="54"/>
      <c r="D882" s="55"/>
      <c r="F882" s="26"/>
      <c r="G882" s="54"/>
      <c r="H882" s="26"/>
      <c r="I882" s="55"/>
      <c r="K882" s="26"/>
      <c r="L882" s="54"/>
      <c r="M882" s="54"/>
      <c r="N882" s="54"/>
      <c r="O882" s="26"/>
    </row>
    <row r="883">
      <c r="A883" s="26"/>
      <c r="B883" s="53"/>
      <c r="C883" s="54"/>
      <c r="D883" s="55"/>
      <c r="F883" s="26"/>
      <c r="G883" s="54"/>
      <c r="H883" s="26"/>
      <c r="I883" s="55"/>
      <c r="K883" s="26"/>
      <c r="L883" s="54"/>
      <c r="M883" s="54"/>
      <c r="N883" s="54"/>
      <c r="O883" s="26"/>
    </row>
    <row r="884">
      <c r="A884" s="26"/>
      <c r="B884" s="53"/>
      <c r="C884" s="54"/>
      <c r="D884" s="55"/>
      <c r="F884" s="26"/>
      <c r="G884" s="54"/>
      <c r="H884" s="26"/>
      <c r="I884" s="55"/>
      <c r="K884" s="26"/>
      <c r="L884" s="54"/>
      <c r="M884" s="54"/>
      <c r="N884" s="54"/>
      <c r="O884" s="26"/>
    </row>
    <row r="885">
      <c r="A885" s="26"/>
      <c r="B885" s="53"/>
      <c r="C885" s="54"/>
      <c r="D885" s="55"/>
      <c r="F885" s="26"/>
      <c r="G885" s="54"/>
      <c r="H885" s="26"/>
      <c r="I885" s="55"/>
      <c r="K885" s="26"/>
      <c r="L885" s="54"/>
      <c r="M885" s="54"/>
      <c r="N885" s="54"/>
      <c r="O885" s="26"/>
    </row>
    <row r="886">
      <c r="A886" s="26"/>
      <c r="B886" s="53"/>
      <c r="C886" s="54"/>
      <c r="D886" s="55"/>
      <c r="F886" s="26"/>
      <c r="G886" s="54"/>
      <c r="H886" s="26"/>
      <c r="I886" s="55"/>
      <c r="K886" s="26"/>
      <c r="L886" s="54"/>
      <c r="M886" s="54"/>
      <c r="N886" s="54"/>
      <c r="O886" s="26"/>
    </row>
    <row r="887">
      <c r="A887" s="26"/>
      <c r="B887" s="53"/>
      <c r="C887" s="54"/>
      <c r="D887" s="55"/>
      <c r="F887" s="26"/>
      <c r="G887" s="54"/>
      <c r="H887" s="26"/>
      <c r="I887" s="55"/>
      <c r="K887" s="26"/>
      <c r="L887" s="54"/>
      <c r="M887" s="54"/>
      <c r="N887" s="54"/>
      <c r="O887" s="26"/>
    </row>
    <row r="888">
      <c r="A888" s="26"/>
      <c r="B888" s="53"/>
      <c r="C888" s="54"/>
      <c r="D888" s="55"/>
      <c r="F888" s="26"/>
      <c r="G888" s="54"/>
      <c r="H888" s="26"/>
      <c r="I888" s="55"/>
      <c r="K888" s="26"/>
      <c r="L888" s="54"/>
      <c r="M888" s="54"/>
      <c r="N888" s="54"/>
      <c r="O888" s="26"/>
    </row>
    <row r="889">
      <c r="A889" s="26"/>
      <c r="B889" s="53"/>
      <c r="C889" s="54"/>
      <c r="D889" s="55"/>
      <c r="F889" s="26"/>
      <c r="G889" s="54"/>
      <c r="H889" s="26"/>
      <c r="I889" s="55"/>
      <c r="K889" s="26"/>
      <c r="L889" s="54"/>
      <c r="M889" s="54"/>
      <c r="N889" s="54"/>
      <c r="O889" s="26"/>
    </row>
    <row r="890">
      <c r="A890" s="26"/>
      <c r="B890" s="53"/>
      <c r="C890" s="54"/>
      <c r="D890" s="55"/>
      <c r="F890" s="26"/>
      <c r="G890" s="54"/>
      <c r="H890" s="26"/>
      <c r="I890" s="55"/>
      <c r="K890" s="26"/>
      <c r="L890" s="54"/>
      <c r="M890" s="54"/>
      <c r="N890" s="54"/>
      <c r="O890" s="26"/>
    </row>
    <row r="891">
      <c r="A891" s="26"/>
      <c r="B891" s="53"/>
      <c r="C891" s="54"/>
      <c r="D891" s="55"/>
      <c r="F891" s="26"/>
      <c r="G891" s="54"/>
      <c r="H891" s="26"/>
      <c r="I891" s="55"/>
      <c r="K891" s="26"/>
      <c r="L891" s="54"/>
      <c r="M891" s="54"/>
      <c r="N891" s="54"/>
      <c r="O891" s="26"/>
    </row>
    <row r="892">
      <c r="A892" s="26"/>
      <c r="B892" s="53"/>
      <c r="C892" s="54"/>
      <c r="D892" s="55"/>
      <c r="F892" s="26"/>
      <c r="G892" s="54"/>
      <c r="H892" s="26"/>
      <c r="I892" s="55"/>
      <c r="K892" s="26"/>
      <c r="L892" s="54"/>
      <c r="M892" s="54"/>
      <c r="N892" s="54"/>
      <c r="O892" s="26"/>
    </row>
    <row r="893">
      <c r="A893" s="26"/>
      <c r="B893" s="53"/>
      <c r="C893" s="54"/>
      <c r="D893" s="55"/>
      <c r="F893" s="26"/>
      <c r="G893" s="54"/>
      <c r="H893" s="26"/>
      <c r="I893" s="55"/>
      <c r="K893" s="26"/>
      <c r="L893" s="54"/>
      <c r="M893" s="54"/>
      <c r="N893" s="54"/>
      <c r="O893" s="26"/>
    </row>
    <row r="894">
      <c r="A894" s="26"/>
      <c r="B894" s="53"/>
      <c r="C894" s="54"/>
      <c r="D894" s="55"/>
      <c r="F894" s="26"/>
      <c r="G894" s="54"/>
      <c r="H894" s="26"/>
      <c r="I894" s="55"/>
      <c r="K894" s="26"/>
      <c r="L894" s="54"/>
      <c r="M894" s="54"/>
      <c r="N894" s="54"/>
      <c r="O894" s="26"/>
    </row>
    <row r="895">
      <c r="A895" s="26"/>
      <c r="B895" s="53"/>
      <c r="C895" s="54"/>
      <c r="D895" s="55"/>
      <c r="F895" s="26"/>
      <c r="G895" s="54"/>
      <c r="H895" s="26"/>
      <c r="I895" s="55"/>
      <c r="K895" s="26"/>
      <c r="L895" s="54"/>
      <c r="M895" s="54"/>
      <c r="N895" s="54"/>
      <c r="O895" s="26"/>
    </row>
    <row r="896">
      <c r="A896" s="26"/>
      <c r="B896" s="53"/>
      <c r="C896" s="54"/>
      <c r="D896" s="55"/>
      <c r="F896" s="26"/>
      <c r="G896" s="54"/>
      <c r="H896" s="26"/>
      <c r="I896" s="55"/>
      <c r="K896" s="26"/>
      <c r="L896" s="54"/>
      <c r="M896" s="54"/>
      <c r="N896" s="54"/>
      <c r="O896" s="26"/>
    </row>
    <row r="897">
      <c r="A897" s="26"/>
      <c r="B897" s="53"/>
      <c r="C897" s="54"/>
      <c r="D897" s="55"/>
      <c r="F897" s="26"/>
      <c r="G897" s="54"/>
      <c r="H897" s="26"/>
      <c r="I897" s="55"/>
      <c r="K897" s="26"/>
      <c r="L897" s="54"/>
      <c r="M897" s="54"/>
      <c r="N897" s="54"/>
      <c r="O897" s="26"/>
    </row>
    <row r="898">
      <c r="A898" s="26"/>
      <c r="B898" s="53"/>
      <c r="C898" s="54"/>
      <c r="D898" s="55"/>
      <c r="F898" s="26"/>
      <c r="G898" s="54"/>
      <c r="H898" s="26"/>
      <c r="I898" s="55"/>
      <c r="K898" s="26"/>
      <c r="L898" s="54"/>
      <c r="M898" s="54"/>
      <c r="N898" s="54"/>
      <c r="O898" s="26"/>
    </row>
    <row r="899">
      <c r="A899" s="26"/>
      <c r="B899" s="53"/>
      <c r="C899" s="54"/>
      <c r="D899" s="55"/>
      <c r="F899" s="26"/>
      <c r="G899" s="54"/>
      <c r="H899" s="26"/>
      <c r="I899" s="55"/>
      <c r="K899" s="26"/>
      <c r="L899" s="54"/>
      <c r="M899" s="54"/>
      <c r="N899" s="54"/>
      <c r="O899" s="26"/>
    </row>
    <row r="900">
      <c r="A900" s="26"/>
      <c r="B900" s="53"/>
      <c r="C900" s="54"/>
      <c r="D900" s="55"/>
      <c r="F900" s="26"/>
      <c r="G900" s="54"/>
      <c r="H900" s="26"/>
      <c r="I900" s="55"/>
      <c r="K900" s="26"/>
      <c r="L900" s="54"/>
      <c r="M900" s="54"/>
      <c r="N900" s="54"/>
      <c r="O900" s="26"/>
    </row>
    <row r="901">
      <c r="A901" s="26"/>
      <c r="B901" s="53"/>
      <c r="C901" s="54"/>
      <c r="D901" s="55"/>
      <c r="F901" s="26"/>
      <c r="G901" s="54"/>
      <c r="H901" s="26"/>
      <c r="I901" s="55"/>
      <c r="K901" s="26"/>
      <c r="L901" s="54"/>
      <c r="M901" s="54"/>
      <c r="N901" s="54"/>
      <c r="O901" s="26"/>
    </row>
    <row r="902">
      <c r="A902" s="26"/>
      <c r="B902" s="53"/>
      <c r="C902" s="54"/>
      <c r="D902" s="55"/>
      <c r="F902" s="26"/>
      <c r="G902" s="54"/>
      <c r="H902" s="26"/>
      <c r="I902" s="55"/>
      <c r="K902" s="26"/>
      <c r="L902" s="54"/>
      <c r="M902" s="54"/>
      <c r="N902" s="54"/>
      <c r="O902" s="26"/>
    </row>
    <row r="903">
      <c r="A903" s="26"/>
      <c r="B903" s="53"/>
      <c r="C903" s="54"/>
      <c r="D903" s="55"/>
      <c r="F903" s="26"/>
      <c r="G903" s="54"/>
      <c r="H903" s="26"/>
      <c r="I903" s="55"/>
      <c r="K903" s="26"/>
      <c r="L903" s="54"/>
      <c r="M903" s="54"/>
      <c r="N903" s="54"/>
      <c r="O903" s="26"/>
    </row>
    <row r="904">
      <c r="A904" s="26"/>
      <c r="B904" s="53"/>
      <c r="C904" s="54"/>
      <c r="D904" s="55"/>
      <c r="F904" s="26"/>
      <c r="G904" s="54"/>
      <c r="H904" s="26"/>
      <c r="I904" s="55"/>
      <c r="K904" s="26"/>
      <c r="L904" s="54"/>
      <c r="M904" s="54"/>
      <c r="N904" s="54"/>
      <c r="O904" s="26"/>
    </row>
    <row r="905">
      <c r="A905" s="26"/>
      <c r="B905" s="53"/>
      <c r="C905" s="54"/>
      <c r="D905" s="55"/>
      <c r="F905" s="26"/>
      <c r="G905" s="54"/>
      <c r="H905" s="26"/>
      <c r="I905" s="55"/>
      <c r="K905" s="26"/>
      <c r="L905" s="54"/>
      <c r="M905" s="54"/>
      <c r="N905" s="54"/>
      <c r="O905" s="26"/>
    </row>
    <row r="906">
      <c r="A906" s="26"/>
      <c r="B906" s="53"/>
      <c r="C906" s="54"/>
      <c r="D906" s="55"/>
      <c r="F906" s="26"/>
      <c r="G906" s="54"/>
      <c r="H906" s="26"/>
      <c r="I906" s="55"/>
      <c r="K906" s="26"/>
      <c r="L906" s="54"/>
      <c r="M906" s="54"/>
      <c r="N906" s="54"/>
      <c r="O906" s="26"/>
    </row>
    <row r="907">
      <c r="A907" s="26"/>
      <c r="B907" s="53"/>
      <c r="C907" s="54"/>
      <c r="D907" s="55"/>
      <c r="F907" s="26"/>
      <c r="G907" s="54"/>
      <c r="H907" s="26"/>
      <c r="I907" s="55"/>
      <c r="K907" s="26"/>
      <c r="L907" s="54"/>
      <c r="M907" s="54"/>
      <c r="N907" s="54"/>
      <c r="O907" s="26"/>
    </row>
    <row r="908">
      <c r="A908" s="26"/>
      <c r="B908" s="53"/>
      <c r="C908" s="54"/>
      <c r="D908" s="55"/>
      <c r="F908" s="26"/>
      <c r="G908" s="54"/>
      <c r="H908" s="26"/>
      <c r="I908" s="55"/>
      <c r="K908" s="26"/>
      <c r="L908" s="54"/>
      <c r="M908" s="54"/>
      <c r="N908" s="54"/>
      <c r="O908" s="26"/>
    </row>
    <row r="909">
      <c r="A909" s="26"/>
      <c r="B909" s="53"/>
      <c r="C909" s="54"/>
      <c r="D909" s="55"/>
      <c r="F909" s="26"/>
      <c r="G909" s="54"/>
      <c r="H909" s="26"/>
      <c r="I909" s="55"/>
      <c r="K909" s="26"/>
      <c r="L909" s="54"/>
      <c r="M909" s="54"/>
      <c r="N909" s="54"/>
      <c r="O909" s="26"/>
    </row>
    <row r="910">
      <c r="A910" s="26"/>
      <c r="B910" s="53"/>
      <c r="C910" s="54"/>
      <c r="D910" s="55"/>
      <c r="F910" s="26"/>
      <c r="G910" s="54"/>
      <c r="H910" s="26"/>
      <c r="I910" s="55"/>
      <c r="K910" s="26"/>
      <c r="L910" s="54"/>
      <c r="M910" s="54"/>
      <c r="N910" s="54"/>
      <c r="O910" s="26"/>
    </row>
    <row r="911">
      <c r="A911" s="26"/>
      <c r="B911" s="53"/>
      <c r="C911" s="54"/>
      <c r="D911" s="55"/>
      <c r="F911" s="26"/>
      <c r="G911" s="54"/>
      <c r="H911" s="26"/>
      <c r="I911" s="55"/>
      <c r="K911" s="26"/>
      <c r="L911" s="54"/>
      <c r="M911" s="54"/>
      <c r="N911" s="54"/>
      <c r="O911" s="26"/>
    </row>
    <row r="912">
      <c r="A912" s="26"/>
      <c r="B912" s="53"/>
      <c r="C912" s="54"/>
      <c r="D912" s="55"/>
      <c r="F912" s="26"/>
      <c r="G912" s="54"/>
      <c r="H912" s="26"/>
      <c r="I912" s="55"/>
      <c r="K912" s="26"/>
      <c r="L912" s="54"/>
      <c r="M912" s="54"/>
      <c r="N912" s="54"/>
      <c r="O912" s="26"/>
    </row>
    <row r="913">
      <c r="A913" s="26"/>
      <c r="B913" s="53"/>
      <c r="C913" s="54"/>
      <c r="D913" s="55"/>
      <c r="F913" s="26"/>
      <c r="G913" s="54"/>
      <c r="H913" s="26"/>
      <c r="I913" s="55"/>
      <c r="K913" s="26"/>
      <c r="L913" s="54"/>
      <c r="M913" s="54"/>
      <c r="N913" s="54"/>
      <c r="O913" s="26"/>
    </row>
    <row r="914">
      <c r="A914" s="26"/>
      <c r="B914" s="53"/>
      <c r="C914" s="54"/>
      <c r="D914" s="55"/>
      <c r="F914" s="26"/>
      <c r="G914" s="54"/>
      <c r="H914" s="26"/>
      <c r="I914" s="55"/>
      <c r="K914" s="26"/>
      <c r="L914" s="54"/>
      <c r="M914" s="54"/>
      <c r="N914" s="54"/>
      <c r="O914" s="26"/>
    </row>
    <row r="915">
      <c r="A915" s="26"/>
      <c r="B915" s="53"/>
      <c r="C915" s="54"/>
      <c r="D915" s="55"/>
      <c r="F915" s="26"/>
      <c r="G915" s="54"/>
      <c r="H915" s="26"/>
      <c r="I915" s="55"/>
      <c r="K915" s="26"/>
      <c r="L915" s="54"/>
      <c r="M915" s="54"/>
      <c r="N915" s="54"/>
      <c r="O915" s="26"/>
    </row>
    <row r="916">
      <c r="A916" s="26"/>
      <c r="B916" s="53"/>
      <c r="C916" s="54"/>
      <c r="D916" s="55"/>
      <c r="F916" s="26"/>
      <c r="G916" s="54"/>
      <c r="H916" s="26"/>
      <c r="I916" s="55"/>
      <c r="K916" s="26"/>
      <c r="L916" s="54"/>
      <c r="M916" s="54"/>
      <c r="N916" s="54"/>
      <c r="O916" s="26"/>
    </row>
    <row r="917">
      <c r="A917" s="26"/>
      <c r="B917" s="53"/>
      <c r="C917" s="54"/>
      <c r="D917" s="55"/>
      <c r="F917" s="26"/>
      <c r="G917" s="54"/>
      <c r="H917" s="26"/>
      <c r="I917" s="55"/>
      <c r="K917" s="26"/>
      <c r="L917" s="54"/>
      <c r="M917" s="54"/>
      <c r="N917" s="54"/>
      <c r="O917" s="26"/>
    </row>
    <row r="918">
      <c r="A918" s="26"/>
      <c r="B918" s="53"/>
      <c r="C918" s="54"/>
      <c r="D918" s="55"/>
      <c r="F918" s="26"/>
      <c r="G918" s="54"/>
      <c r="H918" s="26"/>
      <c r="I918" s="55"/>
      <c r="K918" s="26"/>
      <c r="L918" s="54"/>
      <c r="M918" s="54"/>
      <c r="N918" s="54"/>
      <c r="O918" s="26"/>
    </row>
    <row r="919">
      <c r="A919" s="26"/>
      <c r="B919" s="53"/>
      <c r="C919" s="54"/>
      <c r="D919" s="55"/>
      <c r="F919" s="26"/>
      <c r="G919" s="54"/>
      <c r="H919" s="26"/>
      <c r="I919" s="55"/>
      <c r="K919" s="26"/>
      <c r="L919" s="54"/>
      <c r="M919" s="54"/>
      <c r="N919" s="54"/>
      <c r="O919" s="26"/>
    </row>
    <row r="920">
      <c r="A920" s="26"/>
      <c r="B920" s="53"/>
      <c r="C920" s="54"/>
      <c r="D920" s="55"/>
      <c r="F920" s="26"/>
      <c r="G920" s="54"/>
      <c r="H920" s="26"/>
      <c r="I920" s="55"/>
      <c r="K920" s="26"/>
      <c r="L920" s="54"/>
      <c r="M920" s="54"/>
      <c r="N920" s="54"/>
      <c r="O920" s="26"/>
    </row>
    <row r="921">
      <c r="A921" s="26"/>
      <c r="B921" s="53"/>
      <c r="C921" s="54"/>
      <c r="D921" s="55"/>
      <c r="F921" s="26"/>
      <c r="G921" s="54"/>
      <c r="H921" s="26"/>
      <c r="I921" s="55"/>
      <c r="K921" s="26"/>
      <c r="L921" s="54"/>
      <c r="M921" s="54"/>
      <c r="N921" s="54"/>
      <c r="O921" s="26"/>
    </row>
    <row r="922">
      <c r="A922" s="26"/>
      <c r="B922" s="53"/>
      <c r="C922" s="54"/>
      <c r="D922" s="55"/>
      <c r="F922" s="26"/>
      <c r="G922" s="54"/>
      <c r="H922" s="26"/>
      <c r="I922" s="55"/>
      <c r="K922" s="26"/>
      <c r="L922" s="54"/>
      <c r="M922" s="54"/>
      <c r="N922" s="54"/>
      <c r="O922" s="26"/>
    </row>
    <row r="923">
      <c r="A923" s="26"/>
      <c r="B923" s="53"/>
      <c r="C923" s="54"/>
      <c r="D923" s="55"/>
      <c r="F923" s="26"/>
      <c r="G923" s="54"/>
      <c r="H923" s="26"/>
      <c r="I923" s="55"/>
      <c r="K923" s="26"/>
      <c r="L923" s="54"/>
      <c r="M923" s="54"/>
      <c r="N923" s="54"/>
      <c r="O923" s="26"/>
    </row>
    <row r="924">
      <c r="A924" s="26"/>
      <c r="B924" s="53"/>
      <c r="C924" s="54"/>
      <c r="D924" s="55"/>
      <c r="F924" s="26"/>
      <c r="G924" s="54"/>
      <c r="H924" s="26"/>
      <c r="I924" s="55"/>
      <c r="K924" s="26"/>
      <c r="L924" s="54"/>
      <c r="M924" s="54"/>
      <c r="N924" s="54"/>
      <c r="O924" s="26"/>
    </row>
    <row r="925">
      <c r="A925" s="26"/>
      <c r="B925" s="53"/>
      <c r="C925" s="54"/>
      <c r="D925" s="55"/>
      <c r="F925" s="26"/>
      <c r="G925" s="54"/>
      <c r="H925" s="26"/>
      <c r="I925" s="55"/>
      <c r="K925" s="26"/>
      <c r="L925" s="54"/>
      <c r="M925" s="54"/>
      <c r="N925" s="54"/>
      <c r="O925" s="26"/>
    </row>
    <row r="926">
      <c r="A926" s="26"/>
      <c r="B926" s="53"/>
      <c r="C926" s="54"/>
      <c r="D926" s="55"/>
      <c r="F926" s="26"/>
      <c r="G926" s="54"/>
      <c r="H926" s="26"/>
      <c r="I926" s="55"/>
      <c r="K926" s="26"/>
      <c r="L926" s="54"/>
      <c r="M926" s="54"/>
      <c r="N926" s="54"/>
      <c r="O926" s="26"/>
    </row>
    <row r="927">
      <c r="A927" s="26"/>
      <c r="B927" s="53"/>
      <c r="C927" s="54"/>
      <c r="D927" s="55"/>
      <c r="F927" s="26"/>
      <c r="G927" s="54"/>
      <c r="H927" s="26"/>
      <c r="I927" s="55"/>
      <c r="K927" s="26"/>
      <c r="L927" s="54"/>
      <c r="M927" s="54"/>
      <c r="N927" s="54"/>
      <c r="O927" s="26"/>
    </row>
    <row r="928">
      <c r="A928" s="26"/>
      <c r="B928" s="53"/>
      <c r="C928" s="54"/>
      <c r="D928" s="55"/>
      <c r="F928" s="26"/>
      <c r="G928" s="54"/>
      <c r="H928" s="26"/>
      <c r="I928" s="55"/>
      <c r="K928" s="26"/>
      <c r="L928" s="54"/>
      <c r="M928" s="54"/>
      <c r="N928" s="54"/>
      <c r="O928" s="26"/>
    </row>
    <row r="929">
      <c r="A929" s="26"/>
      <c r="B929" s="53"/>
      <c r="C929" s="54"/>
      <c r="D929" s="55"/>
      <c r="F929" s="26"/>
      <c r="G929" s="54"/>
      <c r="H929" s="26"/>
      <c r="I929" s="55"/>
      <c r="K929" s="26"/>
      <c r="L929" s="54"/>
      <c r="M929" s="54"/>
      <c r="N929" s="54"/>
      <c r="O929" s="26"/>
    </row>
    <row r="930">
      <c r="A930" s="26"/>
      <c r="B930" s="53"/>
      <c r="C930" s="54"/>
      <c r="D930" s="55"/>
      <c r="F930" s="26"/>
      <c r="G930" s="54"/>
      <c r="H930" s="26"/>
      <c r="I930" s="55"/>
      <c r="K930" s="26"/>
      <c r="L930" s="54"/>
      <c r="M930" s="54"/>
      <c r="N930" s="54"/>
      <c r="O930" s="26"/>
    </row>
    <row r="931">
      <c r="A931" s="26"/>
      <c r="B931" s="53"/>
      <c r="C931" s="54"/>
      <c r="D931" s="55"/>
      <c r="F931" s="26"/>
      <c r="G931" s="54"/>
      <c r="H931" s="26"/>
      <c r="I931" s="55"/>
      <c r="K931" s="26"/>
      <c r="L931" s="54"/>
      <c r="M931" s="54"/>
      <c r="N931" s="54"/>
      <c r="O931" s="26"/>
    </row>
    <row r="932">
      <c r="A932" s="26"/>
      <c r="B932" s="53"/>
      <c r="C932" s="54"/>
      <c r="D932" s="55"/>
      <c r="F932" s="26"/>
      <c r="G932" s="54"/>
      <c r="H932" s="26"/>
      <c r="I932" s="55"/>
      <c r="K932" s="26"/>
      <c r="L932" s="54"/>
      <c r="M932" s="54"/>
      <c r="N932" s="54"/>
      <c r="O932" s="26"/>
    </row>
    <row r="933">
      <c r="A933" s="26"/>
      <c r="B933" s="53"/>
      <c r="C933" s="54"/>
      <c r="D933" s="55"/>
      <c r="F933" s="26"/>
      <c r="G933" s="54"/>
      <c r="H933" s="26"/>
      <c r="I933" s="55"/>
      <c r="K933" s="26"/>
      <c r="L933" s="54"/>
      <c r="M933" s="54"/>
      <c r="N933" s="54"/>
      <c r="O933" s="26"/>
    </row>
    <row r="934">
      <c r="A934" s="26"/>
      <c r="B934" s="53"/>
      <c r="C934" s="54"/>
      <c r="D934" s="55"/>
      <c r="F934" s="26"/>
      <c r="G934" s="54"/>
      <c r="H934" s="26"/>
      <c r="I934" s="55"/>
      <c r="K934" s="26"/>
      <c r="L934" s="54"/>
      <c r="M934" s="54"/>
      <c r="N934" s="54"/>
      <c r="O934" s="26"/>
    </row>
    <row r="935">
      <c r="A935" s="26"/>
      <c r="B935" s="53"/>
      <c r="C935" s="54"/>
      <c r="D935" s="55"/>
      <c r="F935" s="26"/>
      <c r="G935" s="54"/>
      <c r="H935" s="26"/>
      <c r="I935" s="55"/>
      <c r="K935" s="26"/>
      <c r="L935" s="54"/>
      <c r="M935" s="54"/>
      <c r="N935" s="54"/>
      <c r="O935" s="26"/>
    </row>
    <row r="936">
      <c r="A936" s="26"/>
      <c r="B936" s="53"/>
      <c r="C936" s="54"/>
      <c r="D936" s="55"/>
      <c r="F936" s="26"/>
      <c r="G936" s="54"/>
      <c r="H936" s="26"/>
      <c r="I936" s="55"/>
      <c r="K936" s="26"/>
      <c r="L936" s="54"/>
      <c r="M936" s="54"/>
      <c r="N936" s="54"/>
      <c r="O936" s="26"/>
    </row>
    <row r="937">
      <c r="A937" s="26"/>
      <c r="B937" s="53"/>
      <c r="C937" s="54"/>
      <c r="D937" s="55"/>
      <c r="F937" s="26"/>
      <c r="G937" s="54"/>
      <c r="H937" s="26"/>
      <c r="I937" s="55"/>
      <c r="K937" s="26"/>
      <c r="L937" s="54"/>
      <c r="M937" s="54"/>
      <c r="N937" s="54"/>
      <c r="O937" s="26"/>
    </row>
    <row r="938">
      <c r="A938" s="26"/>
      <c r="B938" s="53"/>
      <c r="C938" s="54"/>
      <c r="D938" s="55"/>
      <c r="F938" s="26"/>
      <c r="G938" s="54"/>
      <c r="H938" s="26"/>
      <c r="I938" s="55"/>
      <c r="K938" s="26"/>
      <c r="L938" s="54"/>
      <c r="M938" s="54"/>
      <c r="N938" s="54"/>
      <c r="O938" s="26"/>
    </row>
    <row r="939">
      <c r="A939" s="26"/>
      <c r="B939" s="53"/>
      <c r="C939" s="54"/>
      <c r="D939" s="55"/>
      <c r="F939" s="26"/>
      <c r="G939" s="54"/>
      <c r="H939" s="26"/>
      <c r="I939" s="55"/>
      <c r="K939" s="26"/>
      <c r="L939" s="54"/>
      <c r="M939" s="54"/>
      <c r="N939" s="54"/>
      <c r="O939" s="26"/>
    </row>
    <row r="940">
      <c r="A940" s="26"/>
      <c r="B940" s="53"/>
      <c r="C940" s="54"/>
      <c r="D940" s="55"/>
      <c r="F940" s="26"/>
      <c r="G940" s="54"/>
      <c r="H940" s="26"/>
      <c r="I940" s="55"/>
      <c r="K940" s="26"/>
      <c r="L940" s="54"/>
      <c r="M940" s="54"/>
      <c r="N940" s="54"/>
      <c r="O940" s="26"/>
    </row>
    <row r="941">
      <c r="A941" s="26"/>
      <c r="B941" s="53"/>
      <c r="C941" s="54"/>
      <c r="D941" s="55"/>
      <c r="F941" s="26"/>
      <c r="G941" s="54"/>
      <c r="H941" s="26"/>
      <c r="I941" s="55"/>
      <c r="K941" s="26"/>
      <c r="L941" s="54"/>
      <c r="M941" s="54"/>
      <c r="N941" s="54"/>
      <c r="O941" s="26"/>
    </row>
    <row r="942">
      <c r="A942" s="26"/>
      <c r="B942" s="53"/>
      <c r="C942" s="54"/>
      <c r="D942" s="55"/>
      <c r="F942" s="26"/>
      <c r="G942" s="54"/>
      <c r="H942" s="26"/>
      <c r="I942" s="55"/>
      <c r="K942" s="26"/>
      <c r="L942" s="54"/>
      <c r="M942" s="54"/>
      <c r="N942" s="54"/>
      <c r="O942" s="26"/>
    </row>
    <row r="943">
      <c r="A943" s="26"/>
      <c r="B943" s="53"/>
      <c r="C943" s="54"/>
      <c r="D943" s="55"/>
      <c r="F943" s="26"/>
      <c r="G943" s="54"/>
      <c r="H943" s="26"/>
      <c r="I943" s="55"/>
      <c r="K943" s="26"/>
      <c r="L943" s="54"/>
      <c r="M943" s="54"/>
      <c r="N943" s="54"/>
      <c r="O943" s="26"/>
    </row>
    <row r="944">
      <c r="A944" s="26"/>
      <c r="B944" s="53"/>
      <c r="C944" s="54"/>
      <c r="D944" s="55"/>
      <c r="F944" s="26"/>
      <c r="G944" s="54"/>
      <c r="H944" s="26"/>
      <c r="I944" s="55"/>
      <c r="K944" s="26"/>
      <c r="L944" s="54"/>
      <c r="M944" s="54"/>
      <c r="N944" s="54"/>
      <c r="O944" s="26"/>
    </row>
    <row r="945">
      <c r="A945" s="26"/>
      <c r="B945" s="53"/>
      <c r="C945" s="54"/>
      <c r="D945" s="55"/>
      <c r="F945" s="26"/>
      <c r="G945" s="54"/>
      <c r="H945" s="26"/>
      <c r="I945" s="55"/>
      <c r="K945" s="26"/>
      <c r="L945" s="54"/>
      <c r="M945" s="54"/>
      <c r="N945" s="54"/>
      <c r="O945" s="26"/>
    </row>
    <row r="946">
      <c r="A946" s="26"/>
      <c r="B946" s="53"/>
      <c r="C946" s="54"/>
      <c r="D946" s="55"/>
      <c r="F946" s="26"/>
      <c r="G946" s="54"/>
      <c r="H946" s="26"/>
      <c r="I946" s="55"/>
      <c r="K946" s="26"/>
      <c r="L946" s="54"/>
      <c r="M946" s="54"/>
      <c r="N946" s="54"/>
      <c r="O946" s="26"/>
    </row>
    <row r="947">
      <c r="A947" s="26"/>
      <c r="B947" s="53"/>
      <c r="C947" s="54"/>
      <c r="D947" s="55"/>
      <c r="F947" s="26"/>
      <c r="G947" s="54"/>
      <c r="H947" s="26"/>
      <c r="I947" s="55"/>
      <c r="K947" s="26"/>
      <c r="L947" s="54"/>
      <c r="M947" s="54"/>
      <c r="N947" s="54"/>
      <c r="O947" s="26"/>
    </row>
    <row r="948">
      <c r="A948" s="26"/>
      <c r="B948" s="53"/>
      <c r="C948" s="54"/>
      <c r="D948" s="55"/>
      <c r="F948" s="26"/>
      <c r="G948" s="54"/>
      <c r="H948" s="26"/>
      <c r="I948" s="55"/>
      <c r="K948" s="26"/>
      <c r="L948" s="54"/>
      <c r="M948" s="54"/>
      <c r="N948" s="54"/>
      <c r="O948" s="26"/>
    </row>
    <row r="949">
      <c r="A949" s="26"/>
      <c r="B949" s="53"/>
      <c r="C949" s="54"/>
      <c r="D949" s="55"/>
      <c r="F949" s="26"/>
      <c r="G949" s="54"/>
      <c r="H949" s="26"/>
      <c r="I949" s="55"/>
      <c r="K949" s="26"/>
      <c r="L949" s="54"/>
      <c r="M949" s="54"/>
      <c r="N949" s="54"/>
      <c r="O949" s="26"/>
    </row>
    <row r="950">
      <c r="A950" s="26"/>
      <c r="B950" s="53"/>
      <c r="C950" s="54"/>
      <c r="D950" s="55"/>
      <c r="F950" s="26"/>
      <c r="G950" s="54"/>
      <c r="H950" s="26"/>
      <c r="I950" s="55"/>
      <c r="K950" s="26"/>
      <c r="L950" s="54"/>
      <c r="M950" s="54"/>
      <c r="N950" s="54"/>
      <c r="O950" s="26"/>
    </row>
    <row r="951">
      <c r="A951" s="26"/>
      <c r="B951" s="53"/>
      <c r="C951" s="54"/>
      <c r="D951" s="55"/>
      <c r="F951" s="26"/>
      <c r="G951" s="54"/>
      <c r="H951" s="26"/>
      <c r="I951" s="55"/>
      <c r="K951" s="26"/>
      <c r="L951" s="54"/>
      <c r="M951" s="54"/>
      <c r="N951" s="54"/>
      <c r="O951" s="26"/>
    </row>
    <row r="952">
      <c r="A952" s="26"/>
      <c r="B952" s="53"/>
      <c r="C952" s="54"/>
      <c r="D952" s="55"/>
      <c r="F952" s="26"/>
      <c r="G952" s="54"/>
      <c r="H952" s="26"/>
      <c r="I952" s="55"/>
      <c r="K952" s="26"/>
      <c r="L952" s="54"/>
      <c r="M952" s="54"/>
      <c r="N952" s="54"/>
      <c r="O952" s="26"/>
    </row>
    <row r="953">
      <c r="A953" s="26"/>
      <c r="B953" s="53"/>
      <c r="C953" s="54"/>
      <c r="D953" s="55"/>
      <c r="F953" s="26"/>
      <c r="G953" s="54"/>
      <c r="H953" s="26"/>
      <c r="I953" s="55"/>
      <c r="K953" s="26"/>
      <c r="L953" s="54"/>
      <c r="M953" s="54"/>
      <c r="N953" s="54"/>
      <c r="O953" s="26"/>
    </row>
    <row r="954">
      <c r="A954" s="26"/>
      <c r="B954" s="53"/>
      <c r="C954" s="54"/>
      <c r="D954" s="55"/>
      <c r="F954" s="26"/>
      <c r="G954" s="54"/>
      <c r="H954" s="26"/>
      <c r="I954" s="55"/>
      <c r="K954" s="26"/>
      <c r="L954" s="54"/>
      <c r="M954" s="54"/>
      <c r="N954" s="54"/>
      <c r="O954" s="26"/>
    </row>
    <row r="955">
      <c r="A955" s="26"/>
      <c r="B955" s="53"/>
      <c r="C955" s="54"/>
      <c r="D955" s="55"/>
      <c r="F955" s="26"/>
      <c r="G955" s="54"/>
      <c r="H955" s="26"/>
      <c r="I955" s="55"/>
      <c r="K955" s="26"/>
      <c r="L955" s="54"/>
      <c r="M955" s="54"/>
      <c r="N955" s="54"/>
      <c r="O955" s="26"/>
    </row>
    <row r="956">
      <c r="A956" s="26"/>
      <c r="B956" s="53"/>
      <c r="C956" s="54"/>
      <c r="D956" s="55"/>
      <c r="F956" s="26"/>
      <c r="G956" s="54"/>
      <c r="H956" s="26"/>
      <c r="I956" s="55"/>
      <c r="K956" s="26"/>
      <c r="L956" s="54"/>
      <c r="M956" s="54"/>
      <c r="N956" s="54"/>
      <c r="O956" s="26"/>
    </row>
    <row r="957">
      <c r="A957" s="26"/>
      <c r="B957" s="53"/>
      <c r="C957" s="54"/>
      <c r="D957" s="55"/>
      <c r="F957" s="26"/>
      <c r="G957" s="54"/>
      <c r="H957" s="26"/>
      <c r="I957" s="55"/>
      <c r="K957" s="26"/>
      <c r="L957" s="54"/>
      <c r="M957" s="54"/>
      <c r="N957" s="54"/>
      <c r="O957" s="26"/>
    </row>
    <row r="958">
      <c r="A958" s="26"/>
      <c r="B958" s="53"/>
      <c r="C958" s="54"/>
      <c r="D958" s="55"/>
      <c r="F958" s="26"/>
      <c r="G958" s="54"/>
      <c r="H958" s="26"/>
      <c r="I958" s="55"/>
      <c r="K958" s="26"/>
      <c r="L958" s="54"/>
      <c r="M958" s="54"/>
      <c r="N958" s="54"/>
      <c r="O958" s="26"/>
    </row>
    <row r="959">
      <c r="A959" s="26"/>
      <c r="B959" s="53"/>
      <c r="C959" s="54"/>
      <c r="D959" s="55"/>
      <c r="F959" s="26"/>
      <c r="G959" s="54"/>
      <c r="H959" s="26"/>
      <c r="I959" s="55"/>
      <c r="K959" s="26"/>
      <c r="L959" s="54"/>
      <c r="M959" s="54"/>
      <c r="N959" s="54"/>
      <c r="O959" s="26"/>
    </row>
    <row r="960">
      <c r="A960" s="26"/>
      <c r="B960" s="53"/>
      <c r="C960" s="54"/>
      <c r="D960" s="55"/>
      <c r="F960" s="26"/>
      <c r="G960" s="54"/>
      <c r="H960" s="26"/>
      <c r="I960" s="55"/>
      <c r="K960" s="26"/>
      <c r="L960" s="54"/>
      <c r="M960" s="54"/>
      <c r="N960" s="54"/>
      <c r="O960" s="26"/>
    </row>
    <row r="961">
      <c r="A961" s="26"/>
      <c r="B961" s="53"/>
      <c r="C961" s="54"/>
      <c r="D961" s="55"/>
      <c r="F961" s="26"/>
      <c r="G961" s="54"/>
      <c r="H961" s="26"/>
      <c r="I961" s="55"/>
      <c r="K961" s="26"/>
      <c r="L961" s="54"/>
      <c r="M961" s="54"/>
      <c r="N961" s="54"/>
      <c r="O961" s="26"/>
    </row>
    <row r="962">
      <c r="A962" s="26"/>
      <c r="B962" s="53"/>
      <c r="C962" s="54"/>
      <c r="D962" s="55"/>
      <c r="F962" s="26"/>
      <c r="G962" s="54"/>
      <c r="H962" s="26"/>
      <c r="I962" s="55"/>
      <c r="K962" s="26"/>
      <c r="L962" s="54"/>
      <c r="M962" s="54"/>
      <c r="N962" s="54"/>
      <c r="O962" s="26"/>
    </row>
    <row r="963">
      <c r="A963" s="26"/>
      <c r="B963" s="53"/>
      <c r="C963" s="54"/>
      <c r="D963" s="55"/>
      <c r="F963" s="26"/>
      <c r="G963" s="54"/>
      <c r="H963" s="26"/>
      <c r="I963" s="55"/>
      <c r="K963" s="26"/>
      <c r="L963" s="54"/>
      <c r="M963" s="54"/>
      <c r="N963" s="54"/>
      <c r="O963" s="26"/>
    </row>
    <row r="964">
      <c r="A964" s="26"/>
      <c r="B964" s="53"/>
      <c r="C964" s="54"/>
      <c r="D964" s="55"/>
      <c r="F964" s="26"/>
      <c r="G964" s="54"/>
      <c r="H964" s="26"/>
      <c r="I964" s="55"/>
      <c r="K964" s="26"/>
      <c r="L964" s="54"/>
      <c r="M964" s="54"/>
      <c r="N964" s="54"/>
      <c r="O964" s="26"/>
    </row>
    <row r="965">
      <c r="A965" s="26"/>
      <c r="B965" s="53"/>
      <c r="C965" s="54"/>
      <c r="D965" s="55"/>
      <c r="F965" s="26"/>
      <c r="G965" s="54"/>
      <c r="H965" s="26"/>
      <c r="I965" s="55"/>
      <c r="K965" s="26"/>
      <c r="L965" s="54"/>
      <c r="M965" s="54"/>
      <c r="N965" s="54"/>
      <c r="O965" s="26"/>
    </row>
    <row r="966">
      <c r="A966" s="26"/>
      <c r="B966" s="53"/>
      <c r="C966" s="54"/>
      <c r="D966" s="55"/>
      <c r="F966" s="26"/>
      <c r="G966" s="54"/>
      <c r="H966" s="26"/>
      <c r="I966" s="55"/>
      <c r="K966" s="26"/>
      <c r="L966" s="54"/>
      <c r="M966" s="54"/>
      <c r="N966" s="54"/>
      <c r="O966" s="26"/>
    </row>
    <row r="967">
      <c r="A967" s="26"/>
      <c r="B967" s="53"/>
      <c r="C967" s="54"/>
      <c r="D967" s="55"/>
      <c r="F967" s="26"/>
      <c r="G967" s="54"/>
      <c r="H967" s="26"/>
      <c r="I967" s="55"/>
      <c r="K967" s="26"/>
      <c r="L967" s="54"/>
      <c r="M967" s="54"/>
      <c r="N967" s="54"/>
      <c r="O967" s="26"/>
    </row>
    <row r="968">
      <c r="A968" s="26"/>
      <c r="B968" s="53"/>
      <c r="C968" s="54"/>
      <c r="D968" s="55"/>
      <c r="F968" s="26"/>
      <c r="G968" s="54"/>
      <c r="H968" s="26"/>
      <c r="I968" s="55"/>
      <c r="K968" s="26"/>
      <c r="L968" s="54"/>
      <c r="M968" s="54"/>
      <c r="N968" s="54"/>
      <c r="O968" s="26"/>
    </row>
    <row r="969">
      <c r="A969" s="26"/>
      <c r="B969" s="53"/>
      <c r="C969" s="54"/>
      <c r="D969" s="55"/>
      <c r="F969" s="26"/>
      <c r="G969" s="54"/>
      <c r="H969" s="26"/>
      <c r="I969" s="55"/>
      <c r="K969" s="26"/>
      <c r="L969" s="54"/>
      <c r="M969" s="54"/>
      <c r="N969" s="54"/>
      <c r="O969" s="26"/>
    </row>
    <row r="970">
      <c r="A970" s="26"/>
      <c r="B970" s="53"/>
      <c r="C970" s="54"/>
      <c r="D970" s="55"/>
      <c r="F970" s="26"/>
      <c r="G970" s="54"/>
      <c r="H970" s="26"/>
      <c r="I970" s="55"/>
      <c r="K970" s="26"/>
      <c r="L970" s="54"/>
      <c r="M970" s="54"/>
      <c r="N970" s="54"/>
      <c r="O970" s="26"/>
    </row>
    <row r="971">
      <c r="A971" s="26"/>
      <c r="B971" s="53"/>
      <c r="C971" s="54"/>
      <c r="D971" s="55"/>
      <c r="F971" s="26"/>
      <c r="G971" s="54"/>
      <c r="H971" s="26"/>
      <c r="I971" s="55"/>
      <c r="K971" s="26"/>
      <c r="L971" s="54"/>
      <c r="M971" s="54"/>
      <c r="N971" s="54"/>
      <c r="O971" s="26"/>
    </row>
    <row r="972">
      <c r="A972" s="26"/>
      <c r="B972" s="53"/>
      <c r="C972" s="54"/>
      <c r="D972" s="55"/>
      <c r="F972" s="26"/>
      <c r="G972" s="54"/>
      <c r="H972" s="26"/>
      <c r="I972" s="55"/>
      <c r="K972" s="26"/>
      <c r="L972" s="54"/>
      <c r="M972" s="54"/>
      <c r="N972" s="54"/>
      <c r="O972" s="26"/>
    </row>
    <row r="973">
      <c r="A973" s="26"/>
      <c r="B973" s="53"/>
      <c r="C973" s="54"/>
      <c r="D973" s="55"/>
      <c r="F973" s="26"/>
      <c r="G973" s="54"/>
      <c r="H973" s="26"/>
      <c r="I973" s="55"/>
      <c r="K973" s="26"/>
      <c r="L973" s="54"/>
      <c r="M973" s="54"/>
      <c r="N973" s="54"/>
      <c r="O973" s="26"/>
    </row>
    <row r="974">
      <c r="A974" s="26"/>
      <c r="B974" s="53"/>
      <c r="C974" s="54"/>
      <c r="D974" s="55"/>
      <c r="F974" s="26"/>
      <c r="G974" s="54"/>
      <c r="H974" s="26"/>
      <c r="I974" s="55"/>
      <c r="K974" s="26"/>
      <c r="L974" s="54"/>
      <c r="M974" s="54"/>
      <c r="N974" s="54"/>
      <c r="O974" s="26"/>
    </row>
    <row r="975">
      <c r="A975" s="26"/>
      <c r="B975" s="53"/>
      <c r="C975" s="54"/>
      <c r="D975" s="55"/>
      <c r="F975" s="26"/>
      <c r="G975" s="54"/>
      <c r="H975" s="26"/>
      <c r="I975" s="55"/>
      <c r="K975" s="26"/>
      <c r="L975" s="54"/>
      <c r="M975" s="54"/>
      <c r="N975" s="54"/>
      <c r="O975" s="26"/>
    </row>
    <row r="976">
      <c r="A976" s="26"/>
      <c r="B976" s="53"/>
      <c r="C976" s="54"/>
      <c r="D976" s="55"/>
      <c r="F976" s="26"/>
      <c r="G976" s="54"/>
      <c r="H976" s="26"/>
      <c r="I976" s="55"/>
      <c r="K976" s="26"/>
      <c r="L976" s="54"/>
      <c r="M976" s="54"/>
      <c r="N976" s="54"/>
      <c r="O976" s="26"/>
    </row>
    <row r="977">
      <c r="A977" s="26"/>
      <c r="B977" s="53"/>
      <c r="C977" s="54"/>
      <c r="D977" s="55"/>
      <c r="F977" s="26"/>
      <c r="G977" s="54"/>
      <c r="H977" s="26"/>
      <c r="I977" s="55"/>
      <c r="K977" s="26"/>
      <c r="L977" s="54"/>
      <c r="M977" s="54"/>
      <c r="N977" s="54"/>
      <c r="O977" s="26"/>
    </row>
    <row r="978">
      <c r="A978" s="26"/>
      <c r="B978" s="53"/>
      <c r="C978" s="54"/>
      <c r="D978" s="55"/>
      <c r="F978" s="26"/>
      <c r="G978" s="54"/>
      <c r="H978" s="26"/>
      <c r="I978" s="55"/>
      <c r="K978" s="26"/>
      <c r="L978" s="54"/>
      <c r="M978" s="54"/>
      <c r="N978" s="54"/>
      <c r="O978" s="26"/>
    </row>
    <row r="979">
      <c r="A979" s="26"/>
      <c r="B979" s="53"/>
      <c r="C979" s="54"/>
      <c r="D979" s="55"/>
      <c r="F979" s="26"/>
      <c r="G979" s="54"/>
      <c r="H979" s="26"/>
      <c r="I979" s="55"/>
      <c r="K979" s="26"/>
      <c r="L979" s="54"/>
      <c r="M979" s="54"/>
      <c r="N979" s="54"/>
      <c r="O979" s="26"/>
    </row>
    <row r="980">
      <c r="A980" s="26"/>
      <c r="B980" s="53"/>
      <c r="C980" s="54"/>
      <c r="D980" s="55"/>
      <c r="F980" s="26"/>
      <c r="G980" s="54"/>
      <c r="H980" s="26"/>
      <c r="I980" s="55"/>
      <c r="K980" s="26"/>
      <c r="L980" s="54"/>
      <c r="M980" s="54"/>
      <c r="N980" s="54"/>
      <c r="O980" s="26"/>
    </row>
    <row r="981">
      <c r="A981" s="26"/>
      <c r="B981" s="53"/>
      <c r="C981" s="54"/>
      <c r="D981" s="55"/>
      <c r="F981" s="26"/>
      <c r="G981" s="54"/>
      <c r="H981" s="26"/>
      <c r="I981" s="55"/>
      <c r="K981" s="26"/>
      <c r="L981" s="54"/>
      <c r="M981" s="54"/>
      <c r="N981" s="54"/>
      <c r="O981" s="26"/>
    </row>
    <row r="982">
      <c r="A982" s="26"/>
      <c r="B982" s="53"/>
      <c r="C982" s="54"/>
      <c r="D982" s="55"/>
      <c r="F982" s="26"/>
      <c r="G982" s="54"/>
      <c r="H982" s="26"/>
      <c r="I982" s="55"/>
      <c r="K982" s="26"/>
      <c r="L982" s="54"/>
      <c r="M982" s="54"/>
      <c r="N982" s="54"/>
      <c r="O982" s="26"/>
    </row>
    <row r="983">
      <c r="A983" s="26"/>
      <c r="B983" s="53"/>
      <c r="C983" s="54"/>
      <c r="D983" s="55"/>
      <c r="F983" s="26"/>
      <c r="G983" s="54"/>
      <c r="H983" s="26"/>
      <c r="I983" s="55"/>
      <c r="K983" s="26"/>
      <c r="L983" s="54"/>
      <c r="M983" s="54"/>
      <c r="N983" s="54"/>
      <c r="O983" s="26"/>
    </row>
    <row r="984">
      <c r="A984" s="26"/>
      <c r="B984" s="53"/>
      <c r="C984" s="54"/>
      <c r="D984" s="55"/>
      <c r="F984" s="26"/>
      <c r="G984" s="54"/>
      <c r="H984" s="26"/>
      <c r="I984" s="55"/>
      <c r="K984" s="26"/>
      <c r="L984" s="54"/>
      <c r="M984" s="54"/>
      <c r="N984" s="54"/>
      <c r="O984" s="26"/>
    </row>
    <row r="985">
      <c r="A985" s="26"/>
      <c r="B985" s="53"/>
      <c r="C985" s="54"/>
      <c r="D985" s="55"/>
      <c r="F985" s="26"/>
      <c r="G985" s="54"/>
      <c r="H985" s="26"/>
      <c r="I985" s="55"/>
      <c r="K985" s="26"/>
      <c r="L985" s="54"/>
      <c r="M985" s="54"/>
      <c r="N985" s="54"/>
      <c r="O985" s="26"/>
    </row>
    <row r="986">
      <c r="A986" s="26"/>
      <c r="B986" s="53"/>
      <c r="C986" s="54"/>
      <c r="D986" s="55"/>
      <c r="F986" s="26"/>
      <c r="G986" s="54"/>
      <c r="H986" s="26"/>
      <c r="I986" s="55"/>
      <c r="K986" s="26"/>
      <c r="L986" s="54"/>
      <c r="M986" s="54"/>
      <c r="N986" s="54"/>
      <c r="O986" s="26"/>
    </row>
    <row r="987">
      <c r="A987" s="26"/>
      <c r="B987" s="53"/>
      <c r="C987" s="54"/>
      <c r="D987" s="55"/>
      <c r="F987" s="26"/>
      <c r="G987" s="54"/>
      <c r="H987" s="26"/>
      <c r="I987" s="55"/>
      <c r="K987" s="26"/>
      <c r="L987" s="54"/>
      <c r="M987" s="54"/>
      <c r="N987" s="54"/>
      <c r="O987" s="26"/>
    </row>
    <row r="988">
      <c r="A988" s="26"/>
      <c r="B988" s="53"/>
      <c r="C988" s="54"/>
      <c r="D988" s="55"/>
      <c r="F988" s="26"/>
      <c r="G988" s="54"/>
      <c r="H988" s="26"/>
      <c r="I988" s="55"/>
      <c r="K988" s="26"/>
      <c r="L988" s="54"/>
      <c r="M988" s="54"/>
      <c r="N988" s="54"/>
      <c r="O988" s="26"/>
    </row>
    <row r="989">
      <c r="A989" s="26"/>
      <c r="B989" s="53"/>
      <c r="C989" s="54"/>
      <c r="D989" s="55"/>
      <c r="F989" s="26"/>
      <c r="G989" s="54"/>
      <c r="H989" s="26"/>
      <c r="I989" s="55"/>
      <c r="K989" s="26"/>
      <c r="L989" s="54"/>
      <c r="M989" s="54"/>
      <c r="N989" s="54"/>
      <c r="O989" s="26"/>
    </row>
    <row r="990">
      <c r="A990" s="26"/>
      <c r="B990" s="53"/>
      <c r="C990" s="54"/>
      <c r="D990" s="55"/>
      <c r="F990" s="26"/>
      <c r="G990" s="54"/>
      <c r="H990" s="26"/>
      <c r="I990" s="55"/>
      <c r="K990" s="26"/>
      <c r="L990" s="54"/>
      <c r="M990" s="54"/>
      <c r="N990" s="54"/>
      <c r="O990" s="26"/>
    </row>
    <row r="991">
      <c r="A991" s="26"/>
      <c r="B991" s="53"/>
      <c r="C991" s="54"/>
      <c r="D991" s="55"/>
      <c r="F991" s="26"/>
      <c r="G991" s="54"/>
      <c r="H991" s="26"/>
      <c r="I991" s="55"/>
      <c r="K991" s="26"/>
      <c r="L991" s="54"/>
      <c r="M991" s="54"/>
      <c r="N991" s="54"/>
      <c r="O991" s="26"/>
    </row>
    <row r="992">
      <c r="A992" s="26"/>
      <c r="B992" s="53"/>
      <c r="C992" s="54"/>
      <c r="D992" s="55"/>
      <c r="F992" s="26"/>
      <c r="G992" s="54"/>
      <c r="H992" s="26"/>
      <c r="I992" s="55"/>
      <c r="K992" s="26"/>
      <c r="L992" s="54"/>
      <c r="M992" s="54"/>
      <c r="N992" s="54"/>
      <c r="O992" s="26"/>
    </row>
    <row r="993">
      <c r="A993" s="26"/>
      <c r="B993" s="53"/>
      <c r="C993" s="54"/>
      <c r="D993" s="55"/>
      <c r="F993" s="26"/>
      <c r="G993" s="54"/>
      <c r="H993" s="26"/>
      <c r="I993" s="55"/>
      <c r="K993" s="26"/>
      <c r="L993" s="54"/>
      <c r="M993" s="54"/>
      <c r="N993" s="54"/>
      <c r="O993" s="26"/>
    </row>
    <row r="994">
      <c r="A994" s="26"/>
      <c r="B994" s="53"/>
      <c r="C994" s="54"/>
      <c r="D994" s="55"/>
      <c r="F994" s="26"/>
      <c r="G994" s="54"/>
      <c r="H994" s="26"/>
      <c r="I994" s="55"/>
      <c r="K994" s="26"/>
      <c r="L994" s="54"/>
      <c r="M994" s="54"/>
      <c r="N994" s="54"/>
      <c r="O994" s="26"/>
    </row>
    <row r="995">
      <c r="A995" s="26"/>
      <c r="B995" s="53"/>
      <c r="C995" s="54"/>
      <c r="D995" s="55"/>
      <c r="F995" s="26"/>
      <c r="G995" s="54"/>
      <c r="H995" s="26"/>
      <c r="I995" s="55"/>
      <c r="K995" s="26"/>
      <c r="L995" s="54"/>
      <c r="M995" s="54"/>
      <c r="N995" s="54"/>
      <c r="O995" s="26"/>
    </row>
    <row r="996">
      <c r="A996" s="26"/>
      <c r="B996" s="53"/>
      <c r="C996" s="54"/>
      <c r="D996" s="55"/>
      <c r="F996" s="26"/>
      <c r="G996" s="54"/>
      <c r="H996" s="26"/>
      <c r="I996" s="55"/>
      <c r="K996" s="26"/>
      <c r="L996" s="54"/>
      <c r="M996" s="54"/>
      <c r="N996" s="54"/>
      <c r="O996" s="26"/>
    </row>
    <row r="997">
      <c r="A997" s="26"/>
      <c r="B997" s="53"/>
      <c r="C997" s="54"/>
      <c r="D997" s="55"/>
      <c r="F997" s="26"/>
      <c r="G997" s="54"/>
      <c r="H997" s="26"/>
      <c r="I997" s="55"/>
      <c r="K997" s="26"/>
      <c r="L997" s="54"/>
      <c r="M997" s="54"/>
      <c r="N997" s="54"/>
      <c r="O997" s="26"/>
    </row>
    <row r="998">
      <c r="A998" s="26"/>
      <c r="B998" s="53"/>
      <c r="C998" s="54"/>
      <c r="D998" s="55"/>
      <c r="F998" s="26"/>
      <c r="G998" s="54"/>
      <c r="H998" s="26"/>
      <c r="I998" s="55"/>
      <c r="K998" s="26"/>
      <c r="L998" s="54"/>
      <c r="M998" s="54"/>
      <c r="N998" s="54"/>
      <c r="O998" s="26"/>
    </row>
    <row r="999">
      <c r="A999" s="26"/>
      <c r="B999" s="53"/>
      <c r="C999" s="54"/>
      <c r="D999" s="55"/>
      <c r="F999" s="26"/>
      <c r="G999" s="54"/>
      <c r="H999" s="26"/>
      <c r="I999" s="55"/>
      <c r="K999" s="26"/>
      <c r="L999" s="54"/>
      <c r="M999" s="54"/>
      <c r="N999" s="54"/>
      <c r="O999" s="26"/>
    </row>
    <row r="1000">
      <c r="A1000" s="26"/>
      <c r="B1000" s="53"/>
      <c r="C1000" s="54"/>
      <c r="D1000" s="55"/>
      <c r="F1000" s="26"/>
      <c r="G1000" s="54"/>
      <c r="H1000" s="26"/>
      <c r="I1000" s="55"/>
      <c r="K1000" s="26"/>
      <c r="L1000" s="54"/>
      <c r="M1000" s="54"/>
      <c r="N1000" s="54"/>
      <c r="O1000" s="26"/>
    </row>
    <row r="1001">
      <c r="A1001" s="26"/>
      <c r="B1001" s="53"/>
      <c r="C1001" s="54"/>
      <c r="D1001" s="55"/>
      <c r="F1001" s="26"/>
      <c r="G1001" s="54"/>
      <c r="H1001" s="26"/>
      <c r="I1001" s="55"/>
      <c r="K1001" s="26"/>
      <c r="L1001" s="54"/>
      <c r="M1001" s="54"/>
      <c r="N1001" s="54"/>
      <c r="O1001" s="26"/>
    </row>
  </sheetData>
  <mergeCells count="7">
    <mergeCell ref="A1:N1"/>
    <mergeCell ref="Q1:U1"/>
    <mergeCell ref="D2:E2"/>
    <mergeCell ref="F2:H2"/>
    <mergeCell ref="I2:J2"/>
    <mergeCell ref="K2:O2"/>
    <mergeCell ref="Q17:V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7" max="7" width="30.57"/>
    <col customWidth="1" min="8" max="8" width="23.86"/>
    <col customWidth="1" min="15" max="15" width="30.57"/>
  </cols>
  <sheetData>
    <row r="1">
      <c r="A1" s="56" t="s">
        <v>69</v>
      </c>
      <c r="B1" s="57" t="s">
        <v>70</v>
      </c>
      <c r="C1" s="58" t="s">
        <v>8</v>
      </c>
      <c r="D1" s="57" t="s">
        <v>71</v>
      </c>
      <c r="E1" s="57" t="s">
        <v>72</v>
      </c>
      <c r="F1" s="57" t="s">
        <v>73</v>
      </c>
      <c r="G1" s="59" t="s">
        <v>11</v>
      </c>
      <c r="H1" s="57" t="s">
        <v>74</v>
      </c>
      <c r="M1" s="60" t="s">
        <v>72</v>
      </c>
      <c r="N1" s="60" t="s">
        <v>73</v>
      </c>
      <c r="O1" s="61" t="s">
        <v>11</v>
      </c>
      <c r="P1" s="60" t="s">
        <v>74</v>
      </c>
      <c r="Q1" s="62" t="s">
        <v>75</v>
      </c>
    </row>
    <row r="2">
      <c r="A2" s="63"/>
      <c r="B2" s="64" t="str">
        <f>IFERROR(__xludf.DUMMYFUNCTION("QUERY(DETAIL!N4:T10000,""select * where P is not Null"")"),"               ")</f>
        <v>               </v>
      </c>
      <c r="C2" s="65"/>
      <c r="D2" s="66"/>
      <c r="E2" s="66"/>
      <c r="F2" s="66"/>
      <c r="G2" s="66"/>
      <c r="H2" s="66"/>
      <c r="M2" s="66"/>
      <c r="N2" s="66"/>
      <c r="O2" s="66"/>
      <c r="P2" s="66"/>
      <c r="Q2" s="66"/>
    </row>
    <row r="3">
      <c r="A3" s="67">
        <v>1.0</v>
      </c>
      <c r="B3" s="11" t="str">
        <f>IFERROR(__xludf.DUMMYFUNCTION("""COMPUTED_VALUE"""),"CC18401")</f>
        <v>CC18401</v>
      </c>
      <c r="C3" s="11" t="str">
        <f>IFERROR(__xludf.DUMMYFUNCTION("""COMPUTED_VALUE"""),"SHIP")</f>
        <v>SHIP</v>
      </c>
      <c r="D3" s="68">
        <f>IFERROR(__xludf.DUMMYFUNCTION("""COMPUTED_VALUE"""),431.8181818181819)</f>
        <v>431.8181818</v>
      </c>
      <c r="E3" s="69">
        <f>IFERROR(__xludf.DUMMYFUNCTION("""COMPUTED_VALUE"""),44510.0)</f>
        <v>44510</v>
      </c>
      <c r="F3" s="70" t="str">
        <f>IFERROR(__xludf.DUMMYFUNCTION("""COMPUTED_VALUE"""),"Brandon Harris")</f>
        <v>Brandon Harris</v>
      </c>
      <c r="G3" s="70" t="str">
        <f>IFERROR(__xludf.DUMMYFUNCTION("""COMPUTED_VALUE"""),"Collective Styles (SFBA)")</f>
        <v>Collective Styles (SFBA)</v>
      </c>
      <c r="H3" s="70"/>
      <c r="M3" s="71">
        <f>IFERROR(__xludf.DUMMYFUNCTION("unique(QUERY(E3:H3882,""Select * WHERE E IS NOT NULL""))"),44510.0)</f>
        <v>44510</v>
      </c>
      <c r="N3" s="72" t="str">
        <f>IFERROR(__xludf.DUMMYFUNCTION("""COMPUTED_VALUE"""),"Brandon Harris")</f>
        <v>Brandon Harris</v>
      </c>
      <c r="O3" s="72" t="str">
        <f>IFERROR(__xludf.DUMMYFUNCTION("""COMPUTED_VALUE"""),"Collective Styles (SFBA)")</f>
        <v>Collective Styles (SFBA)</v>
      </c>
      <c r="P3" s="72"/>
      <c r="Q3" s="73">
        <f t="shared" ref="Q3:Q75" si="1">IF(M3&lt;&gt;0,SUMIFS($D$3:$D3882,$E$3:$E3882,M3,$F$3:$F3882,N3),0)</f>
        <v>1828.139394</v>
      </c>
    </row>
    <row r="4">
      <c r="A4" s="67">
        <v>2.0</v>
      </c>
      <c r="B4" s="11" t="str">
        <f>IFERROR(__xludf.DUMMYFUNCTION("""COMPUTED_VALUE"""),"CC18402")</f>
        <v>CC18402</v>
      </c>
      <c r="C4" s="11" t="str">
        <f>IFERROR(__xludf.DUMMYFUNCTION("""COMPUTED_VALUE"""),"SHIP")</f>
        <v>SHIP</v>
      </c>
      <c r="D4" s="68">
        <f>IFERROR(__xludf.DUMMYFUNCTION("""COMPUTED_VALUE"""),312.1212121212121)</f>
        <v>312.1212121</v>
      </c>
      <c r="E4" s="69">
        <f>IFERROR(__xludf.DUMMYFUNCTION("""COMPUTED_VALUE"""),44510.0)</f>
        <v>44510</v>
      </c>
      <c r="F4" s="70" t="str">
        <f>IFERROR(__xludf.DUMMYFUNCTION("""COMPUTED_VALUE"""),"Brandon Harris")</f>
        <v>Brandon Harris</v>
      </c>
      <c r="G4" s="70" t="str">
        <f>IFERROR(__xludf.DUMMYFUNCTION("""COMPUTED_VALUE"""),"Collective Styles (SFBA)")</f>
        <v>Collective Styles (SFBA)</v>
      </c>
      <c r="H4" s="70"/>
      <c r="M4" s="71">
        <f>IFERROR(__xludf.DUMMYFUNCTION("""COMPUTED_VALUE"""),44559.0)</f>
        <v>44559</v>
      </c>
      <c r="N4" s="72" t="str">
        <f>IFERROR(__xludf.DUMMYFUNCTION("""COMPUTED_VALUE"""),"Roop Bath")</f>
        <v>Roop Bath</v>
      </c>
      <c r="O4" s="72" t="str">
        <f>IFERROR(__xludf.DUMMYFUNCTION("""COMPUTED_VALUE"""),"A1 Wholesale Supplies")</f>
        <v>A1 Wholesale Supplies</v>
      </c>
      <c r="P4" s="72"/>
      <c r="Q4" s="73">
        <f t="shared" si="1"/>
        <v>3393.783636</v>
      </c>
    </row>
    <row r="5">
      <c r="A5" s="67">
        <v>3.0</v>
      </c>
      <c r="B5" s="11" t="str">
        <f>IFERROR(__xludf.DUMMYFUNCTION("""COMPUTED_VALUE"""),"CC18403")</f>
        <v>CC18403</v>
      </c>
      <c r="C5" s="11" t="str">
        <f>IFERROR(__xludf.DUMMYFUNCTION("""COMPUTED_VALUE"""),"SHIP")</f>
        <v>SHIP</v>
      </c>
      <c r="D5" s="68">
        <f>IFERROR(__xludf.DUMMYFUNCTION("""COMPUTED_VALUE"""),936.0303030303032)</f>
        <v>936.030303</v>
      </c>
      <c r="E5" s="69">
        <f>IFERROR(__xludf.DUMMYFUNCTION("""COMPUTED_VALUE"""),44559.0)</f>
        <v>44559</v>
      </c>
      <c r="F5" s="70" t="str">
        <f>IFERROR(__xludf.DUMMYFUNCTION("""COMPUTED_VALUE"""),"Roop Bath")</f>
        <v>Roop Bath</v>
      </c>
      <c r="G5" s="70" t="str">
        <f>IFERROR(__xludf.DUMMYFUNCTION("""COMPUTED_VALUE"""),"A1 Wholesale Supplies")</f>
        <v>A1 Wholesale Supplies</v>
      </c>
      <c r="H5" s="70"/>
      <c r="M5" s="71">
        <f>IFERROR(__xludf.DUMMYFUNCTION("""COMPUTED_VALUE"""),44483.0)</f>
        <v>44483</v>
      </c>
      <c r="N5" s="72" t="str">
        <f>IFERROR(__xludf.DUMMYFUNCTION("""COMPUTED_VALUE"""),"Brandon Harris")</f>
        <v>Brandon Harris</v>
      </c>
      <c r="O5" s="72" t="str">
        <f>IFERROR(__xludf.DUMMYFUNCTION("""COMPUTED_VALUE"""),"Collective Styles (SFBA)")</f>
        <v>Collective Styles (SFBA)</v>
      </c>
      <c r="P5" s="72"/>
      <c r="Q5" s="73">
        <f t="shared" si="1"/>
        <v>2174.8425</v>
      </c>
    </row>
    <row r="6">
      <c r="A6" s="67">
        <v>4.0</v>
      </c>
      <c r="B6" s="11" t="str">
        <f>IFERROR(__xludf.DUMMYFUNCTION("""COMPUTED_VALUE"""),"LC18300")</f>
        <v>LC18300</v>
      </c>
      <c r="C6" s="11" t="str">
        <f>IFERROR(__xludf.DUMMYFUNCTION("""COMPUTED_VALUE"""),"SHIP")</f>
        <v>SHIP</v>
      </c>
      <c r="D6" s="68">
        <f>IFERROR(__xludf.DUMMYFUNCTION("""COMPUTED_VALUE"""),1311.37)</f>
        <v>1311.37</v>
      </c>
      <c r="E6" s="69">
        <f>IFERROR(__xludf.DUMMYFUNCTION("""COMPUTED_VALUE"""),44483.0)</f>
        <v>44483</v>
      </c>
      <c r="F6" s="70" t="str">
        <f>IFERROR(__xludf.DUMMYFUNCTION("""COMPUTED_VALUE"""),"Brandon Harris")</f>
        <v>Brandon Harris</v>
      </c>
      <c r="G6" s="70" t="str">
        <f>IFERROR(__xludf.DUMMYFUNCTION("""COMPUTED_VALUE"""),"Collective Styles (SFBA)")</f>
        <v>Collective Styles (SFBA)</v>
      </c>
      <c r="H6" s="70"/>
      <c r="M6" s="71">
        <f>IFERROR(__xludf.DUMMYFUNCTION("""COMPUTED_VALUE"""),44469.0)</f>
        <v>44469</v>
      </c>
      <c r="N6" s="72" t="str">
        <f>IFERROR(__xludf.DUMMYFUNCTION("""COMPUTED_VALUE"""),"Cody Krueger")</f>
        <v>Cody Krueger</v>
      </c>
      <c r="O6" s="72" t="str">
        <f>IFERROR(__xludf.DUMMYFUNCTION("""COMPUTED_VALUE"""),"ECOM EXPERTS LLC (SFBA)")</f>
        <v>ECOM EXPERTS LLC (SFBA)</v>
      </c>
      <c r="P6" s="72"/>
      <c r="Q6" s="73">
        <f t="shared" si="1"/>
        <v>629.9975</v>
      </c>
    </row>
    <row r="7">
      <c r="A7" s="67">
        <v>5.0</v>
      </c>
      <c r="B7" s="11" t="str">
        <f>IFERROR(__xludf.DUMMYFUNCTION("""COMPUTED_VALUE"""),"LC18301")</f>
        <v>LC18301</v>
      </c>
      <c r="C7" s="11" t="str">
        <f>IFERROR(__xludf.DUMMYFUNCTION("""COMPUTED_VALUE"""),"SHIP")</f>
        <v>SHIP</v>
      </c>
      <c r="D7" s="68">
        <f>IFERROR(__xludf.DUMMYFUNCTION("""COMPUTED_VALUE"""),863.4725000000001)</f>
        <v>863.4725</v>
      </c>
      <c r="E7" s="69">
        <f>IFERROR(__xludf.DUMMYFUNCTION("""COMPUTED_VALUE"""),44483.0)</f>
        <v>44483</v>
      </c>
      <c r="F7" s="70" t="str">
        <f>IFERROR(__xludf.DUMMYFUNCTION("""COMPUTED_VALUE"""),"Brandon Harris")</f>
        <v>Brandon Harris</v>
      </c>
      <c r="G7" s="70" t="str">
        <f>IFERROR(__xludf.DUMMYFUNCTION("""COMPUTED_VALUE"""),"Collective Styles (SFBA)")</f>
        <v>Collective Styles (SFBA)</v>
      </c>
      <c r="H7" s="70"/>
      <c r="M7" s="71">
        <f>IFERROR(__xludf.DUMMYFUNCTION("""COMPUTED_VALUE"""),44466.0)</f>
        <v>44466</v>
      </c>
      <c r="N7" s="72" t="str">
        <f>IFERROR(__xludf.DUMMYFUNCTION("""COMPUTED_VALUE"""),"Marcus Apodaca")</f>
        <v>Marcus Apodaca</v>
      </c>
      <c r="O7" s="72" t="str">
        <f>IFERROR(__xludf.DUMMYFUNCTION("""COMPUTED_VALUE"""),"MediaNow23 (SFBA)")</f>
        <v>MediaNow23 (SFBA)</v>
      </c>
      <c r="P7" s="72"/>
      <c r="Q7" s="73">
        <f t="shared" si="1"/>
        <v>858.9431818</v>
      </c>
    </row>
    <row r="8">
      <c r="A8" s="67">
        <v>6.0</v>
      </c>
      <c r="B8" s="11" t="str">
        <f>IFERROR(__xludf.DUMMYFUNCTION("""COMPUTED_VALUE"""),"MF18850")</f>
        <v>MF18850</v>
      </c>
      <c r="C8" s="11" t="str">
        <f>IFERROR(__xludf.DUMMYFUNCTION("""COMPUTED_VALUE"""),"SHIP")</f>
        <v>SHIP</v>
      </c>
      <c r="D8" s="68">
        <f>IFERROR(__xludf.DUMMYFUNCTION("""COMPUTED_VALUE"""),1084.1999999999998)</f>
        <v>1084.2</v>
      </c>
      <c r="E8" s="69">
        <f>IFERROR(__xludf.DUMMYFUNCTION("""COMPUTED_VALUE"""),44510.0)</f>
        <v>44510</v>
      </c>
      <c r="F8" s="70" t="str">
        <f>IFERROR(__xludf.DUMMYFUNCTION("""COMPUTED_VALUE"""),"Brandon Harris")</f>
        <v>Brandon Harris</v>
      </c>
      <c r="G8" s="70" t="str">
        <f>IFERROR(__xludf.DUMMYFUNCTION("""COMPUTED_VALUE"""),"Collective Styles (SFBA)")</f>
        <v>Collective Styles (SFBA)</v>
      </c>
      <c r="H8" s="70"/>
      <c r="M8" s="71">
        <f>IFERROR(__xludf.DUMMYFUNCTION("""COMPUTED_VALUE"""),44494.0)</f>
        <v>44494</v>
      </c>
      <c r="N8" s="72" t="str">
        <f>IFERROR(__xludf.DUMMYFUNCTION("""COMPUTED_VALUE"""),"Dimitri Handal")</f>
        <v>Dimitri Handal</v>
      </c>
      <c r="O8" s="72" t="str">
        <f>IFERROR(__xludf.DUMMYFUNCTION("""COMPUTED_VALUE"""),"Sportaro  / Dasca")</f>
        <v>Sportaro  / Dasca</v>
      </c>
      <c r="P8" s="72"/>
      <c r="Q8" s="73">
        <f t="shared" si="1"/>
        <v>6223.8325</v>
      </c>
    </row>
    <row r="9">
      <c r="A9" s="67">
        <v>7.0</v>
      </c>
      <c r="B9" s="11" t="str">
        <f>IFERROR(__xludf.DUMMYFUNCTION("""COMPUTED_VALUE"""),"MF18851")</f>
        <v>MF18851</v>
      </c>
      <c r="C9" s="11" t="str">
        <f>IFERROR(__xludf.DUMMYFUNCTION("""COMPUTED_VALUE"""),"SHIP")</f>
        <v>SHIP</v>
      </c>
      <c r="D9" s="68">
        <f>IFERROR(__xludf.DUMMYFUNCTION("""COMPUTED_VALUE"""),629.9975)</f>
        <v>629.9975</v>
      </c>
      <c r="E9" s="69">
        <f>IFERROR(__xludf.DUMMYFUNCTION("""COMPUTED_VALUE"""),44469.0)</f>
        <v>44469</v>
      </c>
      <c r="F9" s="70" t="str">
        <f>IFERROR(__xludf.DUMMYFUNCTION("""COMPUTED_VALUE"""),"Cody Krueger")</f>
        <v>Cody Krueger</v>
      </c>
      <c r="G9" s="70" t="str">
        <f>IFERROR(__xludf.DUMMYFUNCTION("""COMPUTED_VALUE"""),"ECOM EXPERTS LLC (SFBA)")</f>
        <v>ECOM EXPERTS LLC (SFBA)</v>
      </c>
      <c r="H9" s="70"/>
      <c r="M9" s="71">
        <f>IFERROR(__xludf.DUMMYFUNCTION("""COMPUTED_VALUE"""),44490.0)</f>
        <v>44490</v>
      </c>
      <c r="N9" s="72" t="str">
        <f>IFERROR(__xludf.DUMMYFUNCTION("""COMPUTED_VALUE"""),"Lowell Aquino")</f>
        <v>Lowell Aquino</v>
      </c>
      <c r="O9" s="72" t="str">
        <f>IFERROR(__xludf.DUMMYFUNCTION("""COMPUTED_VALUE"""),"Princessa Trading (SFBA)")</f>
        <v>Princessa Trading (SFBA)</v>
      </c>
      <c r="P9" s="72"/>
      <c r="Q9" s="73">
        <f t="shared" si="1"/>
        <v>4466.098712</v>
      </c>
    </row>
    <row r="10">
      <c r="A10" s="67">
        <v>8.0</v>
      </c>
      <c r="B10" s="11" t="str">
        <f>IFERROR(__xludf.DUMMYFUNCTION("""COMPUTED_VALUE"""),"MF18852")</f>
        <v>MF18852</v>
      </c>
      <c r="C10" s="11" t="str">
        <f>IFERROR(__xludf.DUMMYFUNCTION("""COMPUTED_VALUE"""),"SHIP")</f>
        <v>SHIP</v>
      </c>
      <c r="D10" s="68">
        <f>IFERROR(__xludf.DUMMYFUNCTION("""COMPUTED_VALUE"""),565.625)</f>
        <v>565.625</v>
      </c>
      <c r="E10" s="69">
        <f>IFERROR(__xludf.DUMMYFUNCTION("""COMPUTED_VALUE"""),44466.0)</f>
        <v>44466</v>
      </c>
      <c r="F10" s="70" t="str">
        <f>IFERROR(__xludf.DUMMYFUNCTION("""COMPUTED_VALUE"""),"Marcus Apodaca")</f>
        <v>Marcus Apodaca</v>
      </c>
      <c r="G10" s="70" t="str">
        <f>IFERROR(__xludf.DUMMYFUNCTION("""COMPUTED_VALUE"""),"MediaNow23 (SFBA)")</f>
        <v>MediaNow23 (SFBA)</v>
      </c>
      <c r="H10" s="70"/>
      <c r="M10" s="71">
        <f>IFERROR(__xludf.DUMMYFUNCTION("""COMPUTED_VALUE"""),44540.0)</f>
        <v>44540</v>
      </c>
      <c r="N10" s="72" t="str">
        <f>IFERROR(__xludf.DUMMYFUNCTION("""COMPUTED_VALUE"""),"Ana Alfero")</f>
        <v>Ana Alfero</v>
      </c>
      <c r="O10" s="72" t="str">
        <f>IFERROR(__xludf.DUMMYFUNCTION("""COMPUTED_VALUE"""),"LoCale Pacific Stays (SFBA)")</f>
        <v>LoCale Pacific Stays (SFBA)</v>
      </c>
      <c r="P10" s="72"/>
      <c r="Q10" s="73">
        <f t="shared" si="1"/>
        <v>432.6969697</v>
      </c>
    </row>
    <row r="11">
      <c r="A11" s="67">
        <v>9.0</v>
      </c>
      <c r="B11" s="11" t="str">
        <f>IFERROR(__xludf.DUMMYFUNCTION("""COMPUTED_VALUE"""),"GR18238")</f>
        <v>GR18238</v>
      </c>
      <c r="C11" s="11" t="str">
        <f>IFERROR(__xludf.DUMMYFUNCTION("""COMPUTED_VALUE"""),"SHIP")</f>
        <v>SHIP</v>
      </c>
      <c r="D11" s="68">
        <f>IFERROR(__xludf.DUMMYFUNCTION("""COMPUTED_VALUE"""),985.7375)</f>
        <v>985.7375</v>
      </c>
      <c r="E11" s="69">
        <f>IFERROR(__xludf.DUMMYFUNCTION("""COMPUTED_VALUE"""),44494.0)</f>
        <v>44494</v>
      </c>
      <c r="F11" s="70" t="str">
        <f>IFERROR(__xludf.DUMMYFUNCTION("""COMPUTED_VALUE"""),"Dimitri Handal")</f>
        <v>Dimitri Handal</v>
      </c>
      <c r="G11" s="70" t="str">
        <f>IFERROR(__xludf.DUMMYFUNCTION("""COMPUTED_VALUE"""),"Sportaro  / Dasca")</f>
        <v>Sportaro  / Dasca</v>
      </c>
      <c r="H11" s="70"/>
      <c r="M11" s="71">
        <f>IFERROR(__xludf.DUMMYFUNCTION("""COMPUTED_VALUE"""),44499.0)</f>
        <v>44499</v>
      </c>
      <c r="N11" s="72" t="str">
        <f>IFERROR(__xludf.DUMMYFUNCTION("""COMPUTED_VALUE"""),"Ana Alfero")</f>
        <v>Ana Alfero</v>
      </c>
      <c r="O11" s="72" t="str">
        <f>IFERROR(__xludf.DUMMYFUNCTION("""COMPUTED_VALUE"""),"LoCale Pacific Stays (SFBA)")</f>
        <v>LoCale Pacific Stays (SFBA)</v>
      </c>
      <c r="P11" s="72"/>
      <c r="Q11" s="73">
        <f t="shared" si="1"/>
        <v>2048.433333</v>
      </c>
    </row>
    <row r="12">
      <c r="A12" s="67">
        <v>10.0</v>
      </c>
      <c r="B12" s="11" t="str">
        <f>IFERROR(__xludf.DUMMYFUNCTION("""COMPUTED_VALUE"""),"GR18239")</f>
        <v>GR18239</v>
      </c>
      <c r="C12" s="11" t="str">
        <f>IFERROR(__xludf.DUMMYFUNCTION("""COMPUTED_VALUE"""),"SHIP")</f>
        <v>SHIP</v>
      </c>
      <c r="D12" s="68">
        <f>IFERROR(__xludf.DUMMYFUNCTION("""COMPUTED_VALUE"""),1075.62)</f>
        <v>1075.62</v>
      </c>
      <c r="E12" s="69">
        <f>IFERROR(__xludf.DUMMYFUNCTION("""COMPUTED_VALUE"""),44494.0)</f>
        <v>44494</v>
      </c>
      <c r="F12" s="70" t="str">
        <f>IFERROR(__xludf.DUMMYFUNCTION("""COMPUTED_VALUE"""),"Dimitri Handal")</f>
        <v>Dimitri Handal</v>
      </c>
      <c r="G12" s="70" t="str">
        <f>IFERROR(__xludf.DUMMYFUNCTION("""COMPUTED_VALUE"""),"Sportaro  / Dasca")</f>
        <v>Sportaro  / Dasca</v>
      </c>
      <c r="H12" s="70"/>
      <c r="M12" s="71">
        <f>IFERROR(__xludf.DUMMYFUNCTION("""COMPUTED_VALUE"""),44501.0)</f>
        <v>44501</v>
      </c>
      <c r="N12" s="72" t="str">
        <f>IFERROR(__xludf.DUMMYFUNCTION("""COMPUTED_VALUE"""),"Peter Pen")</f>
        <v>Peter Pen</v>
      </c>
      <c r="O12" s="72" t="str">
        <f>IFERROR(__xludf.DUMMYFUNCTION("""COMPUTED_VALUE"""),"P2 Ecom Soutions LLC / My Origin")</f>
        <v>P2 Ecom Soutions LLC / My Origin</v>
      </c>
      <c r="P12" s="72"/>
      <c r="Q12" s="73">
        <f t="shared" si="1"/>
        <v>3599.99697</v>
      </c>
    </row>
    <row r="13">
      <c r="A13" s="67">
        <v>11.0</v>
      </c>
      <c r="B13" s="11" t="str">
        <f>IFERROR(__xludf.DUMMYFUNCTION("""COMPUTED_VALUE"""),"GR18240")</f>
        <v>GR18240</v>
      </c>
      <c r="C13" s="11" t="str">
        <f>IFERROR(__xludf.DUMMYFUNCTION("""COMPUTED_VALUE"""),"SHIP")</f>
        <v>SHIP</v>
      </c>
      <c r="D13" s="68">
        <f>IFERROR(__xludf.DUMMYFUNCTION("""COMPUTED_VALUE"""),1043.745)</f>
        <v>1043.745</v>
      </c>
      <c r="E13" s="69">
        <f>IFERROR(__xludf.DUMMYFUNCTION("""COMPUTED_VALUE"""),44494.0)</f>
        <v>44494</v>
      </c>
      <c r="F13" s="70" t="str">
        <f>IFERROR(__xludf.DUMMYFUNCTION("""COMPUTED_VALUE"""),"Dimitri Handal")</f>
        <v>Dimitri Handal</v>
      </c>
      <c r="G13" s="70" t="str">
        <f>IFERROR(__xludf.DUMMYFUNCTION("""COMPUTED_VALUE"""),"Sportaro  / Dasca")</f>
        <v>Sportaro  / Dasca</v>
      </c>
      <c r="H13" s="70"/>
      <c r="M13" s="71">
        <f>IFERROR(__xludf.DUMMYFUNCTION("""COMPUTED_VALUE"""),44407.0)</f>
        <v>44407</v>
      </c>
      <c r="N13" s="72" t="str">
        <f>IFERROR(__xludf.DUMMYFUNCTION("""COMPUTED_VALUE"""),"Imad Hatoum")</f>
        <v>Imad Hatoum</v>
      </c>
      <c r="O13" s="72" t="str">
        <f>IFERROR(__xludf.DUMMYFUNCTION("""COMPUTED_VALUE"""),"Shop'Drop (SFBA)")</f>
        <v>Shop'Drop (SFBA)</v>
      </c>
      <c r="P13" s="72"/>
      <c r="Q13" s="73">
        <f t="shared" si="1"/>
        <v>2539.4325</v>
      </c>
    </row>
    <row r="14">
      <c r="A14" s="67">
        <v>12.0</v>
      </c>
      <c r="B14" s="11" t="str">
        <f>IFERROR(__xludf.DUMMYFUNCTION("""COMPUTED_VALUE"""),"GR18241")</f>
        <v>GR18241</v>
      </c>
      <c r="C14" s="11" t="str">
        <f>IFERROR(__xludf.DUMMYFUNCTION("""COMPUTED_VALUE"""),"SHIP")</f>
        <v>SHIP</v>
      </c>
      <c r="D14" s="68">
        <f>IFERROR(__xludf.DUMMYFUNCTION("""COMPUTED_VALUE"""),872.1149999999999)</f>
        <v>872.115</v>
      </c>
      <c r="E14" s="69">
        <f>IFERROR(__xludf.DUMMYFUNCTION("""COMPUTED_VALUE"""),44494.0)</f>
        <v>44494</v>
      </c>
      <c r="F14" s="70" t="str">
        <f>IFERROR(__xludf.DUMMYFUNCTION("""COMPUTED_VALUE"""),"Dimitri Handal")</f>
        <v>Dimitri Handal</v>
      </c>
      <c r="G14" s="70" t="str">
        <f>IFERROR(__xludf.DUMMYFUNCTION("""COMPUTED_VALUE"""),"Sportaro  / Dasca")</f>
        <v>Sportaro  / Dasca</v>
      </c>
      <c r="H14" s="70"/>
      <c r="M14" s="71">
        <f>IFERROR(__xludf.DUMMYFUNCTION("""COMPUTED_VALUE"""),44559.0)</f>
        <v>44559</v>
      </c>
      <c r="N14" s="72" t="str">
        <f>IFERROR(__xludf.DUMMYFUNCTION("""COMPUTED_VALUE"""),"Imad")</f>
        <v>Imad</v>
      </c>
      <c r="O14" s="72" t="str">
        <f>IFERROR(__xludf.DUMMYFUNCTION("""COMPUTED_VALUE"""),"Shop'Drop (SFBA)")</f>
        <v>Shop'Drop (SFBA)</v>
      </c>
      <c r="P14" s="72"/>
      <c r="Q14" s="73">
        <f t="shared" si="1"/>
        <v>6315.7375</v>
      </c>
    </row>
    <row r="15">
      <c r="A15" s="67">
        <v>13.0</v>
      </c>
      <c r="B15" s="11" t="str">
        <f>IFERROR(__xludf.DUMMYFUNCTION("""COMPUTED_VALUE"""),"GR18242")</f>
        <v>GR18242</v>
      </c>
      <c r="C15" s="11" t="str">
        <f>IFERROR(__xludf.DUMMYFUNCTION("""COMPUTED_VALUE"""),"SHIP")</f>
        <v>SHIP</v>
      </c>
      <c r="D15" s="68">
        <f>IFERROR(__xludf.DUMMYFUNCTION("""COMPUTED_VALUE"""),864.7424999999998)</f>
        <v>864.7425</v>
      </c>
      <c r="E15" s="69">
        <f>IFERROR(__xludf.DUMMYFUNCTION("""COMPUTED_VALUE"""),44494.0)</f>
        <v>44494</v>
      </c>
      <c r="F15" s="70" t="str">
        <f>IFERROR(__xludf.DUMMYFUNCTION("""COMPUTED_VALUE"""),"Dimitri Handal")</f>
        <v>Dimitri Handal</v>
      </c>
      <c r="G15" s="70" t="str">
        <f>IFERROR(__xludf.DUMMYFUNCTION("""COMPUTED_VALUE"""),"Sportaro  / Dasca")</f>
        <v>Sportaro  / Dasca</v>
      </c>
      <c r="H15" s="70"/>
      <c r="M15" s="71">
        <f>IFERROR(__xludf.DUMMYFUNCTION("""COMPUTED_VALUE"""),44407.0)</f>
        <v>44407</v>
      </c>
      <c r="N15" s="72" t="str">
        <f>IFERROR(__xludf.DUMMYFUNCTION("""COMPUTED_VALUE"""),"Imad")</f>
        <v>Imad</v>
      </c>
      <c r="O15" s="72" t="str">
        <f>IFERROR(__xludf.DUMMYFUNCTION("""COMPUTED_VALUE"""),"Shop'Drop (SFBA)")</f>
        <v>Shop'Drop (SFBA)</v>
      </c>
      <c r="P15" s="72"/>
      <c r="Q15" s="73">
        <f t="shared" si="1"/>
        <v>563.9775</v>
      </c>
    </row>
    <row r="16">
      <c r="A16" s="67">
        <v>14.0</v>
      </c>
      <c r="B16" s="11" t="str">
        <f>IFERROR(__xludf.DUMMYFUNCTION("""COMPUTED_VALUE"""),"GR18243")</f>
        <v>GR18243</v>
      </c>
      <c r="C16" s="11" t="str">
        <f>IFERROR(__xludf.DUMMYFUNCTION("""COMPUTED_VALUE"""),"SHIP")</f>
        <v>SHIP</v>
      </c>
      <c r="D16" s="68">
        <f>IFERROR(__xludf.DUMMYFUNCTION("""COMPUTED_VALUE"""),1381.8725)</f>
        <v>1381.8725</v>
      </c>
      <c r="E16" s="69">
        <f>IFERROR(__xludf.DUMMYFUNCTION("""COMPUTED_VALUE"""),44494.0)</f>
        <v>44494</v>
      </c>
      <c r="F16" s="70" t="str">
        <f>IFERROR(__xludf.DUMMYFUNCTION("""COMPUTED_VALUE"""),"Dimitri Handal")</f>
        <v>Dimitri Handal</v>
      </c>
      <c r="G16" s="70" t="str">
        <f>IFERROR(__xludf.DUMMYFUNCTION("""COMPUTED_VALUE"""),"Sportaro  / Dasca")</f>
        <v>Sportaro  / Dasca</v>
      </c>
      <c r="H16" s="70"/>
      <c r="M16" s="71">
        <f>IFERROR(__xludf.DUMMYFUNCTION("""COMPUTED_VALUE"""),44501.0)</f>
        <v>44501</v>
      </c>
      <c r="N16" s="72" t="str">
        <f>IFERROR(__xludf.DUMMYFUNCTION("""COMPUTED_VALUE"""),"Marlon Byers")</f>
        <v>Marlon Byers</v>
      </c>
      <c r="O16" s="72" t="str">
        <f>IFERROR(__xludf.DUMMYFUNCTION("""COMPUTED_VALUE"""),"Superior Connection (SE)")</f>
        <v>Superior Connection (SE)</v>
      </c>
      <c r="P16" s="72"/>
      <c r="Q16" s="73">
        <f t="shared" si="1"/>
        <v>1939.926667</v>
      </c>
    </row>
    <row r="17">
      <c r="A17" s="67">
        <v>15.0</v>
      </c>
      <c r="B17" s="11" t="str">
        <f>IFERROR(__xludf.DUMMYFUNCTION("""COMPUTED_VALUE"""),"GR18244")</f>
        <v>GR18244</v>
      </c>
      <c r="C17" s="11" t="str">
        <f>IFERROR(__xludf.DUMMYFUNCTION("""COMPUTED_VALUE"""),"SHIP")</f>
        <v>SHIP</v>
      </c>
      <c r="D17" s="68">
        <f>IFERROR(__xludf.DUMMYFUNCTION("""COMPUTED_VALUE"""),1021.4774999999997)</f>
        <v>1021.4775</v>
      </c>
      <c r="E17" s="69">
        <f>IFERROR(__xludf.DUMMYFUNCTION("""COMPUTED_VALUE"""),44490.0)</f>
        <v>44490</v>
      </c>
      <c r="F17" s="70" t="str">
        <f>IFERROR(__xludf.DUMMYFUNCTION("""COMPUTED_VALUE"""),"Lowell Aquino")</f>
        <v>Lowell Aquino</v>
      </c>
      <c r="G17" s="70" t="str">
        <f>IFERROR(__xludf.DUMMYFUNCTION("""COMPUTED_VALUE"""),"Princessa Trading (SFBA)")</f>
        <v>Princessa Trading (SFBA)</v>
      </c>
      <c r="H17" s="70"/>
      <c r="M17" s="71">
        <f>IFERROR(__xludf.DUMMYFUNCTION("""COMPUTED_VALUE"""),44529.0)</f>
        <v>44529</v>
      </c>
      <c r="N17" s="72" t="str">
        <f>IFERROR(__xludf.DUMMYFUNCTION("""COMPUTED_VALUE"""),"Jerry Newsome")</f>
        <v>Jerry Newsome</v>
      </c>
      <c r="O17" s="72" t="str">
        <f>IFERROR(__xludf.DUMMYFUNCTION("""COMPUTED_VALUE"""),"JBO LLC (SE)")</f>
        <v>JBO LLC (SE)</v>
      </c>
      <c r="P17" s="72"/>
      <c r="Q17" s="73">
        <f t="shared" si="1"/>
        <v>2021.62</v>
      </c>
    </row>
    <row r="18">
      <c r="A18" s="67">
        <v>16.0</v>
      </c>
      <c r="B18" s="11" t="str">
        <f>IFERROR(__xludf.DUMMYFUNCTION("""COMPUTED_VALUE"""),"GR18245")</f>
        <v>GR18245</v>
      </c>
      <c r="C18" s="11" t="str">
        <f>IFERROR(__xludf.DUMMYFUNCTION("""COMPUTED_VALUE"""),"SHIP")</f>
        <v>SHIP</v>
      </c>
      <c r="D18" s="68">
        <f>IFERROR(__xludf.DUMMYFUNCTION("""COMPUTED_VALUE"""),538.8939393939394)</f>
        <v>538.8939394</v>
      </c>
      <c r="E18" s="69">
        <f>IFERROR(__xludf.DUMMYFUNCTION("""COMPUTED_VALUE"""),44490.0)</f>
        <v>44490</v>
      </c>
      <c r="F18" s="70" t="str">
        <f>IFERROR(__xludf.DUMMYFUNCTION("""COMPUTED_VALUE"""),"Lowell Aquino")</f>
        <v>Lowell Aquino</v>
      </c>
      <c r="G18" s="70" t="str">
        <f>IFERROR(__xludf.DUMMYFUNCTION("""COMPUTED_VALUE"""),"Princessa Trading (SFBA)")</f>
        <v>Princessa Trading (SFBA)</v>
      </c>
      <c r="H18" s="70"/>
      <c r="M18" s="71">
        <f>IFERROR(__xludf.DUMMYFUNCTION("""COMPUTED_VALUE"""),44510.0)</f>
        <v>44510</v>
      </c>
      <c r="N18" s="72" t="str">
        <f>IFERROR(__xludf.DUMMYFUNCTION("""COMPUTED_VALUE"""),"Martin")</f>
        <v>Martin</v>
      </c>
      <c r="O18" s="72" t="str">
        <f>IFERROR(__xludf.DUMMYFUNCTION("""COMPUTED_VALUE"""),"Chmn 25 (SFBA)")</f>
        <v>Chmn 25 (SFBA)</v>
      </c>
      <c r="P18" s="72"/>
      <c r="Q18" s="73">
        <f t="shared" si="1"/>
        <v>1470</v>
      </c>
    </row>
    <row r="19">
      <c r="A19" s="67">
        <v>17.0</v>
      </c>
      <c r="B19" s="11" t="str">
        <f>IFERROR(__xludf.DUMMYFUNCTION("""COMPUTED_VALUE"""),"GR18246")</f>
        <v>GR18246</v>
      </c>
      <c r="C19" s="11" t="str">
        <f>IFERROR(__xludf.DUMMYFUNCTION("""COMPUTED_VALUE"""),"SHIP")</f>
        <v>SHIP</v>
      </c>
      <c r="D19" s="68">
        <f>IFERROR(__xludf.DUMMYFUNCTION("""COMPUTED_VALUE"""),558.4696969696969)</f>
        <v>558.469697</v>
      </c>
      <c r="E19" s="69">
        <f>IFERROR(__xludf.DUMMYFUNCTION("""COMPUTED_VALUE"""),44490.0)</f>
        <v>44490</v>
      </c>
      <c r="F19" s="70" t="str">
        <f>IFERROR(__xludf.DUMMYFUNCTION("""COMPUTED_VALUE"""),"Lowell Aquino")</f>
        <v>Lowell Aquino</v>
      </c>
      <c r="G19" s="70" t="str">
        <f>IFERROR(__xludf.DUMMYFUNCTION("""COMPUTED_VALUE"""),"Princessa Trading (SFBA)")</f>
        <v>Princessa Trading (SFBA)</v>
      </c>
      <c r="H19" s="70"/>
      <c r="M19" s="71">
        <f>IFERROR(__xludf.DUMMYFUNCTION("""COMPUTED_VALUE"""),44559.0)</f>
        <v>44559</v>
      </c>
      <c r="N19" s="72" t="str">
        <f>IFERROR(__xludf.DUMMYFUNCTION("""COMPUTED_VALUE"""),"Greg Champagne")</f>
        <v>Greg Champagne</v>
      </c>
      <c r="O19" s="72" t="str">
        <f>IFERROR(__xludf.DUMMYFUNCTION("""COMPUTED_VALUE"""),"Champagne0711 (SE)")</f>
        <v>Champagne0711 (SE)</v>
      </c>
      <c r="P19" s="72"/>
      <c r="Q19" s="73">
        <f t="shared" si="1"/>
        <v>291.75</v>
      </c>
    </row>
    <row r="20">
      <c r="A20" s="67">
        <v>18.0</v>
      </c>
      <c r="B20" s="11" t="str">
        <f>IFERROR(__xludf.DUMMYFUNCTION("""COMPUTED_VALUE"""),"GR18247")</f>
        <v>GR18247</v>
      </c>
      <c r="C20" s="11" t="str">
        <f>IFERROR(__xludf.DUMMYFUNCTION("""COMPUTED_VALUE"""),"SHIP")</f>
        <v>SHIP</v>
      </c>
      <c r="D20" s="68">
        <f>IFERROR(__xludf.DUMMYFUNCTION("""COMPUTED_VALUE"""),510.9090909090911)</f>
        <v>510.9090909</v>
      </c>
      <c r="E20" s="69">
        <f>IFERROR(__xludf.DUMMYFUNCTION("""COMPUTED_VALUE"""),44490.0)</f>
        <v>44490</v>
      </c>
      <c r="F20" s="70" t="str">
        <f>IFERROR(__xludf.DUMMYFUNCTION("""COMPUTED_VALUE"""),"Lowell Aquino")</f>
        <v>Lowell Aquino</v>
      </c>
      <c r="G20" s="70" t="str">
        <f>IFERROR(__xludf.DUMMYFUNCTION("""COMPUTED_VALUE"""),"Princessa Trading (SFBA)")</f>
        <v>Princessa Trading (SFBA)</v>
      </c>
      <c r="H20" s="70"/>
      <c r="M20" s="71">
        <f>IFERROR(__xludf.DUMMYFUNCTION("""COMPUTED_VALUE"""),44475.0)</f>
        <v>44475</v>
      </c>
      <c r="N20" s="72" t="str">
        <f>IFERROR(__xludf.DUMMYFUNCTION("""COMPUTED_VALUE"""),"Yuslein Sotolongo")</f>
        <v>Yuslein Sotolongo</v>
      </c>
      <c r="O20" s="72" t="str">
        <f>IFERROR(__xludf.DUMMYFUNCTION("""COMPUTED_VALUE"""),"KCYLLC (SFBA)")</f>
        <v>KCYLLC (SFBA)</v>
      </c>
      <c r="P20" s="72"/>
      <c r="Q20" s="73">
        <f t="shared" si="1"/>
        <v>376.25</v>
      </c>
    </row>
    <row r="21">
      <c r="A21" s="67">
        <v>19.0</v>
      </c>
      <c r="B21" s="11" t="str">
        <f>IFERROR(__xludf.DUMMYFUNCTION("""COMPUTED_VALUE"""),"GR18248")</f>
        <v>GR18248</v>
      </c>
      <c r="C21" s="11" t="str">
        <f>IFERROR(__xludf.DUMMYFUNCTION("""COMPUTED_VALUE"""),"SHIP")</f>
        <v>SHIP</v>
      </c>
      <c r="D21" s="68">
        <f>IFERROR(__xludf.DUMMYFUNCTION("""COMPUTED_VALUE"""),457.12121212121207)</f>
        <v>457.1212121</v>
      </c>
      <c r="E21" s="69">
        <f>IFERROR(__xludf.DUMMYFUNCTION("""COMPUTED_VALUE"""),44490.0)</f>
        <v>44490</v>
      </c>
      <c r="F21" s="70" t="str">
        <f>IFERROR(__xludf.DUMMYFUNCTION("""COMPUTED_VALUE"""),"Lowell Aquino")</f>
        <v>Lowell Aquino</v>
      </c>
      <c r="G21" s="70" t="str">
        <f>IFERROR(__xludf.DUMMYFUNCTION("""COMPUTED_VALUE"""),"Princessa Trading (SFBA)")</f>
        <v>Princessa Trading (SFBA)</v>
      </c>
      <c r="H21" s="70"/>
      <c r="M21" s="71">
        <f>IFERROR(__xludf.DUMMYFUNCTION("""COMPUTED_VALUE"""),44498.0)</f>
        <v>44498</v>
      </c>
      <c r="N21" s="72" t="str">
        <f>IFERROR(__xludf.DUMMYFUNCTION("""COMPUTED_VALUE"""),"Latif McDonald")</f>
        <v>Latif McDonald</v>
      </c>
      <c r="O21" s="72" t="str">
        <f>IFERROR(__xludf.DUMMYFUNCTION("""COMPUTED_VALUE"""),"Now LLC (SFBA)")</f>
        <v>Now LLC (SFBA)</v>
      </c>
      <c r="P21" s="72"/>
      <c r="Q21" s="73">
        <f t="shared" si="1"/>
        <v>175.5</v>
      </c>
    </row>
    <row r="22">
      <c r="A22" s="67">
        <v>20.0</v>
      </c>
      <c r="B22" s="11" t="str">
        <f>IFERROR(__xludf.DUMMYFUNCTION("""COMPUTED_VALUE"""),"GR18249")</f>
        <v>GR18249</v>
      </c>
      <c r="C22" s="11" t="str">
        <f>IFERROR(__xludf.DUMMYFUNCTION("""COMPUTED_VALUE"""),"SHIP")</f>
        <v>SHIP</v>
      </c>
      <c r="D22" s="68">
        <f>IFERROR(__xludf.DUMMYFUNCTION("""COMPUTED_VALUE"""),476.8030303030304)</f>
        <v>476.8030303</v>
      </c>
      <c r="E22" s="69">
        <f>IFERROR(__xludf.DUMMYFUNCTION("""COMPUTED_VALUE"""),44490.0)</f>
        <v>44490</v>
      </c>
      <c r="F22" s="70" t="str">
        <f>IFERROR(__xludf.DUMMYFUNCTION("""COMPUTED_VALUE"""),"Lowell Aquino")</f>
        <v>Lowell Aquino</v>
      </c>
      <c r="G22" s="70" t="str">
        <f>IFERROR(__xludf.DUMMYFUNCTION("""COMPUTED_VALUE"""),"Princessa Trading (SFBA)")</f>
        <v>Princessa Trading (SFBA)</v>
      </c>
      <c r="H22" s="70"/>
      <c r="M22" s="71">
        <f>IFERROR(__xludf.DUMMYFUNCTION("""COMPUTED_VALUE"""),44501.0)</f>
        <v>44501</v>
      </c>
      <c r="N22" s="72" t="str">
        <f>IFERROR(__xludf.DUMMYFUNCTION("""COMPUTED_VALUE"""),"Kim Pham")</f>
        <v>Kim Pham</v>
      </c>
      <c r="O22" s="72" t="str">
        <f>IFERROR(__xludf.DUMMYFUNCTION("""COMPUTED_VALUE"""),"Pham Ecom Corporation (SFBA)")</f>
        <v>Pham Ecom Corporation (SFBA)</v>
      </c>
      <c r="P22" s="72"/>
      <c r="Q22" s="73">
        <f t="shared" si="1"/>
        <v>214.6225</v>
      </c>
    </row>
    <row r="23">
      <c r="A23" s="67">
        <v>21.0</v>
      </c>
      <c r="B23" s="11" t="str">
        <f>IFERROR(__xludf.DUMMYFUNCTION("""COMPUTED_VALUE"""),"GR18250")</f>
        <v>GR18250</v>
      </c>
      <c r="C23" s="11" t="str">
        <f>IFERROR(__xludf.DUMMYFUNCTION("""COMPUTED_VALUE"""),"SHIP")</f>
        <v>SHIP</v>
      </c>
      <c r="D23" s="68">
        <f>IFERROR(__xludf.DUMMYFUNCTION("""COMPUTED_VALUE"""),445.60606060606074)</f>
        <v>445.6060606</v>
      </c>
      <c r="E23" s="69">
        <f>IFERROR(__xludf.DUMMYFUNCTION("""COMPUTED_VALUE"""),44490.0)</f>
        <v>44490</v>
      </c>
      <c r="F23" s="70" t="str">
        <f>IFERROR(__xludf.DUMMYFUNCTION("""COMPUTED_VALUE"""),"Lowell Aquino")</f>
        <v>Lowell Aquino</v>
      </c>
      <c r="G23" s="70" t="str">
        <f>IFERROR(__xludf.DUMMYFUNCTION("""COMPUTED_VALUE"""),"Princessa Trading (SFBA)")</f>
        <v>Princessa Trading (SFBA)</v>
      </c>
      <c r="H23" s="70"/>
      <c r="M23" s="71">
        <f>IFERROR(__xludf.DUMMYFUNCTION("""COMPUTED_VALUE"""),44502.0)</f>
        <v>44502</v>
      </c>
      <c r="N23" s="72" t="str">
        <f>IFERROR(__xludf.DUMMYFUNCTION("""COMPUTED_VALUE"""),"Mykel Ruptash")</f>
        <v>Mykel Ruptash</v>
      </c>
      <c r="O23" s="72" t="str">
        <f>IFERROR(__xludf.DUMMYFUNCTION("""COMPUTED_VALUE"""),"Blue Essence (SE)")</f>
        <v>Blue Essence (SE)</v>
      </c>
      <c r="P23" s="72"/>
      <c r="Q23" s="73">
        <f t="shared" si="1"/>
        <v>279.8575</v>
      </c>
    </row>
    <row r="24">
      <c r="A24" s="67">
        <v>22.0</v>
      </c>
      <c r="B24" s="11" t="str">
        <f>IFERROR(__xludf.DUMMYFUNCTION("""COMPUTED_VALUE"""),"GR18251")</f>
        <v>GR18251</v>
      </c>
      <c r="C24" s="11" t="str">
        <f>IFERROR(__xludf.DUMMYFUNCTION("""COMPUTED_VALUE"""),"SHIP")</f>
        <v>SHIP</v>
      </c>
      <c r="D24" s="68">
        <f>IFERROR(__xludf.DUMMYFUNCTION("""COMPUTED_VALUE"""),456.818181818182)</f>
        <v>456.8181818</v>
      </c>
      <c r="E24" s="69">
        <f>IFERROR(__xludf.DUMMYFUNCTION("""COMPUTED_VALUE"""),44490.0)</f>
        <v>44490</v>
      </c>
      <c r="F24" s="70" t="str">
        <f>IFERROR(__xludf.DUMMYFUNCTION("""COMPUTED_VALUE"""),"Lowell Aquino")</f>
        <v>Lowell Aquino</v>
      </c>
      <c r="G24" s="70" t="str">
        <f>IFERROR(__xludf.DUMMYFUNCTION("""COMPUTED_VALUE"""),"Princessa Trading (SFBA)")</f>
        <v>Princessa Trading (SFBA)</v>
      </c>
      <c r="H24" s="70"/>
      <c r="M24" s="71">
        <f>IFERROR(__xludf.DUMMYFUNCTION("""COMPUTED_VALUE"""),44502.0)</f>
        <v>44502</v>
      </c>
      <c r="N24" s="72" t="str">
        <f>IFERROR(__xludf.DUMMYFUNCTION("""COMPUTED_VALUE"""),"Oscar Fontalvo")</f>
        <v>Oscar Fontalvo</v>
      </c>
      <c r="O24" s="72" t="str">
        <f>IFERROR(__xludf.DUMMYFUNCTION("""COMPUTED_VALUE"""),"MIA Fashion Deals (SFBA)")</f>
        <v>MIA Fashion Deals (SFBA)</v>
      </c>
      <c r="P24" s="72"/>
      <c r="Q24" s="73">
        <f t="shared" si="1"/>
        <v>1712.66</v>
      </c>
    </row>
    <row r="25">
      <c r="A25" s="67">
        <v>23.0</v>
      </c>
      <c r="B25" s="11" t="str">
        <f>IFERROR(__xludf.DUMMYFUNCTION("""COMPUTED_VALUE"""),"GR18252")</f>
        <v>GR18252</v>
      </c>
      <c r="C25" s="11" t="str">
        <f>IFERROR(__xludf.DUMMYFUNCTION("""COMPUTED_VALUE"""),"SHIP")</f>
        <v>SHIP</v>
      </c>
      <c r="D25" s="68">
        <f>IFERROR(__xludf.DUMMYFUNCTION("""COMPUTED_VALUE"""),432.69696969696963)</f>
        <v>432.6969697</v>
      </c>
      <c r="E25" s="69">
        <f>IFERROR(__xludf.DUMMYFUNCTION("""COMPUTED_VALUE"""),44540.0)</f>
        <v>44540</v>
      </c>
      <c r="F25" s="70" t="str">
        <f>IFERROR(__xludf.DUMMYFUNCTION("""COMPUTED_VALUE"""),"Ana Alfero")</f>
        <v>Ana Alfero</v>
      </c>
      <c r="G25" s="70" t="str">
        <f>IFERROR(__xludf.DUMMYFUNCTION("""COMPUTED_VALUE"""),"LoCale Pacific Stays (SFBA)")</f>
        <v>LoCale Pacific Stays (SFBA)</v>
      </c>
      <c r="H25" s="70"/>
      <c r="M25" s="71">
        <f>IFERROR(__xludf.DUMMYFUNCTION("""COMPUTED_VALUE"""),44510.0)</f>
        <v>44510</v>
      </c>
      <c r="N25" s="72" t="str">
        <f>IFERROR(__xludf.DUMMYFUNCTION("""COMPUTED_VALUE"""),"Kara Cooper")</f>
        <v>Kara Cooper</v>
      </c>
      <c r="O25" s="72" t="str">
        <f>IFERROR(__xludf.DUMMYFUNCTION("""COMPUTED_VALUE"""),"Karuka (SE)")</f>
        <v>Karuka (SE)</v>
      </c>
      <c r="P25" s="72"/>
      <c r="Q25" s="73">
        <f t="shared" si="1"/>
        <v>1160.35</v>
      </c>
    </row>
    <row r="26">
      <c r="A26" s="67">
        <v>24.0</v>
      </c>
      <c r="B26" s="11" t="str">
        <f>IFERROR(__xludf.DUMMYFUNCTION("""COMPUTED_VALUE"""),"GR18253")</f>
        <v>GR18253</v>
      </c>
      <c r="C26" s="11" t="str">
        <f>IFERROR(__xludf.DUMMYFUNCTION("""COMPUTED_VALUE"""),"SHIP")</f>
        <v>SHIP</v>
      </c>
      <c r="D26" s="68">
        <f>IFERROR(__xludf.DUMMYFUNCTION("""COMPUTED_VALUE"""),421.36363636363643)</f>
        <v>421.3636364</v>
      </c>
      <c r="E26" s="69">
        <f>IFERROR(__xludf.DUMMYFUNCTION("""COMPUTED_VALUE"""),44499.0)</f>
        <v>44499</v>
      </c>
      <c r="F26" s="70" t="str">
        <f>IFERROR(__xludf.DUMMYFUNCTION("""COMPUTED_VALUE"""),"Ana Alfero")</f>
        <v>Ana Alfero</v>
      </c>
      <c r="G26" s="70" t="str">
        <f>IFERROR(__xludf.DUMMYFUNCTION("""COMPUTED_VALUE"""),"LoCale Pacific Stays (SFBA)")</f>
        <v>LoCale Pacific Stays (SFBA)</v>
      </c>
      <c r="H26" s="70"/>
      <c r="M26" s="71">
        <f>IFERROR(__xludf.DUMMYFUNCTION("""COMPUTED_VALUE"""),44510.0)</f>
        <v>44510</v>
      </c>
      <c r="N26" s="72" t="str">
        <f>IFERROR(__xludf.DUMMYFUNCTION("""COMPUTED_VALUE"""),"Carolina Ojeda")</f>
        <v>Carolina Ojeda</v>
      </c>
      <c r="O26" s="72" t="str">
        <f>IFERROR(__xludf.DUMMYFUNCTION("""COMPUTED_VALUE"""),"II Rombo (SFBA)")</f>
        <v>II Rombo (SFBA)</v>
      </c>
      <c r="P26" s="72"/>
      <c r="Q26" s="73">
        <f t="shared" si="1"/>
        <v>3776.22</v>
      </c>
    </row>
    <row r="27">
      <c r="A27" s="67">
        <v>25.0</v>
      </c>
      <c r="B27" s="11" t="str">
        <f>IFERROR(__xludf.DUMMYFUNCTION("""COMPUTED_VALUE"""),"GR18254")</f>
        <v>GR18254</v>
      </c>
      <c r="C27" s="11" t="str">
        <f>IFERROR(__xludf.DUMMYFUNCTION("""COMPUTED_VALUE"""),"SHIP")</f>
        <v>SHIP</v>
      </c>
      <c r="D27" s="68">
        <f>IFERROR(__xludf.DUMMYFUNCTION("""COMPUTED_VALUE"""),407.1212121212122)</f>
        <v>407.1212121</v>
      </c>
      <c r="E27" s="69">
        <f>IFERROR(__xludf.DUMMYFUNCTION("""COMPUTED_VALUE"""),44499.0)</f>
        <v>44499</v>
      </c>
      <c r="F27" s="70" t="str">
        <f>IFERROR(__xludf.DUMMYFUNCTION("""COMPUTED_VALUE"""),"Ana Alfero")</f>
        <v>Ana Alfero</v>
      </c>
      <c r="G27" s="70" t="str">
        <f>IFERROR(__xludf.DUMMYFUNCTION("""COMPUTED_VALUE"""),"LoCale Pacific Stays (SFBA)")</f>
        <v>LoCale Pacific Stays (SFBA)</v>
      </c>
      <c r="H27" s="70"/>
      <c r="M27" s="71">
        <f>IFERROR(__xludf.DUMMYFUNCTION("""COMPUTED_VALUE"""),44502.0)</f>
        <v>44502</v>
      </c>
      <c r="N27" s="72" t="str">
        <f>IFERROR(__xludf.DUMMYFUNCTION("""COMPUTED_VALUE"""),"Vikas Kapoor")</f>
        <v>Vikas Kapoor</v>
      </c>
      <c r="O27" s="72" t="str">
        <f>IFERROR(__xludf.DUMMYFUNCTION("""COMPUTED_VALUE"""),"Venus Supplies (SFBA)")</f>
        <v>Venus Supplies (SFBA)</v>
      </c>
      <c r="P27" s="72"/>
      <c r="Q27" s="73">
        <f t="shared" si="1"/>
        <v>389.3266667</v>
      </c>
    </row>
    <row r="28">
      <c r="A28" s="67">
        <v>26.0</v>
      </c>
      <c r="B28" s="11" t="str">
        <f>IFERROR(__xludf.DUMMYFUNCTION("""COMPUTED_VALUE"""),"GR18255")</f>
        <v>GR18255</v>
      </c>
      <c r="C28" s="11" t="str">
        <f>IFERROR(__xludf.DUMMYFUNCTION("""COMPUTED_VALUE"""),"SHIP")</f>
        <v>SHIP</v>
      </c>
      <c r="D28" s="68">
        <f>IFERROR(__xludf.DUMMYFUNCTION("""COMPUTED_VALUE"""),438.29393939393947)</f>
        <v>438.2939394</v>
      </c>
      <c r="E28" s="69">
        <f>IFERROR(__xludf.DUMMYFUNCTION("""COMPUTED_VALUE"""),44499.0)</f>
        <v>44499</v>
      </c>
      <c r="F28" s="70" t="str">
        <f>IFERROR(__xludf.DUMMYFUNCTION("""COMPUTED_VALUE"""),"Ana Alfero")</f>
        <v>Ana Alfero</v>
      </c>
      <c r="G28" s="70" t="str">
        <f>IFERROR(__xludf.DUMMYFUNCTION("""COMPUTED_VALUE"""),"LoCale Pacific Stays (SFBA)")</f>
        <v>LoCale Pacific Stays (SFBA)</v>
      </c>
      <c r="H28" s="70"/>
      <c r="M28" s="72"/>
      <c r="N28" s="72"/>
      <c r="O28" s="72"/>
      <c r="P28" s="72"/>
      <c r="Q28" s="73">
        <f t="shared" si="1"/>
        <v>0</v>
      </c>
    </row>
    <row r="29">
      <c r="A29" s="67">
        <v>27.0</v>
      </c>
      <c r="B29" s="11" t="str">
        <f>IFERROR(__xludf.DUMMYFUNCTION("""COMPUTED_VALUE"""),"GR18256")</f>
        <v>GR18256</v>
      </c>
      <c r="C29" s="11" t="str">
        <f>IFERROR(__xludf.DUMMYFUNCTION("""COMPUTED_VALUE"""),"SHIP")</f>
        <v>SHIP</v>
      </c>
      <c r="D29" s="68">
        <f>IFERROR(__xludf.DUMMYFUNCTION("""COMPUTED_VALUE"""),480.30303030303025)</f>
        <v>480.3030303</v>
      </c>
      <c r="E29" s="69">
        <f>IFERROR(__xludf.DUMMYFUNCTION("""COMPUTED_VALUE"""),44499.0)</f>
        <v>44499</v>
      </c>
      <c r="F29" s="70" t="str">
        <f>IFERROR(__xludf.DUMMYFUNCTION("""COMPUTED_VALUE"""),"Ana Alfero")</f>
        <v>Ana Alfero</v>
      </c>
      <c r="G29" s="70" t="str">
        <f>IFERROR(__xludf.DUMMYFUNCTION("""COMPUTED_VALUE"""),"LoCale Pacific Stays (SFBA)")</f>
        <v>LoCale Pacific Stays (SFBA)</v>
      </c>
      <c r="H29" s="70"/>
      <c r="M29" s="72"/>
      <c r="N29" s="72"/>
      <c r="O29" s="72"/>
      <c r="P29" s="72"/>
      <c r="Q29" s="73">
        <f t="shared" si="1"/>
        <v>0</v>
      </c>
    </row>
    <row r="30">
      <c r="A30" s="67">
        <v>28.0</v>
      </c>
      <c r="B30" s="11" t="str">
        <f>IFERROR(__xludf.DUMMYFUNCTION("""COMPUTED_VALUE"""),"GR18257")</f>
        <v>GR18257</v>
      </c>
      <c r="C30" s="11" t="str">
        <f>IFERROR(__xludf.DUMMYFUNCTION("""COMPUTED_VALUE"""),"SHIP")</f>
        <v>SHIP</v>
      </c>
      <c r="D30" s="68">
        <f>IFERROR(__xludf.DUMMYFUNCTION("""COMPUTED_VALUE"""),301.3515151515152)</f>
        <v>301.3515152</v>
      </c>
      <c r="E30" s="69">
        <f>IFERROR(__xludf.DUMMYFUNCTION("""COMPUTED_VALUE"""),44499.0)</f>
        <v>44499</v>
      </c>
      <c r="F30" s="70" t="str">
        <f>IFERROR(__xludf.DUMMYFUNCTION("""COMPUTED_VALUE"""),"Ana Alfero")</f>
        <v>Ana Alfero</v>
      </c>
      <c r="G30" s="70" t="str">
        <f>IFERROR(__xludf.DUMMYFUNCTION("""COMPUTED_VALUE"""),"LoCale Pacific Stays (SFBA)")</f>
        <v>LoCale Pacific Stays (SFBA)</v>
      </c>
      <c r="H30" s="70"/>
      <c r="M30" s="72"/>
      <c r="N30" s="72"/>
      <c r="O30" s="72"/>
      <c r="P30" s="72"/>
      <c r="Q30" s="73">
        <f t="shared" si="1"/>
        <v>0</v>
      </c>
    </row>
    <row r="31">
      <c r="A31" s="67">
        <v>29.0</v>
      </c>
      <c r="B31" s="11" t="str">
        <f>IFERROR(__xludf.DUMMYFUNCTION("""COMPUTED_VALUE"""),"GR18258")</f>
        <v>GR18258</v>
      </c>
      <c r="C31" s="11" t="str">
        <f>IFERROR(__xludf.DUMMYFUNCTION("""COMPUTED_VALUE"""),"SHIP")</f>
        <v>SHIP</v>
      </c>
      <c r="D31" s="68">
        <f>IFERROR(__xludf.DUMMYFUNCTION("""COMPUTED_VALUE"""),479.6818181818182)</f>
        <v>479.6818182</v>
      </c>
      <c r="E31" s="69">
        <f>IFERROR(__xludf.DUMMYFUNCTION("""COMPUTED_VALUE"""),44501.0)</f>
        <v>44501</v>
      </c>
      <c r="F31" s="70" t="str">
        <f>IFERROR(__xludf.DUMMYFUNCTION("""COMPUTED_VALUE"""),"Peter Pen")</f>
        <v>Peter Pen</v>
      </c>
      <c r="G31" s="70" t="str">
        <f>IFERROR(__xludf.DUMMYFUNCTION("""COMPUTED_VALUE"""),"P2 Ecom Soutions LLC / My Origin")</f>
        <v>P2 Ecom Soutions LLC / My Origin</v>
      </c>
      <c r="H31" s="70"/>
      <c r="M31" s="72"/>
      <c r="N31" s="72"/>
      <c r="O31" s="72"/>
      <c r="P31" s="72"/>
      <c r="Q31" s="73">
        <f t="shared" si="1"/>
        <v>0</v>
      </c>
    </row>
    <row r="32">
      <c r="A32" s="67">
        <v>30.0</v>
      </c>
      <c r="B32" s="11" t="str">
        <f>IFERROR(__xludf.DUMMYFUNCTION("""COMPUTED_VALUE"""),"GR18259")</f>
        <v>GR18259</v>
      </c>
      <c r="C32" s="11" t="str">
        <f>IFERROR(__xludf.DUMMYFUNCTION("""COMPUTED_VALUE"""),"SHIP")</f>
        <v>SHIP</v>
      </c>
      <c r="D32" s="68">
        <f>IFERROR(__xludf.DUMMYFUNCTION("""COMPUTED_VALUE"""),372.26969696969695)</f>
        <v>372.269697</v>
      </c>
      <c r="E32" s="69">
        <f>IFERROR(__xludf.DUMMYFUNCTION("""COMPUTED_VALUE"""),44501.0)</f>
        <v>44501</v>
      </c>
      <c r="F32" s="70" t="str">
        <f>IFERROR(__xludf.DUMMYFUNCTION("""COMPUTED_VALUE"""),"Peter Pen")</f>
        <v>Peter Pen</v>
      </c>
      <c r="G32" s="70" t="str">
        <f>IFERROR(__xludf.DUMMYFUNCTION("""COMPUTED_VALUE"""),"P2 Ecom Soutions LLC / My Origin")</f>
        <v>P2 Ecom Soutions LLC / My Origin</v>
      </c>
      <c r="H32" s="70"/>
      <c r="M32" s="72"/>
      <c r="N32" s="72"/>
      <c r="O32" s="72"/>
      <c r="P32" s="72"/>
      <c r="Q32" s="73">
        <f t="shared" si="1"/>
        <v>0</v>
      </c>
    </row>
    <row r="33">
      <c r="A33" s="67">
        <v>31.0</v>
      </c>
      <c r="B33" s="11" t="str">
        <f>IFERROR(__xludf.DUMMYFUNCTION("""COMPUTED_VALUE"""),"GR18260")</f>
        <v>GR18260</v>
      </c>
      <c r="C33" s="11" t="str">
        <f>IFERROR(__xludf.DUMMYFUNCTION("""COMPUTED_VALUE"""),"SHIP")</f>
        <v>SHIP</v>
      </c>
      <c r="D33" s="68">
        <f>IFERROR(__xludf.DUMMYFUNCTION("""COMPUTED_VALUE"""),428.21515151515155)</f>
        <v>428.2151515</v>
      </c>
      <c r="E33" s="69">
        <f>IFERROR(__xludf.DUMMYFUNCTION("""COMPUTED_VALUE"""),44501.0)</f>
        <v>44501</v>
      </c>
      <c r="F33" s="70" t="str">
        <f>IFERROR(__xludf.DUMMYFUNCTION("""COMPUTED_VALUE"""),"Peter Pen")</f>
        <v>Peter Pen</v>
      </c>
      <c r="G33" s="70" t="str">
        <f>IFERROR(__xludf.DUMMYFUNCTION("""COMPUTED_VALUE"""),"P2 Ecom Soutions LLC / My Origin")</f>
        <v>P2 Ecom Soutions LLC / My Origin</v>
      </c>
      <c r="H33" s="70"/>
      <c r="M33" s="72"/>
      <c r="N33" s="72"/>
      <c r="O33" s="72"/>
      <c r="P33" s="72"/>
      <c r="Q33" s="73">
        <f t="shared" si="1"/>
        <v>0</v>
      </c>
    </row>
    <row r="34">
      <c r="A34" s="67">
        <v>32.0</v>
      </c>
      <c r="B34" s="11" t="str">
        <f>IFERROR(__xludf.DUMMYFUNCTION("""COMPUTED_VALUE"""),"GR18261")</f>
        <v>GR18261</v>
      </c>
      <c r="C34" s="11" t="str">
        <f>IFERROR(__xludf.DUMMYFUNCTION("""COMPUTED_VALUE"""),"SHIP")</f>
        <v>SHIP</v>
      </c>
      <c r="D34" s="68">
        <f>IFERROR(__xludf.DUMMYFUNCTION("""COMPUTED_VALUE"""),600.9545454545455)</f>
        <v>600.9545455</v>
      </c>
      <c r="E34" s="69">
        <f>IFERROR(__xludf.DUMMYFUNCTION("""COMPUTED_VALUE"""),44501.0)</f>
        <v>44501</v>
      </c>
      <c r="F34" s="70" t="str">
        <f>IFERROR(__xludf.DUMMYFUNCTION("""COMPUTED_VALUE"""),"Peter Pen")</f>
        <v>Peter Pen</v>
      </c>
      <c r="G34" s="70" t="str">
        <f>IFERROR(__xludf.DUMMYFUNCTION("""COMPUTED_VALUE"""),"P2 Ecom Soutions LLC / My Origin")</f>
        <v>P2 Ecom Soutions LLC / My Origin</v>
      </c>
      <c r="H34" s="70"/>
      <c r="M34" s="72"/>
      <c r="N34" s="72"/>
      <c r="O34" s="72"/>
      <c r="P34" s="72"/>
      <c r="Q34" s="73">
        <f t="shared" si="1"/>
        <v>0</v>
      </c>
    </row>
    <row r="35">
      <c r="A35" s="67">
        <v>33.0</v>
      </c>
      <c r="B35" s="11" t="str">
        <f>IFERROR(__xludf.DUMMYFUNCTION("""COMPUTED_VALUE"""),"GR18262")</f>
        <v>GR18262</v>
      </c>
      <c r="C35" s="11" t="str">
        <f>IFERROR(__xludf.DUMMYFUNCTION("""COMPUTED_VALUE"""),"SHIP")</f>
        <v>SHIP</v>
      </c>
      <c r="D35" s="68">
        <f>IFERROR(__xludf.DUMMYFUNCTION("""COMPUTED_VALUE"""),462.630303030303)</f>
        <v>462.630303</v>
      </c>
      <c r="E35" s="69">
        <f>IFERROR(__xludf.DUMMYFUNCTION("""COMPUTED_VALUE"""),44501.0)</f>
        <v>44501</v>
      </c>
      <c r="F35" s="70" t="str">
        <f>IFERROR(__xludf.DUMMYFUNCTION("""COMPUTED_VALUE"""),"Peter Pen")</f>
        <v>Peter Pen</v>
      </c>
      <c r="G35" s="70" t="str">
        <f>IFERROR(__xludf.DUMMYFUNCTION("""COMPUTED_VALUE"""),"P2 Ecom Soutions LLC / My Origin")</f>
        <v>P2 Ecom Soutions LLC / My Origin</v>
      </c>
      <c r="H35" s="70"/>
      <c r="M35" s="72"/>
      <c r="N35" s="72"/>
      <c r="O35" s="72"/>
      <c r="P35" s="72"/>
      <c r="Q35" s="73">
        <f t="shared" si="1"/>
        <v>0</v>
      </c>
    </row>
    <row r="36">
      <c r="A36" s="67">
        <v>34.0</v>
      </c>
      <c r="B36" s="11" t="str">
        <f>IFERROR(__xludf.DUMMYFUNCTION("""COMPUTED_VALUE"""),"GR18263")</f>
        <v>GR18263</v>
      </c>
      <c r="C36" s="11" t="str">
        <f>IFERROR(__xludf.DUMMYFUNCTION("""COMPUTED_VALUE"""),"SHIP")</f>
        <v>SHIP</v>
      </c>
      <c r="D36" s="68">
        <f>IFERROR(__xludf.DUMMYFUNCTION("""COMPUTED_VALUE"""),690.2)</f>
        <v>690.2</v>
      </c>
      <c r="E36" s="69">
        <f>IFERROR(__xludf.DUMMYFUNCTION("""COMPUTED_VALUE"""),44501.0)</f>
        <v>44501</v>
      </c>
      <c r="F36" s="70" t="str">
        <f>IFERROR(__xludf.DUMMYFUNCTION("""COMPUTED_VALUE"""),"Peter Pen")</f>
        <v>Peter Pen</v>
      </c>
      <c r="G36" s="70" t="str">
        <f>IFERROR(__xludf.DUMMYFUNCTION("""COMPUTED_VALUE"""),"P2 Ecom Soutions LLC / My Origin")</f>
        <v>P2 Ecom Soutions LLC / My Origin</v>
      </c>
      <c r="H36" s="70"/>
      <c r="M36" s="72"/>
      <c r="N36" s="72"/>
      <c r="O36" s="72"/>
      <c r="P36" s="72"/>
      <c r="Q36" s="73">
        <f t="shared" si="1"/>
        <v>0</v>
      </c>
    </row>
    <row r="37">
      <c r="A37" s="67">
        <v>35.0</v>
      </c>
      <c r="B37" s="11" t="str">
        <f>IFERROR(__xludf.DUMMYFUNCTION("""COMPUTED_VALUE"""),"GR18264")</f>
        <v>GR18264</v>
      </c>
      <c r="C37" s="11" t="str">
        <f>IFERROR(__xludf.DUMMYFUNCTION("""COMPUTED_VALUE"""),"SHIP")</f>
        <v>SHIP</v>
      </c>
      <c r="D37" s="68">
        <f>IFERROR(__xludf.DUMMYFUNCTION("""COMPUTED_VALUE"""),389.6818181818182)</f>
        <v>389.6818182</v>
      </c>
      <c r="E37" s="69">
        <f>IFERROR(__xludf.DUMMYFUNCTION("""COMPUTED_VALUE"""),44501.0)</f>
        <v>44501</v>
      </c>
      <c r="F37" s="70" t="str">
        <f>IFERROR(__xludf.DUMMYFUNCTION("""COMPUTED_VALUE"""),"Peter Pen")</f>
        <v>Peter Pen</v>
      </c>
      <c r="G37" s="70" t="str">
        <f>IFERROR(__xludf.DUMMYFUNCTION("""COMPUTED_VALUE"""),"P2 Ecom Soutions LLC / My Origin")</f>
        <v>P2 Ecom Soutions LLC / My Origin</v>
      </c>
      <c r="H37" s="70"/>
      <c r="M37" s="72"/>
      <c r="N37" s="72"/>
      <c r="O37" s="72"/>
      <c r="P37" s="72"/>
      <c r="Q37" s="73">
        <f t="shared" si="1"/>
        <v>0</v>
      </c>
    </row>
    <row r="38">
      <c r="A38" s="67">
        <v>36.0</v>
      </c>
      <c r="B38" s="11" t="str">
        <f>IFERROR(__xludf.DUMMYFUNCTION("""COMPUTED_VALUE"""),"GR18265")</f>
        <v>GR18265</v>
      </c>
      <c r="C38" s="11" t="str">
        <f>IFERROR(__xludf.DUMMYFUNCTION("""COMPUTED_VALUE"""),"SHIP")</f>
        <v>SHIP</v>
      </c>
      <c r="D38" s="68">
        <f>IFERROR(__xludf.DUMMYFUNCTION("""COMPUTED_VALUE"""),176.36363636363637)</f>
        <v>176.3636364</v>
      </c>
      <c r="E38" s="69">
        <f>IFERROR(__xludf.DUMMYFUNCTION("""COMPUTED_VALUE"""),44501.0)</f>
        <v>44501</v>
      </c>
      <c r="F38" s="70" t="str">
        <f>IFERROR(__xludf.DUMMYFUNCTION("""COMPUTED_VALUE"""),"Peter Pen")</f>
        <v>Peter Pen</v>
      </c>
      <c r="G38" s="70" t="str">
        <f>IFERROR(__xludf.DUMMYFUNCTION("""COMPUTED_VALUE"""),"P2 Ecom Soutions LLC / My Origin")</f>
        <v>P2 Ecom Soutions LLC / My Origin</v>
      </c>
      <c r="H38" s="70"/>
      <c r="M38" s="72"/>
      <c r="N38" s="72"/>
      <c r="O38" s="72"/>
      <c r="P38" s="72"/>
      <c r="Q38" s="73">
        <f t="shared" si="1"/>
        <v>0</v>
      </c>
    </row>
    <row r="39">
      <c r="A39" s="67">
        <v>37.0</v>
      </c>
      <c r="B39" s="11" t="str">
        <f>IFERROR(__xludf.DUMMYFUNCTION("""COMPUTED_VALUE"""),"GR18266")</f>
        <v>GR18266</v>
      </c>
      <c r="C39" s="11" t="str">
        <f>IFERROR(__xludf.DUMMYFUNCTION("""COMPUTED_VALUE"""),"SHIP")</f>
        <v>SHIP</v>
      </c>
      <c r="D39" s="68">
        <f>IFERROR(__xludf.DUMMYFUNCTION("""COMPUTED_VALUE"""),293.3181818181818)</f>
        <v>293.3181818</v>
      </c>
      <c r="E39" s="69">
        <f>IFERROR(__xludf.DUMMYFUNCTION("""COMPUTED_VALUE"""),44466.0)</f>
        <v>44466</v>
      </c>
      <c r="F39" s="70" t="str">
        <f>IFERROR(__xludf.DUMMYFUNCTION("""COMPUTED_VALUE"""),"Marcus Apodaca")</f>
        <v>Marcus Apodaca</v>
      </c>
      <c r="G39" s="70" t="str">
        <f>IFERROR(__xludf.DUMMYFUNCTION("""COMPUTED_VALUE"""),"MediaNow23 (SFBA)")</f>
        <v>MediaNow23 (SFBA)</v>
      </c>
      <c r="H39" s="70"/>
      <c r="M39" s="72"/>
      <c r="N39" s="72"/>
      <c r="O39" s="72"/>
      <c r="P39" s="72"/>
      <c r="Q39" s="73">
        <f t="shared" si="1"/>
        <v>0</v>
      </c>
    </row>
    <row r="40">
      <c r="A40" s="67">
        <v>38.0</v>
      </c>
      <c r="B40" s="11" t="str">
        <f>IFERROR(__xludf.DUMMYFUNCTION("""COMPUTED_VALUE"""),"mm18853")</f>
        <v>mm18853</v>
      </c>
      <c r="C40" s="11" t="str">
        <f>IFERROR(__xludf.DUMMYFUNCTION("""COMPUTED_VALUE"""),"SHIP")</f>
        <v>SHIP</v>
      </c>
      <c r="D40" s="68">
        <f>IFERROR(__xludf.DUMMYFUNCTION("""COMPUTED_VALUE"""),1035.62)</f>
        <v>1035.62</v>
      </c>
      <c r="E40" s="69">
        <f>IFERROR(__xludf.DUMMYFUNCTION("""COMPUTED_VALUE"""),44407.0)</f>
        <v>44407</v>
      </c>
      <c r="F40" s="70" t="str">
        <f>IFERROR(__xludf.DUMMYFUNCTION("""COMPUTED_VALUE"""),"Imad Hatoum")</f>
        <v>Imad Hatoum</v>
      </c>
      <c r="G40" s="70" t="str">
        <f>IFERROR(__xludf.DUMMYFUNCTION("""COMPUTED_VALUE"""),"Shop'Drop (SFBA)")</f>
        <v>Shop'Drop (SFBA)</v>
      </c>
      <c r="H40" s="70"/>
      <c r="M40" s="72"/>
      <c r="N40" s="72"/>
      <c r="O40" s="72"/>
      <c r="P40" s="72"/>
      <c r="Q40" s="73">
        <f t="shared" si="1"/>
        <v>0</v>
      </c>
    </row>
    <row r="41">
      <c r="A41" s="67">
        <v>39.0</v>
      </c>
      <c r="B41" s="11" t="str">
        <f>IFERROR(__xludf.DUMMYFUNCTION("""COMPUTED_VALUE"""),"mm18854")</f>
        <v>mm18854</v>
      </c>
      <c r="C41" s="11" t="str">
        <f>IFERROR(__xludf.DUMMYFUNCTION("""COMPUTED_VALUE"""),"SHIP")</f>
        <v>SHIP</v>
      </c>
      <c r="D41" s="68">
        <f>IFERROR(__xludf.DUMMYFUNCTION("""COMPUTED_VALUE"""),1075.1875)</f>
        <v>1075.1875</v>
      </c>
      <c r="E41" s="69">
        <f>IFERROR(__xludf.DUMMYFUNCTION("""COMPUTED_VALUE"""),44407.0)</f>
        <v>44407</v>
      </c>
      <c r="F41" s="70" t="str">
        <f>IFERROR(__xludf.DUMMYFUNCTION("""COMPUTED_VALUE"""),"Imad Hatoum")</f>
        <v>Imad Hatoum</v>
      </c>
      <c r="G41" s="70" t="str">
        <f>IFERROR(__xludf.DUMMYFUNCTION("""COMPUTED_VALUE"""),"Shop'Drop (SFBA)")</f>
        <v>Shop'Drop (SFBA)</v>
      </c>
      <c r="H41" s="70"/>
      <c r="M41" s="72"/>
      <c r="N41" s="72"/>
      <c r="O41" s="72"/>
      <c r="P41" s="72"/>
      <c r="Q41" s="73">
        <f t="shared" si="1"/>
        <v>0</v>
      </c>
    </row>
    <row r="42">
      <c r="A42" s="67">
        <v>40.0</v>
      </c>
      <c r="B42" s="11" t="str">
        <f>IFERROR(__xludf.DUMMYFUNCTION("""COMPUTED_VALUE"""),"mm18856")</f>
        <v>mm18856</v>
      </c>
      <c r="C42" s="11" t="str">
        <f>IFERROR(__xludf.DUMMYFUNCTION("""COMPUTED_VALUE"""),"SHIP")</f>
        <v>SHIP</v>
      </c>
      <c r="D42" s="68">
        <f>IFERROR(__xludf.DUMMYFUNCTION("""COMPUTED_VALUE"""),875.8425)</f>
        <v>875.8425</v>
      </c>
      <c r="E42" s="69">
        <f>IFERROR(__xludf.DUMMYFUNCTION("""COMPUTED_VALUE"""),44559.0)</f>
        <v>44559</v>
      </c>
      <c r="F42" s="70" t="str">
        <f>IFERROR(__xludf.DUMMYFUNCTION("""COMPUTED_VALUE"""),"Imad")</f>
        <v>Imad</v>
      </c>
      <c r="G42" s="70" t="str">
        <f>IFERROR(__xludf.DUMMYFUNCTION("""COMPUTED_VALUE"""),"Shop'Drop (SFBA)")</f>
        <v>Shop'Drop (SFBA)</v>
      </c>
      <c r="H42" s="70"/>
      <c r="M42" s="72"/>
      <c r="N42" s="72"/>
      <c r="O42" s="72"/>
      <c r="P42" s="72"/>
      <c r="Q42" s="73">
        <f t="shared" si="1"/>
        <v>0</v>
      </c>
    </row>
    <row r="43">
      <c r="A43" s="67">
        <v>41.0</v>
      </c>
      <c r="B43" s="11" t="str">
        <f>IFERROR(__xludf.DUMMYFUNCTION("""COMPUTED_VALUE"""),"mm18855")</f>
        <v>mm18855</v>
      </c>
      <c r="C43" s="11" t="str">
        <f>IFERROR(__xludf.DUMMYFUNCTION("""COMPUTED_VALUE"""),"SHIP")</f>
        <v>SHIP</v>
      </c>
      <c r="D43" s="68">
        <f>IFERROR(__xludf.DUMMYFUNCTION("""COMPUTED_VALUE"""),1172.3925)</f>
        <v>1172.3925</v>
      </c>
      <c r="E43" s="69">
        <f>IFERROR(__xludf.DUMMYFUNCTION("""COMPUTED_VALUE"""),44559.0)</f>
        <v>44559</v>
      </c>
      <c r="F43" s="70" t="str">
        <f>IFERROR(__xludf.DUMMYFUNCTION("""COMPUTED_VALUE"""),"Imad")</f>
        <v>Imad</v>
      </c>
      <c r="G43" s="70" t="str">
        <f>IFERROR(__xludf.DUMMYFUNCTION("""COMPUTED_VALUE"""),"Shop'Drop (SFBA)")</f>
        <v>Shop'Drop (SFBA)</v>
      </c>
      <c r="H43" s="70"/>
      <c r="M43" s="72"/>
      <c r="N43" s="72"/>
      <c r="O43" s="72"/>
      <c r="P43" s="72"/>
      <c r="Q43" s="73">
        <f t="shared" si="1"/>
        <v>0</v>
      </c>
    </row>
    <row r="44">
      <c r="A44" s="67">
        <v>42.0</v>
      </c>
      <c r="B44" s="11" t="str">
        <f>IFERROR(__xludf.DUMMYFUNCTION("""COMPUTED_VALUE"""),"mm18857")</f>
        <v>mm18857</v>
      </c>
      <c r="C44" s="11" t="str">
        <f>IFERROR(__xludf.DUMMYFUNCTION("""COMPUTED_VALUE"""),"SHIP")</f>
        <v>SHIP</v>
      </c>
      <c r="D44" s="68">
        <f>IFERROR(__xludf.DUMMYFUNCTION("""COMPUTED_VALUE"""),621.5825)</f>
        <v>621.5825</v>
      </c>
      <c r="E44" s="69">
        <f>IFERROR(__xludf.DUMMYFUNCTION("""COMPUTED_VALUE"""),44559.0)</f>
        <v>44559</v>
      </c>
      <c r="F44" s="70" t="str">
        <f>IFERROR(__xludf.DUMMYFUNCTION("""COMPUTED_VALUE"""),"Imad")</f>
        <v>Imad</v>
      </c>
      <c r="G44" s="70" t="str">
        <f>IFERROR(__xludf.DUMMYFUNCTION("""COMPUTED_VALUE"""),"Shop'Drop (SFBA)")</f>
        <v>Shop'Drop (SFBA)</v>
      </c>
      <c r="H44" s="70"/>
      <c r="M44" s="72"/>
      <c r="N44" s="72"/>
      <c r="O44" s="72"/>
      <c r="P44" s="72"/>
      <c r="Q44" s="73">
        <f t="shared" si="1"/>
        <v>0</v>
      </c>
    </row>
    <row r="45">
      <c r="A45" s="67">
        <v>43.0</v>
      </c>
      <c r="B45" s="11" t="str">
        <f>IFERROR(__xludf.DUMMYFUNCTION("""COMPUTED_VALUE"""),"mm18858")</f>
        <v>mm18858</v>
      </c>
      <c r="C45" s="11" t="str">
        <f>IFERROR(__xludf.DUMMYFUNCTION("""COMPUTED_VALUE"""),"SHIP")</f>
        <v>SHIP</v>
      </c>
      <c r="D45" s="68">
        <f>IFERROR(__xludf.DUMMYFUNCTION("""COMPUTED_VALUE"""),428.625)</f>
        <v>428.625</v>
      </c>
      <c r="E45" s="69">
        <f>IFERROR(__xludf.DUMMYFUNCTION("""COMPUTED_VALUE"""),44407.0)</f>
        <v>44407</v>
      </c>
      <c r="F45" s="70" t="str">
        <f>IFERROR(__xludf.DUMMYFUNCTION("""COMPUTED_VALUE"""),"Imad Hatoum")</f>
        <v>Imad Hatoum</v>
      </c>
      <c r="G45" s="70" t="str">
        <f>IFERROR(__xludf.DUMMYFUNCTION("""COMPUTED_VALUE"""),"Shop'Drop (SFBA)")</f>
        <v>Shop'Drop (SFBA)</v>
      </c>
      <c r="H45" s="70"/>
      <c r="M45" s="72"/>
      <c r="N45" s="72"/>
      <c r="O45" s="72"/>
      <c r="P45" s="72"/>
      <c r="Q45" s="73">
        <f t="shared" si="1"/>
        <v>0</v>
      </c>
    </row>
    <row r="46">
      <c r="A46" s="67">
        <v>44.0</v>
      </c>
      <c r="B46" s="11" t="str">
        <f>IFERROR(__xludf.DUMMYFUNCTION("""COMPUTED_VALUE"""),"mm18859")</f>
        <v>mm18859</v>
      </c>
      <c r="C46" s="11" t="str">
        <f>IFERROR(__xludf.DUMMYFUNCTION("""COMPUTED_VALUE"""),"SHIP")</f>
        <v>SHIP</v>
      </c>
      <c r="D46" s="68">
        <f>IFERROR(__xludf.DUMMYFUNCTION("""COMPUTED_VALUE"""),1086.2575000000002)</f>
        <v>1086.2575</v>
      </c>
      <c r="E46" s="69">
        <f>IFERROR(__xludf.DUMMYFUNCTION("""COMPUTED_VALUE"""),44559.0)</f>
        <v>44559</v>
      </c>
      <c r="F46" s="70" t="str">
        <f>IFERROR(__xludf.DUMMYFUNCTION("""COMPUTED_VALUE"""),"Imad")</f>
        <v>Imad</v>
      </c>
      <c r="G46" s="70" t="str">
        <f>IFERROR(__xludf.DUMMYFUNCTION("""COMPUTED_VALUE"""),"Shop'Drop (SFBA)")</f>
        <v>Shop'Drop (SFBA)</v>
      </c>
      <c r="H46" s="70"/>
      <c r="M46" s="72"/>
      <c r="N46" s="72"/>
      <c r="O46" s="72"/>
      <c r="P46" s="72"/>
      <c r="Q46" s="73">
        <f t="shared" si="1"/>
        <v>0</v>
      </c>
    </row>
    <row r="47">
      <c r="A47" s="67">
        <v>45.0</v>
      </c>
      <c r="B47" s="11" t="str">
        <f>IFERROR(__xludf.DUMMYFUNCTION("""COMPUTED_VALUE"""),"mm18860")</f>
        <v>mm18860</v>
      </c>
      <c r="C47" s="11" t="str">
        <f>IFERROR(__xludf.DUMMYFUNCTION("""COMPUTED_VALUE"""),"SHIP")</f>
        <v>SHIP</v>
      </c>
      <c r="D47" s="68">
        <f>IFERROR(__xludf.DUMMYFUNCTION("""COMPUTED_VALUE"""),1197.9650000000001)</f>
        <v>1197.965</v>
      </c>
      <c r="E47" s="69">
        <f>IFERROR(__xludf.DUMMYFUNCTION("""COMPUTED_VALUE"""),44559.0)</f>
        <v>44559</v>
      </c>
      <c r="F47" s="70" t="str">
        <f>IFERROR(__xludf.DUMMYFUNCTION("""COMPUTED_VALUE"""),"Imad")</f>
        <v>Imad</v>
      </c>
      <c r="G47" s="70" t="str">
        <f>IFERROR(__xludf.DUMMYFUNCTION("""COMPUTED_VALUE"""),"Shop'Drop (SFBA)")</f>
        <v>Shop'Drop (SFBA)</v>
      </c>
      <c r="H47" s="70"/>
      <c r="M47" s="72"/>
      <c r="N47" s="72"/>
      <c r="O47" s="72"/>
      <c r="P47" s="72"/>
      <c r="Q47" s="73">
        <f t="shared" si="1"/>
        <v>0</v>
      </c>
    </row>
    <row r="48">
      <c r="A48" s="67">
        <v>46.0</v>
      </c>
      <c r="B48" s="11" t="str">
        <f>IFERROR(__xludf.DUMMYFUNCTION("""COMPUTED_VALUE"""),"mm18861")</f>
        <v>mm18861</v>
      </c>
      <c r="C48" s="11" t="str">
        <f>IFERROR(__xludf.DUMMYFUNCTION("""COMPUTED_VALUE"""),"SHIP")</f>
        <v>SHIP</v>
      </c>
      <c r="D48" s="68">
        <f>IFERROR(__xludf.DUMMYFUNCTION("""COMPUTED_VALUE"""),563.9775)</f>
        <v>563.9775</v>
      </c>
      <c r="E48" s="69">
        <f>IFERROR(__xludf.DUMMYFUNCTION("""COMPUTED_VALUE"""),44407.0)</f>
        <v>44407</v>
      </c>
      <c r="F48" s="70" t="str">
        <f>IFERROR(__xludf.DUMMYFUNCTION("""COMPUTED_VALUE"""),"Imad")</f>
        <v>Imad</v>
      </c>
      <c r="G48" s="70" t="str">
        <f>IFERROR(__xludf.DUMMYFUNCTION("""COMPUTED_VALUE"""),"Shop'Drop (SFBA)")</f>
        <v>Shop'Drop (SFBA)</v>
      </c>
      <c r="H48" s="70"/>
      <c r="M48" s="72"/>
      <c r="N48" s="72"/>
      <c r="O48" s="72"/>
      <c r="P48" s="72"/>
      <c r="Q48" s="73">
        <f t="shared" si="1"/>
        <v>0</v>
      </c>
    </row>
    <row r="49">
      <c r="A49" s="67">
        <v>47.0</v>
      </c>
      <c r="B49" s="11" t="str">
        <f>IFERROR(__xludf.DUMMYFUNCTION("""COMPUTED_VALUE"""),"GR18267")</f>
        <v>GR18267</v>
      </c>
      <c r="C49" s="11" t="str">
        <f>IFERROR(__xludf.DUMMYFUNCTION("""COMPUTED_VALUE"""),"SHIP")</f>
        <v>SHIP</v>
      </c>
      <c r="D49" s="68">
        <f>IFERROR(__xludf.DUMMYFUNCTION("""COMPUTED_VALUE"""),461.53666666666663)</f>
        <v>461.5366667</v>
      </c>
      <c r="E49" s="69">
        <f>IFERROR(__xludf.DUMMYFUNCTION("""COMPUTED_VALUE"""),44501.0)</f>
        <v>44501</v>
      </c>
      <c r="F49" s="70" t="str">
        <f>IFERROR(__xludf.DUMMYFUNCTION("""COMPUTED_VALUE"""),"Marlon Byers")</f>
        <v>Marlon Byers</v>
      </c>
      <c r="G49" s="70" t="str">
        <f>IFERROR(__xludf.DUMMYFUNCTION("""COMPUTED_VALUE"""),"Superior Connection (SE)")</f>
        <v>Superior Connection (SE)</v>
      </c>
      <c r="H49" s="70"/>
      <c r="M49" s="72"/>
      <c r="N49" s="72"/>
      <c r="O49" s="72"/>
      <c r="P49" s="72"/>
      <c r="Q49" s="73">
        <f t="shared" si="1"/>
        <v>0</v>
      </c>
    </row>
    <row r="50">
      <c r="A50" s="67">
        <v>48.0</v>
      </c>
      <c r="B50" s="11" t="str">
        <f>IFERROR(__xludf.DUMMYFUNCTION("""COMPUTED_VALUE"""),"CL18268")</f>
        <v>CL18268</v>
      </c>
      <c r="C50" s="11" t="str">
        <f>IFERROR(__xludf.DUMMYFUNCTION("""COMPUTED_VALUE"""),"SHIP")</f>
        <v>SHIP</v>
      </c>
      <c r="D50" s="68">
        <f>IFERROR(__xludf.DUMMYFUNCTION("""COMPUTED_VALUE"""),437.3066666666667)</f>
        <v>437.3066667</v>
      </c>
      <c r="E50" s="69">
        <f>IFERROR(__xludf.DUMMYFUNCTION("""COMPUTED_VALUE"""),44501.0)</f>
        <v>44501</v>
      </c>
      <c r="F50" s="70" t="str">
        <f>IFERROR(__xludf.DUMMYFUNCTION("""COMPUTED_VALUE"""),"Marlon Byers")</f>
        <v>Marlon Byers</v>
      </c>
      <c r="G50" s="70" t="str">
        <f>IFERROR(__xludf.DUMMYFUNCTION("""COMPUTED_VALUE"""),"Superior Connection (SE)")</f>
        <v>Superior Connection (SE)</v>
      </c>
      <c r="H50" s="70"/>
      <c r="M50" s="72"/>
      <c r="N50" s="72"/>
      <c r="O50" s="72"/>
      <c r="P50" s="72"/>
      <c r="Q50" s="73">
        <f t="shared" si="1"/>
        <v>0</v>
      </c>
    </row>
    <row r="51">
      <c r="A51" s="67">
        <v>49.0</v>
      </c>
      <c r="B51" s="11" t="str">
        <f>IFERROR(__xludf.DUMMYFUNCTION("""COMPUTED_VALUE"""),"CL18269")</f>
        <v>CL18269</v>
      </c>
      <c r="C51" s="11" t="str">
        <f>IFERROR(__xludf.DUMMYFUNCTION("""COMPUTED_VALUE"""),"SHIP")</f>
        <v>SHIP</v>
      </c>
      <c r="D51" s="68">
        <f>IFERROR(__xludf.DUMMYFUNCTION("""COMPUTED_VALUE"""),237.98999999999995)</f>
        <v>237.99</v>
      </c>
      <c r="E51" s="69">
        <f>IFERROR(__xludf.DUMMYFUNCTION("""COMPUTED_VALUE"""),44501.0)</f>
        <v>44501</v>
      </c>
      <c r="F51" s="70" t="str">
        <f>IFERROR(__xludf.DUMMYFUNCTION("""COMPUTED_VALUE"""),"Marlon Byers")</f>
        <v>Marlon Byers</v>
      </c>
      <c r="G51" s="70" t="str">
        <f>IFERROR(__xludf.DUMMYFUNCTION("""COMPUTED_VALUE"""),"Superior Connection (SE)")</f>
        <v>Superior Connection (SE)</v>
      </c>
      <c r="H51" s="70"/>
      <c r="M51" s="72"/>
      <c r="N51" s="72"/>
      <c r="O51" s="72"/>
      <c r="P51" s="72"/>
      <c r="Q51" s="73">
        <f t="shared" si="1"/>
        <v>0</v>
      </c>
    </row>
    <row r="52">
      <c r="A52" s="67">
        <v>50.0</v>
      </c>
      <c r="B52" s="11" t="str">
        <f>IFERROR(__xludf.DUMMYFUNCTION("""COMPUTED_VALUE"""),"CL18270")</f>
        <v>CL18270</v>
      </c>
      <c r="C52" s="11" t="str">
        <f>IFERROR(__xludf.DUMMYFUNCTION("""COMPUTED_VALUE"""),"SHIP")</f>
        <v>SHIP</v>
      </c>
      <c r="D52" s="68">
        <f>IFERROR(__xludf.DUMMYFUNCTION("""COMPUTED_VALUE"""),469.77666666666664)</f>
        <v>469.7766667</v>
      </c>
      <c r="E52" s="69">
        <f>IFERROR(__xludf.DUMMYFUNCTION("""COMPUTED_VALUE"""),44501.0)</f>
        <v>44501</v>
      </c>
      <c r="F52" s="70" t="str">
        <f>IFERROR(__xludf.DUMMYFUNCTION("""COMPUTED_VALUE"""),"Marlon Byers")</f>
        <v>Marlon Byers</v>
      </c>
      <c r="G52" s="70" t="str">
        <f>IFERROR(__xludf.DUMMYFUNCTION("""COMPUTED_VALUE"""),"Superior Connection (SE)")</f>
        <v>Superior Connection (SE)</v>
      </c>
      <c r="H52" s="70"/>
      <c r="M52" s="72"/>
      <c r="N52" s="72"/>
      <c r="O52" s="72"/>
      <c r="P52" s="72"/>
      <c r="Q52" s="73">
        <f t="shared" si="1"/>
        <v>0</v>
      </c>
    </row>
    <row r="53">
      <c r="A53" s="67">
        <v>51.0</v>
      </c>
      <c r="B53" s="11" t="str">
        <f>IFERROR(__xludf.DUMMYFUNCTION("""COMPUTED_VALUE"""),"CL18271")</f>
        <v>CL18271</v>
      </c>
      <c r="C53" s="11" t="str">
        <f>IFERROR(__xludf.DUMMYFUNCTION("""COMPUTED_VALUE"""),"SHIP")</f>
        <v>SHIP</v>
      </c>
      <c r="D53" s="68">
        <f>IFERROR(__xludf.DUMMYFUNCTION("""COMPUTED_VALUE"""),60.0)</f>
        <v>60</v>
      </c>
      <c r="E53" s="69">
        <f>IFERROR(__xludf.DUMMYFUNCTION("""COMPUTED_VALUE"""),44501.0)</f>
        <v>44501</v>
      </c>
      <c r="F53" s="70" t="str">
        <f>IFERROR(__xludf.DUMMYFUNCTION("""COMPUTED_VALUE"""),"Marlon Byers")</f>
        <v>Marlon Byers</v>
      </c>
      <c r="G53" s="70" t="str">
        <f>IFERROR(__xludf.DUMMYFUNCTION("""COMPUTED_VALUE"""),"Superior Connection (SE)")</f>
        <v>Superior Connection (SE)</v>
      </c>
      <c r="H53" s="70"/>
      <c r="M53" s="72"/>
      <c r="N53" s="72"/>
      <c r="O53" s="72"/>
      <c r="P53" s="72"/>
      <c r="Q53" s="73">
        <f t="shared" si="1"/>
        <v>0</v>
      </c>
    </row>
    <row r="54">
      <c r="A54" s="67">
        <v>52.0</v>
      </c>
      <c r="B54" s="11" t="str">
        <f>IFERROR(__xludf.DUMMYFUNCTION("""COMPUTED_VALUE"""),"CL18272")</f>
        <v>CL18272</v>
      </c>
      <c r="C54" s="11" t="str">
        <f>IFERROR(__xludf.DUMMYFUNCTION("""COMPUTED_VALUE"""),"SHIP")</f>
        <v>SHIP</v>
      </c>
      <c r="D54" s="68">
        <f>IFERROR(__xludf.DUMMYFUNCTION("""COMPUTED_VALUE"""),273.31666666666666)</f>
        <v>273.3166667</v>
      </c>
      <c r="E54" s="69">
        <f>IFERROR(__xludf.DUMMYFUNCTION("""COMPUTED_VALUE"""),44501.0)</f>
        <v>44501</v>
      </c>
      <c r="F54" s="70" t="str">
        <f>IFERROR(__xludf.DUMMYFUNCTION("""COMPUTED_VALUE"""),"Marlon Byers")</f>
        <v>Marlon Byers</v>
      </c>
      <c r="G54" s="70" t="str">
        <f>IFERROR(__xludf.DUMMYFUNCTION("""COMPUTED_VALUE"""),"Superior Connection (SE)")</f>
        <v>Superior Connection (SE)</v>
      </c>
      <c r="H54" s="70"/>
      <c r="M54" s="72"/>
      <c r="N54" s="72"/>
      <c r="O54" s="72"/>
      <c r="P54" s="72"/>
      <c r="Q54" s="73">
        <f t="shared" si="1"/>
        <v>0</v>
      </c>
    </row>
    <row r="55">
      <c r="A55" s="67">
        <v>53.0</v>
      </c>
      <c r="B55" s="11" t="str">
        <f>IFERROR(__xludf.DUMMYFUNCTION("""COMPUTED_VALUE"""),"CL18273")</f>
        <v>CL18273</v>
      </c>
      <c r="C55" s="11" t="str">
        <f>IFERROR(__xludf.DUMMYFUNCTION("""COMPUTED_VALUE"""),"NSHIP")</f>
        <v>NSHIP</v>
      </c>
      <c r="D55" s="68">
        <f>IFERROR(__xludf.DUMMYFUNCTION("""COMPUTED_VALUE"""),363.98)</f>
        <v>363.98</v>
      </c>
      <c r="E55" s="69"/>
      <c r="F55" s="70"/>
      <c r="G55" s="70"/>
      <c r="H55" s="70" t="str">
        <f>IFERROR(__xludf.DUMMYFUNCTION("""COMPUTED_VALUE"""),"Brand Reject")</f>
        <v>Brand Reject</v>
      </c>
      <c r="M55" s="72"/>
      <c r="N55" s="72"/>
      <c r="O55" s="72"/>
      <c r="P55" s="72"/>
      <c r="Q55" s="73">
        <f t="shared" si="1"/>
        <v>0</v>
      </c>
    </row>
    <row r="56">
      <c r="A56" s="67">
        <v>54.0</v>
      </c>
      <c r="B56" s="11" t="str">
        <f>IFERROR(__xludf.DUMMYFUNCTION("""COMPUTED_VALUE"""),"CL18274")</f>
        <v>CL18274</v>
      </c>
      <c r="C56" s="11" t="str">
        <f>IFERROR(__xludf.DUMMYFUNCTION("""COMPUTED_VALUE"""),"SHIP")</f>
        <v>SHIP</v>
      </c>
      <c r="D56" s="68">
        <f>IFERROR(__xludf.DUMMYFUNCTION("""COMPUTED_VALUE"""),324.99000000000007)</f>
        <v>324.99</v>
      </c>
      <c r="E56" s="69">
        <f>IFERROR(__xludf.DUMMYFUNCTION("""COMPUTED_VALUE"""),44559.0)</f>
        <v>44559</v>
      </c>
      <c r="F56" s="70" t="str">
        <f>IFERROR(__xludf.DUMMYFUNCTION("""COMPUTED_VALUE"""),"Roop Bath")</f>
        <v>Roop Bath</v>
      </c>
      <c r="G56" s="70" t="str">
        <f>IFERROR(__xludf.DUMMYFUNCTION("""COMPUTED_VALUE"""),"A1 Wholesale Supplies")</f>
        <v>A1 Wholesale Supplies</v>
      </c>
      <c r="H56" s="70"/>
      <c r="M56" s="72"/>
      <c r="N56" s="72"/>
      <c r="O56" s="72"/>
      <c r="P56" s="72"/>
      <c r="Q56" s="73">
        <f t="shared" si="1"/>
        <v>0</v>
      </c>
    </row>
    <row r="57">
      <c r="A57" s="67">
        <v>55.0</v>
      </c>
      <c r="B57" s="11" t="str">
        <f>IFERROR(__xludf.DUMMYFUNCTION("""COMPUTED_VALUE"""),"GR18275")</f>
        <v>GR18275</v>
      </c>
      <c r="C57" s="11" t="str">
        <f>IFERROR(__xludf.DUMMYFUNCTION("""COMPUTED_VALUE"""),"SHIP")</f>
        <v>SHIP</v>
      </c>
      <c r="D57" s="68">
        <f>IFERROR(__xludf.DUMMYFUNCTION("""COMPUTED_VALUE"""),284.33333333333337)</f>
        <v>284.3333333</v>
      </c>
      <c r="E57" s="69">
        <f>IFERROR(__xludf.DUMMYFUNCTION("""COMPUTED_VALUE"""),44559.0)</f>
        <v>44559</v>
      </c>
      <c r="F57" s="70" t="str">
        <f>IFERROR(__xludf.DUMMYFUNCTION("""COMPUTED_VALUE"""),"Roop Bath")</f>
        <v>Roop Bath</v>
      </c>
      <c r="G57" s="70" t="str">
        <f>IFERROR(__xludf.DUMMYFUNCTION("""COMPUTED_VALUE"""),"A1 Wholesale Supplies")</f>
        <v>A1 Wholesale Supplies</v>
      </c>
      <c r="H57" s="70"/>
      <c r="M57" s="72"/>
      <c r="N57" s="72"/>
      <c r="O57" s="72"/>
      <c r="P57" s="72"/>
      <c r="Q57" s="73">
        <f t="shared" si="1"/>
        <v>0</v>
      </c>
    </row>
    <row r="58">
      <c r="A58" s="67">
        <v>56.0</v>
      </c>
      <c r="B58" s="11" t="str">
        <f>IFERROR(__xludf.DUMMYFUNCTION("""COMPUTED_VALUE"""),"GR18276")</f>
        <v>GR18276</v>
      </c>
      <c r="C58" s="11" t="str">
        <f>IFERROR(__xludf.DUMMYFUNCTION("""COMPUTED_VALUE"""),"SHIP")</f>
        <v>SHIP</v>
      </c>
      <c r="D58" s="68">
        <f>IFERROR(__xludf.DUMMYFUNCTION("""COMPUTED_VALUE"""),151.66333333333336)</f>
        <v>151.6633333</v>
      </c>
      <c r="E58" s="69">
        <f>IFERROR(__xludf.DUMMYFUNCTION("""COMPUTED_VALUE"""),44559.0)</f>
        <v>44559</v>
      </c>
      <c r="F58" s="70" t="str">
        <f>IFERROR(__xludf.DUMMYFUNCTION("""COMPUTED_VALUE"""),"Roop Bath")</f>
        <v>Roop Bath</v>
      </c>
      <c r="G58" s="70" t="str">
        <f>IFERROR(__xludf.DUMMYFUNCTION("""COMPUTED_VALUE"""),"A1 Wholesale Supplies")</f>
        <v>A1 Wholesale Supplies</v>
      </c>
      <c r="H58" s="70"/>
      <c r="M58" s="72"/>
      <c r="N58" s="72"/>
      <c r="O58" s="72"/>
      <c r="P58" s="72"/>
      <c r="Q58" s="73">
        <f t="shared" si="1"/>
        <v>0</v>
      </c>
    </row>
    <row r="59">
      <c r="A59" s="67">
        <v>57.0</v>
      </c>
      <c r="B59" s="11" t="str">
        <f>IFERROR(__xludf.DUMMYFUNCTION("""COMPUTED_VALUE"""),"GR18277")</f>
        <v>GR18277</v>
      </c>
      <c r="C59" s="11" t="str">
        <f>IFERROR(__xludf.DUMMYFUNCTION("""COMPUTED_VALUE"""),"SHIP")</f>
        <v>SHIP</v>
      </c>
      <c r="D59" s="68">
        <f>IFERROR(__xludf.DUMMYFUNCTION("""COMPUTED_VALUE"""),522.3333333333333)</f>
        <v>522.3333333</v>
      </c>
      <c r="E59" s="69">
        <f>IFERROR(__xludf.DUMMYFUNCTION("""COMPUTED_VALUE"""),44559.0)</f>
        <v>44559</v>
      </c>
      <c r="F59" s="70" t="str">
        <f>IFERROR(__xludf.DUMMYFUNCTION("""COMPUTED_VALUE"""),"Roop Bath")</f>
        <v>Roop Bath</v>
      </c>
      <c r="G59" s="70" t="str">
        <f>IFERROR(__xludf.DUMMYFUNCTION("""COMPUTED_VALUE"""),"A1 Wholesale Supplies")</f>
        <v>A1 Wholesale Supplies</v>
      </c>
      <c r="H59" s="70"/>
      <c r="M59" s="72"/>
      <c r="N59" s="72"/>
      <c r="O59" s="72"/>
      <c r="P59" s="72"/>
      <c r="Q59" s="73">
        <f t="shared" si="1"/>
        <v>0</v>
      </c>
    </row>
    <row r="60">
      <c r="A60" s="67">
        <v>58.0</v>
      </c>
      <c r="B60" s="11" t="str">
        <f>IFERROR(__xludf.DUMMYFUNCTION("""COMPUTED_VALUE"""),"GR18278")</f>
        <v>GR18278</v>
      </c>
      <c r="C60" s="11" t="str">
        <f>IFERROR(__xludf.DUMMYFUNCTION("""COMPUTED_VALUE"""),"NSHIP")</f>
        <v>NSHIP</v>
      </c>
      <c r="D60" s="68">
        <f>IFERROR(__xludf.DUMMYFUNCTION("""COMPUTED_VALUE"""),513.3333333333333)</f>
        <v>513.3333333</v>
      </c>
      <c r="E60" s="69">
        <f>IFERROR(__xludf.DUMMYFUNCTION("""COMPUTED_VALUE"""),44559.0)</f>
        <v>44559</v>
      </c>
      <c r="F60" s="70" t="str">
        <f>IFERROR(__xludf.DUMMYFUNCTION("""COMPUTED_VALUE"""),"Roop Bath")</f>
        <v>Roop Bath</v>
      </c>
      <c r="G60" s="70" t="str">
        <f>IFERROR(__xludf.DUMMYFUNCTION("""COMPUTED_VALUE"""),"A1 Wholesale Supplies")</f>
        <v>A1 Wholesale Supplies</v>
      </c>
      <c r="H60" s="70"/>
      <c r="M60" s="72"/>
      <c r="N60" s="72"/>
      <c r="O60" s="72"/>
      <c r="P60" s="72"/>
      <c r="Q60" s="73">
        <f t="shared" si="1"/>
        <v>0</v>
      </c>
    </row>
    <row r="61">
      <c r="A61" s="67">
        <v>59.0</v>
      </c>
      <c r="B61" s="11" t="str">
        <f>IFERROR(__xludf.DUMMYFUNCTION("""COMPUTED_VALUE"""),"GR18279")</f>
        <v>GR18279</v>
      </c>
      <c r="C61" s="11" t="str">
        <f>IFERROR(__xludf.DUMMYFUNCTION("""COMPUTED_VALUE"""),"SHIP")</f>
        <v>SHIP</v>
      </c>
      <c r="D61" s="68">
        <f>IFERROR(__xludf.DUMMYFUNCTION("""COMPUTED_VALUE"""),267.0)</f>
        <v>267</v>
      </c>
      <c r="E61" s="69">
        <f>IFERROR(__xludf.DUMMYFUNCTION("""COMPUTED_VALUE"""),44529.0)</f>
        <v>44529</v>
      </c>
      <c r="F61" s="70" t="str">
        <f>IFERROR(__xludf.DUMMYFUNCTION("""COMPUTED_VALUE"""),"Jerry Newsome")</f>
        <v>Jerry Newsome</v>
      </c>
      <c r="G61" s="70" t="str">
        <f>IFERROR(__xludf.DUMMYFUNCTION("""COMPUTED_VALUE"""),"JBO LLC (SE)")</f>
        <v>JBO LLC (SE)</v>
      </c>
      <c r="H61" s="70"/>
      <c r="M61" s="72"/>
      <c r="N61" s="72"/>
      <c r="O61" s="72"/>
      <c r="P61" s="72"/>
      <c r="Q61" s="73">
        <f t="shared" si="1"/>
        <v>0</v>
      </c>
    </row>
    <row r="62">
      <c r="A62" s="67">
        <v>60.0</v>
      </c>
      <c r="B62" s="11" t="str">
        <f>IFERROR(__xludf.DUMMYFUNCTION("""COMPUTED_VALUE"""),"GR18280")</f>
        <v>GR18280</v>
      </c>
      <c r="C62" s="11" t="str">
        <f>IFERROR(__xludf.DUMMYFUNCTION("""COMPUTED_VALUE"""),"SHIP")</f>
        <v>SHIP</v>
      </c>
      <c r="D62" s="68">
        <f>IFERROR(__xludf.DUMMYFUNCTION("""COMPUTED_VALUE"""),226.6566666666667)</f>
        <v>226.6566667</v>
      </c>
      <c r="E62" s="69">
        <f>IFERROR(__xludf.DUMMYFUNCTION("""COMPUTED_VALUE"""),44529.0)</f>
        <v>44529</v>
      </c>
      <c r="F62" s="70" t="str">
        <f>IFERROR(__xludf.DUMMYFUNCTION("""COMPUTED_VALUE"""),"Jerry Newsome")</f>
        <v>Jerry Newsome</v>
      </c>
      <c r="G62" s="70" t="str">
        <f>IFERROR(__xludf.DUMMYFUNCTION("""COMPUTED_VALUE"""),"JBO LLC (SE)")</f>
        <v>JBO LLC (SE)</v>
      </c>
      <c r="H62" s="70"/>
      <c r="M62" s="72"/>
      <c r="N62" s="72"/>
      <c r="O62" s="72"/>
      <c r="P62" s="72"/>
      <c r="Q62" s="73">
        <f t="shared" si="1"/>
        <v>0</v>
      </c>
    </row>
    <row r="63">
      <c r="A63" s="67">
        <v>61.0</v>
      </c>
      <c r="B63" s="11" t="str">
        <f>IFERROR(__xludf.DUMMYFUNCTION("""COMPUTED_VALUE"""),"GR18281")</f>
        <v>GR18281</v>
      </c>
      <c r="C63" s="11" t="str">
        <f>IFERROR(__xludf.DUMMYFUNCTION("""COMPUTED_VALUE"""),"SHIP")</f>
        <v>SHIP</v>
      </c>
      <c r="D63" s="68">
        <f>IFERROR(__xludf.DUMMYFUNCTION("""COMPUTED_VALUE"""),138.33333333333334)</f>
        <v>138.3333333</v>
      </c>
      <c r="E63" s="69">
        <f>IFERROR(__xludf.DUMMYFUNCTION("""COMPUTED_VALUE"""),44529.0)</f>
        <v>44529</v>
      </c>
      <c r="F63" s="70" t="str">
        <f>IFERROR(__xludf.DUMMYFUNCTION("""COMPUTED_VALUE"""),"Jerry Newsome")</f>
        <v>Jerry Newsome</v>
      </c>
      <c r="G63" s="70" t="str">
        <f>IFERROR(__xludf.DUMMYFUNCTION("""COMPUTED_VALUE"""),"JBO LLC (SE)")</f>
        <v>JBO LLC (SE)</v>
      </c>
      <c r="H63" s="70"/>
      <c r="M63" s="72"/>
      <c r="N63" s="72"/>
      <c r="O63" s="72"/>
      <c r="P63" s="72"/>
      <c r="Q63" s="73">
        <f t="shared" si="1"/>
        <v>0</v>
      </c>
    </row>
    <row r="64">
      <c r="A64" s="67">
        <v>62.0</v>
      </c>
      <c r="B64" s="11" t="str">
        <f>IFERROR(__xludf.DUMMYFUNCTION("""COMPUTED_VALUE"""),"GR18282")</f>
        <v>GR18282</v>
      </c>
      <c r="C64" s="11" t="str">
        <f>IFERROR(__xludf.DUMMYFUNCTION("""COMPUTED_VALUE"""),"SHIP")</f>
        <v>SHIP</v>
      </c>
      <c r="D64" s="68">
        <f>IFERROR(__xludf.DUMMYFUNCTION("""COMPUTED_VALUE"""),288.0)</f>
        <v>288</v>
      </c>
      <c r="E64" s="69">
        <f>IFERROR(__xludf.DUMMYFUNCTION("""COMPUTED_VALUE"""),44529.0)</f>
        <v>44529</v>
      </c>
      <c r="F64" s="70" t="str">
        <f>IFERROR(__xludf.DUMMYFUNCTION("""COMPUTED_VALUE"""),"Jerry Newsome")</f>
        <v>Jerry Newsome</v>
      </c>
      <c r="G64" s="70" t="str">
        <f>IFERROR(__xludf.DUMMYFUNCTION("""COMPUTED_VALUE"""),"JBO LLC (SE)")</f>
        <v>JBO LLC (SE)</v>
      </c>
      <c r="H64" s="70"/>
      <c r="M64" s="72"/>
      <c r="N64" s="72"/>
      <c r="O64" s="72"/>
      <c r="P64" s="72"/>
      <c r="Q64" s="73">
        <f t="shared" si="1"/>
        <v>0</v>
      </c>
    </row>
    <row r="65">
      <c r="A65" s="67">
        <v>63.0</v>
      </c>
      <c r="B65" s="11" t="str">
        <f>IFERROR(__xludf.DUMMYFUNCTION("""COMPUTED_VALUE"""),"GR18283")</f>
        <v>GR18283</v>
      </c>
      <c r="C65" s="11" t="str">
        <f>IFERROR(__xludf.DUMMYFUNCTION("""COMPUTED_VALUE"""),"NSHIP")</f>
        <v>NSHIP</v>
      </c>
      <c r="D65" s="68">
        <f>IFERROR(__xludf.DUMMYFUNCTION("""COMPUTED_VALUE"""),606.6666666666666)</f>
        <v>606.6666667</v>
      </c>
      <c r="E65" s="69">
        <f>IFERROR(__xludf.DUMMYFUNCTION("""COMPUTED_VALUE"""),44529.0)</f>
        <v>44529</v>
      </c>
      <c r="F65" s="70" t="str">
        <f>IFERROR(__xludf.DUMMYFUNCTION("""COMPUTED_VALUE"""),"Jerry Newsome")</f>
        <v>Jerry Newsome</v>
      </c>
      <c r="G65" s="70" t="str">
        <f>IFERROR(__xludf.DUMMYFUNCTION("""COMPUTED_VALUE"""),"JBO LLC (SE)")</f>
        <v>JBO LLC (SE)</v>
      </c>
      <c r="H65" s="70"/>
      <c r="M65" s="72"/>
      <c r="N65" s="72"/>
      <c r="O65" s="72"/>
      <c r="P65" s="72"/>
      <c r="Q65" s="73">
        <f t="shared" si="1"/>
        <v>0</v>
      </c>
    </row>
    <row r="66">
      <c r="A66" s="67">
        <v>64.0</v>
      </c>
      <c r="B66" s="11" t="str">
        <f>IFERROR(__xludf.DUMMYFUNCTION("""COMPUTED_VALUE"""),"GR18284")</f>
        <v>GR18284</v>
      </c>
      <c r="C66" s="11" t="str">
        <f>IFERROR(__xludf.DUMMYFUNCTION("""COMPUTED_VALUE"""),"SHIP")</f>
        <v>SHIP</v>
      </c>
      <c r="D66" s="68">
        <f>IFERROR(__xludf.DUMMYFUNCTION("""COMPUTED_VALUE"""),135.5)</f>
        <v>135.5</v>
      </c>
      <c r="E66" s="69">
        <f>IFERROR(__xludf.DUMMYFUNCTION("""COMPUTED_VALUE"""),44559.0)</f>
        <v>44559</v>
      </c>
      <c r="F66" s="70" t="str">
        <f>IFERROR(__xludf.DUMMYFUNCTION("""COMPUTED_VALUE"""),"Roop Bath")</f>
        <v>Roop Bath</v>
      </c>
      <c r="G66" s="70" t="str">
        <f>IFERROR(__xludf.DUMMYFUNCTION("""COMPUTED_VALUE"""),"A1 Wholesale Supplies")</f>
        <v>A1 Wholesale Supplies</v>
      </c>
      <c r="H66" s="70"/>
      <c r="M66" s="72"/>
      <c r="N66" s="72"/>
      <c r="O66" s="72"/>
      <c r="P66" s="72"/>
      <c r="Q66" s="73">
        <f t="shared" si="1"/>
        <v>0</v>
      </c>
    </row>
    <row r="67">
      <c r="A67" s="67">
        <v>65.0</v>
      </c>
      <c r="B67" s="11" t="str">
        <f>IFERROR(__xludf.DUMMYFUNCTION("""COMPUTED_VALUE"""),"GR18285")</f>
        <v>GR18285</v>
      </c>
      <c r="C67" s="11" t="str">
        <f>IFERROR(__xludf.DUMMYFUNCTION("""COMPUTED_VALUE"""),"SHIP")</f>
        <v>SHIP</v>
      </c>
      <c r="D67" s="68">
        <f>IFERROR(__xludf.DUMMYFUNCTION("""COMPUTED_VALUE"""),79.0)</f>
        <v>79</v>
      </c>
      <c r="E67" s="69">
        <f>IFERROR(__xludf.DUMMYFUNCTION("""COMPUTED_VALUE"""),44559.0)</f>
        <v>44559</v>
      </c>
      <c r="F67" s="70" t="str">
        <f>IFERROR(__xludf.DUMMYFUNCTION("""COMPUTED_VALUE"""),"Roop Bath")</f>
        <v>Roop Bath</v>
      </c>
      <c r="G67" s="70" t="str">
        <f>IFERROR(__xludf.DUMMYFUNCTION("""COMPUTED_VALUE"""),"A1 Wholesale Supplies")</f>
        <v>A1 Wholesale Supplies</v>
      </c>
      <c r="H67" s="70"/>
      <c r="M67" s="72"/>
      <c r="N67" s="72"/>
      <c r="O67" s="72"/>
      <c r="P67" s="72"/>
      <c r="Q67" s="73">
        <f t="shared" si="1"/>
        <v>0</v>
      </c>
    </row>
    <row r="68">
      <c r="A68" s="67">
        <v>66.0</v>
      </c>
      <c r="B68" s="11" t="str">
        <f>IFERROR(__xludf.DUMMYFUNCTION("""COMPUTED_VALUE"""),"XM18286")</f>
        <v>XM18286</v>
      </c>
      <c r="C68" s="11" t="str">
        <f>IFERROR(__xludf.DUMMYFUNCTION("""COMPUTED_VALUE"""),"SHIP")</f>
        <v>SHIP</v>
      </c>
      <c r="D68" s="68">
        <f>IFERROR(__xludf.DUMMYFUNCTION("""COMPUTED_VALUE"""),405.0)</f>
        <v>405</v>
      </c>
      <c r="E68" s="69">
        <f>IFERROR(__xludf.DUMMYFUNCTION("""COMPUTED_VALUE"""),44510.0)</f>
        <v>44510</v>
      </c>
      <c r="F68" s="70" t="str">
        <f>IFERROR(__xludf.DUMMYFUNCTION("""COMPUTED_VALUE"""),"Martin")</f>
        <v>Martin</v>
      </c>
      <c r="G68" s="70" t="str">
        <f>IFERROR(__xludf.DUMMYFUNCTION("""COMPUTED_VALUE"""),"Chmn 25 (SFBA)")</f>
        <v>Chmn 25 (SFBA)</v>
      </c>
      <c r="H68" s="70"/>
      <c r="M68" s="72"/>
      <c r="N68" s="72"/>
      <c r="O68" s="72"/>
      <c r="P68" s="72"/>
      <c r="Q68" s="73">
        <f t="shared" si="1"/>
        <v>0</v>
      </c>
    </row>
    <row r="69">
      <c r="A69" s="67">
        <v>67.0</v>
      </c>
      <c r="B69" s="11" t="str">
        <f>IFERROR(__xludf.DUMMYFUNCTION("""COMPUTED_VALUE"""),"XM18287")</f>
        <v>XM18287</v>
      </c>
      <c r="C69" s="11" t="str">
        <f>IFERROR(__xludf.DUMMYFUNCTION("""COMPUTED_VALUE"""),"SHIP")</f>
        <v>SHIP</v>
      </c>
      <c r="D69" s="68">
        <f>IFERROR(__xludf.DUMMYFUNCTION("""COMPUTED_VALUE"""),441.6666666666667)</f>
        <v>441.6666667</v>
      </c>
      <c r="E69" s="69">
        <f>IFERROR(__xludf.DUMMYFUNCTION("""COMPUTED_VALUE"""),44510.0)</f>
        <v>44510</v>
      </c>
      <c r="F69" s="70" t="str">
        <f>IFERROR(__xludf.DUMMYFUNCTION("""COMPUTED_VALUE"""),"Martin")</f>
        <v>Martin</v>
      </c>
      <c r="G69" s="70" t="str">
        <f>IFERROR(__xludf.DUMMYFUNCTION("""COMPUTED_VALUE"""),"Chmn 25 (SFBA)")</f>
        <v>Chmn 25 (SFBA)</v>
      </c>
      <c r="H69" s="70"/>
      <c r="M69" s="72"/>
      <c r="N69" s="72"/>
      <c r="O69" s="72"/>
      <c r="P69" s="72"/>
      <c r="Q69" s="73">
        <f t="shared" si="1"/>
        <v>0</v>
      </c>
    </row>
    <row r="70">
      <c r="A70" s="67">
        <v>68.0</v>
      </c>
      <c r="B70" s="11" t="str">
        <f>IFERROR(__xludf.DUMMYFUNCTION("""COMPUTED_VALUE"""),"XM18288")</f>
        <v>XM18288</v>
      </c>
      <c r="C70" s="11" t="str">
        <f>IFERROR(__xludf.DUMMYFUNCTION("""COMPUTED_VALUE"""),"NSHIP")</f>
        <v>NSHIP</v>
      </c>
      <c r="D70" s="68">
        <f>IFERROR(__xludf.DUMMYFUNCTION("""COMPUTED_VALUE"""),623.3333333333334)</f>
        <v>623.3333333</v>
      </c>
      <c r="E70" s="69">
        <f>IFERROR(__xludf.DUMMYFUNCTION("""COMPUTED_VALUE"""),44510.0)</f>
        <v>44510</v>
      </c>
      <c r="F70" s="70" t="str">
        <f>IFERROR(__xludf.DUMMYFUNCTION("""COMPUTED_VALUE"""),"Martin")</f>
        <v>Martin</v>
      </c>
      <c r="G70" s="70" t="str">
        <f>IFERROR(__xludf.DUMMYFUNCTION("""COMPUTED_VALUE"""),"Chmn 25 (SFBA)")</f>
        <v>Chmn 25 (SFBA)</v>
      </c>
      <c r="H70" s="70"/>
      <c r="M70" s="72"/>
      <c r="N70" s="72"/>
      <c r="O70" s="72"/>
      <c r="P70" s="72"/>
      <c r="Q70" s="73">
        <f t="shared" si="1"/>
        <v>0</v>
      </c>
    </row>
    <row r="71">
      <c r="A71" s="67">
        <v>69.0</v>
      </c>
      <c r="B71" s="11" t="str">
        <f>IFERROR(__xludf.DUMMYFUNCTION("""COMPUTED_VALUE"""),"XM18289")</f>
        <v>XM18289</v>
      </c>
      <c r="C71" s="11" t="str">
        <f>IFERROR(__xludf.DUMMYFUNCTION("""COMPUTED_VALUE"""),"NSHIP")</f>
        <v>NSHIP</v>
      </c>
      <c r="D71" s="68">
        <f>IFERROR(__xludf.DUMMYFUNCTION("""COMPUTED_VALUE"""),555.0)</f>
        <v>555</v>
      </c>
      <c r="E71" s="69"/>
      <c r="F71" s="70"/>
      <c r="G71" s="70"/>
      <c r="H71" s="70"/>
      <c r="M71" s="72"/>
      <c r="N71" s="72"/>
      <c r="O71" s="72"/>
      <c r="P71" s="72"/>
      <c r="Q71" s="73">
        <f t="shared" si="1"/>
        <v>0</v>
      </c>
    </row>
    <row r="72">
      <c r="A72" s="67">
        <v>70.0</v>
      </c>
      <c r="B72" s="11" t="str">
        <f>IFERROR(__xludf.DUMMYFUNCTION("""COMPUTED_VALUE"""),"XM18290")</f>
        <v>XM18290</v>
      </c>
      <c r="C72" s="11" t="str">
        <f>IFERROR(__xludf.DUMMYFUNCTION("""COMPUTED_VALUE"""),"NSHIP")</f>
        <v>NSHIP</v>
      </c>
      <c r="D72" s="68">
        <f>IFERROR(__xludf.DUMMYFUNCTION("""COMPUTED_VALUE"""),325.0)</f>
        <v>325</v>
      </c>
      <c r="E72" s="69"/>
      <c r="F72" s="70"/>
      <c r="G72" s="70"/>
      <c r="H72" s="70"/>
      <c r="M72" s="72"/>
      <c r="N72" s="72"/>
      <c r="O72" s="72"/>
      <c r="P72" s="72"/>
      <c r="Q72" s="73">
        <f t="shared" si="1"/>
        <v>0</v>
      </c>
    </row>
    <row r="73">
      <c r="A73" s="67">
        <v>71.0</v>
      </c>
      <c r="B73" s="11" t="str">
        <f>IFERROR(__xludf.DUMMYFUNCTION("""COMPUTED_VALUE"""),"XM18291")</f>
        <v>XM18291</v>
      </c>
      <c r="C73" s="11" t="str">
        <f>IFERROR(__xludf.DUMMYFUNCTION("""COMPUTED_VALUE"""),"SHIP")</f>
        <v>SHIP</v>
      </c>
      <c r="D73" s="68">
        <f>IFERROR(__xludf.DUMMYFUNCTION("""COMPUTED_VALUE"""),494.9633333333333)</f>
        <v>494.9633333</v>
      </c>
      <c r="E73" s="69">
        <f>IFERROR(__xludf.DUMMYFUNCTION("""COMPUTED_VALUE"""),44529.0)</f>
        <v>44529</v>
      </c>
      <c r="F73" s="70" t="str">
        <f>IFERROR(__xludf.DUMMYFUNCTION("""COMPUTED_VALUE"""),"Jerry Newsome")</f>
        <v>Jerry Newsome</v>
      </c>
      <c r="G73" s="70" t="str">
        <f>IFERROR(__xludf.DUMMYFUNCTION("""COMPUTED_VALUE"""),"JBO LLC (SE)")</f>
        <v>JBO LLC (SE)</v>
      </c>
      <c r="H73" s="70"/>
      <c r="M73" s="72"/>
      <c r="N73" s="72"/>
      <c r="O73" s="72"/>
      <c r="P73" s="72"/>
      <c r="Q73" s="73">
        <f t="shared" si="1"/>
        <v>0</v>
      </c>
    </row>
    <row r="74">
      <c r="A74" s="67">
        <v>72.0</v>
      </c>
      <c r="B74" s="11" t="str">
        <f>IFERROR(__xludf.DUMMYFUNCTION("""COMPUTED_VALUE"""),"XM18292")</f>
        <v>XM18292</v>
      </c>
      <c r="C74" s="11" t="str">
        <f>IFERROR(__xludf.DUMMYFUNCTION("""COMPUTED_VALUE"""),"NSHIP")</f>
        <v>NSHIP</v>
      </c>
      <c r="D74" s="68">
        <f>IFERROR(__xludf.DUMMYFUNCTION("""COMPUTED_VALUE"""),33.333333333333336)</f>
        <v>33.33333333</v>
      </c>
      <c r="E74" s="69"/>
      <c r="F74" s="70"/>
      <c r="G74" s="70"/>
      <c r="H74" s="70" t="str">
        <f>IFERROR(__xludf.DUMMYFUNCTION("""COMPUTED_VALUE"""),"Brand Reject")</f>
        <v>Brand Reject</v>
      </c>
      <c r="M74" s="72"/>
      <c r="N74" s="72"/>
      <c r="O74" s="72"/>
      <c r="P74" s="72"/>
      <c r="Q74" s="73">
        <f t="shared" si="1"/>
        <v>0</v>
      </c>
    </row>
    <row r="75">
      <c r="A75" s="67">
        <v>73.0</v>
      </c>
      <c r="B75" s="11" t="str">
        <f>IFERROR(__xludf.DUMMYFUNCTION("""COMPUTED_VALUE"""),"XM18293")</f>
        <v>XM18293</v>
      </c>
      <c r="C75" s="11" t="str">
        <f>IFERROR(__xludf.DUMMYFUNCTION("""COMPUTED_VALUE"""),"NSHIP")</f>
        <v>NSHIP</v>
      </c>
      <c r="D75" s="68">
        <f>IFERROR(__xludf.DUMMYFUNCTION("""COMPUTED_VALUE"""),13.333333333333334)</f>
        <v>13.33333333</v>
      </c>
      <c r="E75" s="69"/>
      <c r="F75" s="70"/>
      <c r="G75" s="70"/>
      <c r="H75" s="70" t="str">
        <f>IFERROR(__xludf.DUMMYFUNCTION("""COMPUTED_VALUE"""),"Brand Reject")</f>
        <v>Brand Reject</v>
      </c>
      <c r="M75" s="72"/>
      <c r="N75" s="72"/>
      <c r="O75" s="72"/>
      <c r="P75" s="72"/>
      <c r="Q75" s="73">
        <f t="shared" si="1"/>
        <v>0</v>
      </c>
    </row>
    <row r="76">
      <c r="A76" s="67">
        <v>74.0</v>
      </c>
      <c r="B76" s="11" t="str">
        <f>IFERROR(__xludf.DUMMYFUNCTION("""COMPUTED_VALUE"""),"XM18294")</f>
        <v>XM18294</v>
      </c>
      <c r="C76" s="11" t="str">
        <f>IFERROR(__xludf.DUMMYFUNCTION("""COMPUTED_VALUE"""),"NSHIP")</f>
        <v>NSHIP</v>
      </c>
      <c r="D76" s="68">
        <f>IFERROR(__xludf.DUMMYFUNCTION("""COMPUTED_VALUE"""),26.666666666666668)</f>
        <v>26.66666667</v>
      </c>
      <c r="E76" s="69"/>
      <c r="F76" s="70"/>
      <c r="G76" s="70"/>
      <c r="H76" s="70" t="str">
        <f>IFERROR(__xludf.DUMMYFUNCTION("""COMPUTED_VALUE"""),"Brand Reject")</f>
        <v>Brand Reject</v>
      </c>
      <c r="Q76" s="36"/>
    </row>
    <row r="77">
      <c r="A77" s="67">
        <v>75.0</v>
      </c>
      <c r="B77" s="11" t="str">
        <f>IFERROR(__xludf.DUMMYFUNCTION("""COMPUTED_VALUE"""),"GR18302")</f>
        <v>GR18302</v>
      </c>
      <c r="C77" s="11" t="str">
        <f>IFERROR(__xludf.DUMMYFUNCTION("""COMPUTED_VALUE"""),"NSHIP")</f>
        <v>NSHIP</v>
      </c>
      <c r="D77" s="68">
        <f>IFERROR(__xludf.DUMMYFUNCTION("""COMPUTED_VALUE"""),978.1974999999995)</f>
        <v>978.1975</v>
      </c>
      <c r="E77" s="69">
        <f>IFERROR(__xludf.DUMMYFUNCTION("""COMPUTED_VALUE"""),44559.0)</f>
        <v>44559</v>
      </c>
      <c r="F77" s="70" t="str">
        <f>IFERROR(__xludf.DUMMYFUNCTION("""COMPUTED_VALUE"""),"Imad")</f>
        <v>Imad</v>
      </c>
      <c r="G77" s="70" t="str">
        <f>IFERROR(__xludf.DUMMYFUNCTION("""COMPUTED_VALUE"""),"Shop'Drop (SFBA)")</f>
        <v>Shop'Drop (SFBA)</v>
      </c>
      <c r="H77" s="70"/>
      <c r="Q77" s="36"/>
    </row>
    <row r="78">
      <c r="A78" s="67">
        <v>76.0</v>
      </c>
      <c r="B78" s="11" t="str">
        <f>IFERROR(__xludf.DUMMYFUNCTION("""COMPUTED_VALUE"""),"LC18303")</f>
        <v>LC18303</v>
      </c>
      <c r="C78" s="11" t="str">
        <f>IFERROR(__xludf.DUMMYFUNCTION("""COMPUTED_VALUE"""),"NSHIP")</f>
        <v>NSHIP</v>
      </c>
      <c r="D78" s="68">
        <f>IFERROR(__xludf.DUMMYFUNCTION("""COMPUTED_VALUE"""),246.75)</f>
        <v>246.75</v>
      </c>
      <c r="E78" s="69">
        <f>IFERROR(__xludf.DUMMYFUNCTION("""COMPUTED_VALUE"""),44559.0)</f>
        <v>44559</v>
      </c>
      <c r="F78" s="70" t="str">
        <f>IFERROR(__xludf.DUMMYFUNCTION("""COMPUTED_VALUE"""),"Greg Champagne")</f>
        <v>Greg Champagne</v>
      </c>
      <c r="G78" s="70" t="str">
        <f>IFERROR(__xludf.DUMMYFUNCTION("""COMPUTED_VALUE"""),"Champagne0711 (SE)")</f>
        <v>Champagne0711 (SE)</v>
      </c>
      <c r="H78" s="70"/>
      <c r="Q78" s="36"/>
    </row>
    <row r="79">
      <c r="A79" s="67">
        <v>77.0</v>
      </c>
      <c r="B79" s="11" t="str">
        <f>IFERROR(__xludf.DUMMYFUNCTION("""COMPUTED_VALUE"""),"LC18304")</f>
        <v>LC18304</v>
      </c>
      <c r="C79" s="11" t="str">
        <f>IFERROR(__xludf.DUMMYFUNCTION("""COMPUTED_VALUE"""),"SHIP")</f>
        <v>SHIP</v>
      </c>
      <c r="D79" s="68">
        <f>IFERROR(__xludf.DUMMYFUNCTION("""COMPUTED_VALUE"""),324.495)</f>
        <v>324.495</v>
      </c>
      <c r="E79" s="69"/>
      <c r="F79" s="70" t="str">
        <f>IFERROR(__xludf.DUMMYFUNCTION("""COMPUTED_VALUE"""),"Cody Krueger")</f>
        <v>Cody Krueger</v>
      </c>
      <c r="G79" s="70"/>
      <c r="H79" s="70" t="str">
        <f>IFERROR(__xludf.DUMMYFUNCTION("""COMPUTED_VALUE"""),"No Working Status")</f>
        <v>No Working Status</v>
      </c>
      <c r="Q79" s="36"/>
    </row>
    <row r="80">
      <c r="A80" s="67">
        <v>78.0</v>
      </c>
      <c r="B80" s="11" t="str">
        <f>IFERROR(__xludf.DUMMYFUNCTION("""COMPUTED_VALUE"""),"LC18305")</f>
        <v>LC18305</v>
      </c>
      <c r="C80" s="11" t="str">
        <f>IFERROR(__xludf.DUMMYFUNCTION("""COMPUTED_VALUE"""),"NSHIP")</f>
        <v>NSHIP</v>
      </c>
      <c r="D80" s="68">
        <f>IFERROR(__xludf.DUMMYFUNCTION("""COMPUTED_VALUE"""),376.25)</f>
        <v>376.25</v>
      </c>
      <c r="E80" s="69">
        <f>IFERROR(__xludf.DUMMYFUNCTION("""COMPUTED_VALUE"""),44475.0)</f>
        <v>44475</v>
      </c>
      <c r="F80" s="70" t="str">
        <f>IFERROR(__xludf.DUMMYFUNCTION("""COMPUTED_VALUE"""),"Yuslein Sotolongo")</f>
        <v>Yuslein Sotolongo</v>
      </c>
      <c r="G80" s="70" t="str">
        <f>IFERROR(__xludf.DUMMYFUNCTION("""COMPUTED_VALUE"""),"KCYLLC (SFBA)")</f>
        <v>KCYLLC (SFBA)</v>
      </c>
      <c r="H80" s="70"/>
      <c r="Q80" s="36"/>
    </row>
    <row r="81">
      <c r="A81" s="67">
        <v>79.0</v>
      </c>
      <c r="B81" s="11" t="str">
        <f>IFERROR(__xludf.DUMMYFUNCTION("""COMPUTED_VALUE"""),"LC18306")</f>
        <v>LC18306</v>
      </c>
      <c r="C81" s="11" t="str">
        <f>IFERROR(__xludf.DUMMYFUNCTION("""COMPUTED_VALUE"""),"SHIP")</f>
        <v>SHIP</v>
      </c>
      <c r="D81" s="68">
        <f>IFERROR(__xludf.DUMMYFUNCTION("""COMPUTED_VALUE"""),175.5)</f>
        <v>175.5</v>
      </c>
      <c r="E81" s="69">
        <f>IFERROR(__xludf.DUMMYFUNCTION("""COMPUTED_VALUE"""),44498.0)</f>
        <v>44498</v>
      </c>
      <c r="F81" s="70" t="str">
        <f>IFERROR(__xludf.DUMMYFUNCTION("""COMPUTED_VALUE"""),"Latif McDonald")</f>
        <v>Latif McDonald</v>
      </c>
      <c r="G81" s="70" t="str">
        <f>IFERROR(__xludf.DUMMYFUNCTION("""COMPUTED_VALUE"""),"Now LLC (SFBA)")</f>
        <v>Now LLC (SFBA)</v>
      </c>
      <c r="H81" s="70"/>
      <c r="Q81" s="36"/>
    </row>
    <row r="82">
      <c r="A82" s="67">
        <v>80.0</v>
      </c>
      <c r="B82" s="11" t="str">
        <f>IFERROR(__xludf.DUMMYFUNCTION("""COMPUTED_VALUE"""),"LC18307")</f>
        <v>LC18307</v>
      </c>
      <c r="C82" s="11" t="str">
        <f>IFERROR(__xludf.DUMMYFUNCTION("""COMPUTED_VALUE"""),"NSHIP")</f>
        <v>NSHIP</v>
      </c>
      <c r="D82" s="68">
        <f>IFERROR(__xludf.DUMMYFUNCTION("""COMPUTED_VALUE"""),214.6225)</f>
        <v>214.6225</v>
      </c>
      <c r="E82" s="69">
        <f>IFERROR(__xludf.DUMMYFUNCTION("""COMPUTED_VALUE"""),44501.0)</f>
        <v>44501</v>
      </c>
      <c r="F82" s="70" t="str">
        <f>IFERROR(__xludf.DUMMYFUNCTION("""COMPUTED_VALUE"""),"Kim Pham")</f>
        <v>Kim Pham</v>
      </c>
      <c r="G82" s="70" t="str">
        <f>IFERROR(__xludf.DUMMYFUNCTION("""COMPUTED_VALUE"""),"Pham Ecom Corporation (SFBA)")</f>
        <v>Pham Ecom Corporation (SFBA)</v>
      </c>
      <c r="H82" s="70"/>
      <c r="Q82" s="36"/>
    </row>
    <row r="83">
      <c r="A83" s="67">
        <v>81.0</v>
      </c>
      <c r="B83" s="11" t="str">
        <f>IFERROR(__xludf.DUMMYFUNCTION("""COMPUTED_VALUE"""),"LC18308")</f>
        <v>LC18308</v>
      </c>
      <c r="C83" s="11" t="str">
        <f>IFERROR(__xludf.DUMMYFUNCTION("""COMPUTED_VALUE"""),"NSHIP")</f>
        <v>NSHIP</v>
      </c>
      <c r="D83" s="68">
        <f>IFERROR(__xludf.DUMMYFUNCTION("""COMPUTED_VALUE"""),279.8575)</f>
        <v>279.8575</v>
      </c>
      <c r="E83" s="69">
        <f>IFERROR(__xludf.DUMMYFUNCTION("""COMPUTED_VALUE"""),44502.0)</f>
        <v>44502</v>
      </c>
      <c r="F83" s="70" t="str">
        <f>IFERROR(__xludf.DUMMYFUNCTION("""COMPUTED_VALUE"""),"Mykel Ruptash")</f>
        <v>Mykel Ruptash</v>
      </c>
      <c r="G83" s="70" t="str">
        <f>IFERROR(__xludf.DUMMYFUNCTION("""COMPUTED_VALUE"""),"Blue Essence (SE)")</f>
        <v>Blue Essence (SE)</v>
      </c>
      <c r="H83" s="70"/>
      <c r="Q83" s="36"/>
    </row>
    <row r="84">
      <c r="A84" s="67">
        <v>82.0</v>
      </c>
      <c r="B84" s="11" t="str">
        <f>IFERROR(__xludf.DUMMYFUNCTION("""COMPUTED_VALUE"""),"CL18770")</f>
        <v>CL18770</v>
      </c>
      <c r="C84" s="11" t="str">
        <f>IFERROR(__xludf.DUMMYFUNCTION("""COMPUTED_VALUE"""),"SHIP")</f>
        <v>SHIP</v>
      </c>
      <c r="D84" s="68">
        <f>IFERROR(__xludf.DUMMYFUNCTION("""COMPUTED_VALUE"""),278.99666666666667)</f>
        <v>278.9966667</v>
      </c>
      <c r="E84" s="69">
        <f>IFERROR(__xludf.DUMMYFUNCTION("""COMPUTED_VALUE"""),44502.0)</f>
        <v>44502</v>
      </c>
      <c r="F84" s="70" t="str">
        <f>IFERROR(__xludf.DUMMYFUNCTION("""COMPUTED_VALUE"""),"Oscar Fontalvo")</f>
        <v>Oscar Fontalvo</v>
      </c>
      <c r="G84" s="70" t="str">
        <f>IFERROR(__xludf.DUMMYFUNCTION("""COMPUTED_VALUE"""),"MIA Fashion Deals (SFBA)")</f>
        <v>MIA Fashion Deals (SFBA)</v>
      </c>
      <c r="H84" s="70"/>
      <c r="Q84" s="36"/>
    </row>
    <row r="85">
      <c r="A85" s="67">
        <v>83.0</v>
      </c>
      <c r="B85" s="11" t="str">
        <f>IFERROR(__xludf.DUMMYFUNCTION("""COMPUTED_VALUE"""),"CL18771")</f>
        <v>CL18771</v>
      </c>
      <c r="C85" s="11" t="str">
        <f>IFERROR(__xludf.DUMMYFUNCTION("""COMPUTED_VALUE"""),"NSHIP")</f>
        <v>NSHIP</v>
      </c>
      <c r="D85" s="68">
        <f>IFERROR(__xludf.DUMMYFUNCTION("""COMPUTED_VALUE"""),380.66666666666674)</f>
        <v>380.6666667</v>
      </c>
      <c r="E85" s="69">
        <f>IFERROR(__xludf.DUMMYFUNCTION("""COMPUTED_VALUE"""),44502.0)</f>
        <v>44502</v>
      </c>
      <c r="F85" s="70" t="str">
        <f>IFERROR(__xludf.DUMMYFUNCTION("""COMPUTED_VALUE"""),"Oscar Fontalvo")</f>
        <v>Oscar Fontalvo</v>
      </c>
      <c r="G85" s="70" t="str">
        <f>IFERROR(__xludf.DUMMYFUNCTION("""COMPUTED_VALUE"""),"MIA Fashion Deals (SFBA)")</f>
        <v>MIA Fashion Deals (SFBA)</v>
      </c>
      <c r="H85" s="70"/>
      <c r="Q85" s="36"/>
    </row>
    <row r="86">
      <c r="A86" s="67">
        <v>84.0</v>
      </c>
      <c r="B86" s="11" t="str">
        <f>IFERROR(__xludf.DUMMYFUNCTION("""COMPUTED_VALUE"""),"CL18772")</f>
        <v>CL18772</v>
      </c>
      <c r="C86" s="11" t="str">
        <f>IFERROR(__xludf.DUMMYFUNCTION("""COMPUTED_VALUE"""),"SHIP")</f>
        <v>SHIP</v>
      </c>
      <c r="D86" s="68">
        <f>IFERROR(__xludf.DUMMYFUNCTION("""COMPUTED_VALUE"""),59.0)</f>
        <v>59</v>
      </c>
      <c r="E86" s="69">
        <f>IFERROR(__xludf.DUMMYFUNCTION("""COMPUTED_VALUE"""),44502.0)</f>
        <v>44502</v>
      </c>
      <c r="F86" s="70" t="str">
        <f>IFERROR(__xludf.DUMMYFUNCTION("""COMPUTED_VALUE"""),"Oscar Fontalvo")</f>
        <v>Oscar Fontalvo</v>
      </c>
      <c r="G86" s="70" t="str">
        <f>IFERROR(__xludf.DUMMYFUNCTION("""COMPUTED_VALUE"""),"MIA Fashion Deals (SFBA)")</f>
        <v>MIA Fashion Deals (SFBA)</v>
      </c>
      <c r="H86" s="70"/>
      <c r="Q86" s="36"/>
    </row>
    <row r="87">
      <c r="A87" s="67">
        <v>85.0</v>
      </c>
      <c r="B87" s="11" t="str">
        <f>IFERROR(__xludf.DUMMYFUNCTION("""COMPUTED_VALUE"""),"CL18773")</f>
        <v>CL18773</v>
      </c>
      <c r="C87" s="11" t="str">
        <f>IFERROR(__xludf.DUMMYFUNCTION("""COMPUTED_VALUE"""),"NSHIP")</f>
        <v>NSHIP</v>
      </c>
      <c r="D87" s="68">
        <f>IFERROR(__xludf.DUMMYFUNCTION("""COMPUTED_VALUE"""),631.6633333333333)</f>
        <v>631.6633333</v>
      </c>
      <c r="E87" s="69">
        <f>IFERROR(__xludf.DUMMYFUNCTION("""COMPUTED_VALUE"""),44502.0)</f>
        <v>44502</v>
      </c>
      <c r="F87" s="70" t="str">
        <f>IFERROR(__xludf.DUMMYFUNCTION("""COMPUTED_VALUE"""),"Oscar Fontalvo")</f>
        <v>Oscar Fontalvo</v>
      </c>
      <c r="G87" s="70" t="str">
        <f>IFERROR(__xludf.DUMMYFUNCTION("""COMPUTED_VALUE"""),"MIA Fashion Deals (SFBA)")</f>
        <v>MIA Fashion Deals (SFBA)</v>
      </c>
      <c r="H87" s="70"/>
      <c r="Q87" s="36"/>
    </row>
    <row r="88">
      <c r="A88" s="67">
        <v>86.0</v>
      </c>
      <c r="B88" s="11" t="str">
        <f>IFERROR(__xludf.DUMMYFUNCTION("""COMPUTED_VALUE"""),"CL18774")</f>
        <v>CL18774</v>
      </c>
      <c r="C88" s="11" t="str">
        <f>IFERROR(__xludf.DUMMYFUNCTION("""COMPUTED_VALUE"""),"NSHIP")</f>
        <v>NSHIP</v>
      </c>
      <c r="D88" s="68">
        <f>IFERROR(__xludf.DUMMYFUNCTION("""COMPUTED_VALUE"""),362.33333333333337)</f>
        <v>362.3333333</v>
      </c>
      <c r="E88" s="69">
        <f>IFERROR(__xludf.DUMMYFUNCTION("""COMPUTED_VALUE"""),44502.0)</f>
        <v>44502</v>
      </c>
      <c r="F88" s="70" t="str">
        <f>IFERROR(__xludf.DUMMYFUNCTION("""COMPUTED_VALUE"""),"Oscar Fontalvo")</f>
        <v>Oscar Fontalvo</v>
      </c>
      <c r="G88" s="70" t="str">
        <f>IFERROR(__xludf.DUMMYFUNCTION("""COMPUTED_VALUE"""),"MIA Fashion Deals (SFBA)")</f>
        <v>MIA Fashion Deals (SFBA)</v>
      </c>
      <c r="H88" s="70"/>
      <c r="Q88" s="36"/>
    </row>
    <row r="89">
      <c r="A89" s="67">
        <v>87.0</v>
      </c>
      <c r="B89" s="11" t="str">
        <f>IFERROR(__xludf.DUMMYFUNCTION("""COMPUTED_VALUE"""),"CL18775")</f>
        <v>CL18775</v>
      </c>
      <c r="C89" s="11" t="str">
        <f>IFERROR(__xludf.DUMMYFUNCTION("""COMPUTED_VALUE"""),"SHIP")</f>
        <v>SHIP</v>
      </c>
      <c r="D89" s="68">
        <f>IFERROR(__xludf.DUMMYFUNCTION("""COMPUTED_VALUE"""),277.6666666666667)</f>
        <v>277.6666667</v>
      </c>
      <c r="E89" s="69">
        <f>IFERROR(__xludf.DUMMYFUNCTION("""COMPUTED_VALUE"""),44559.0)</f>
        <v>44559</v>
      </c>
      <c r="F89" s="70" t="str">
        <f>IFERROR(__xludf.DUMMYFUNCTION("""COMPUTED_VALUE"""),"Roop Bath")</f>
        <v>Roop Bath</v>
      </c>
      <c r="G89" s="70" t="str">
        <f>IFERROR(__xludf.DUMMYFUNCTION("""COMPUTED_VALUE"""),"A1 Wholesale Supplies")</f>
        <v>A1 Wholesale Supplies</v>
      </c>
      <c r="H89" s="70"/>
      <c r="Q89" s="36"/>
    </row>
    <row r="90">
      <c r="A90" s="67">
        <v>88.0</v>
      </c>
      <c r="B90" s="11" t="str">
        <f>IFERROR(__xludf.DUMMYFUNCTION("""COMPUTED_VALUE"""),"CL18776")</f>
        <v>CL18776</v>
      </c>
      <c r="C90" s="11" t="str">
        <f>IFERROR(__xludf.DUMMYFUNCTION("""COMPUTED_VALUE"""),"NSHIP")</f>
        <v>NSHIP</v>
      </c>
      <c r="D90" s="68">
        <f>IFERROR(__xludf.DUMMYFUNCTION("""COMPUTED_VALUE"""),168.93333333333334)</f>
        <v>168.9333333</v>
      </c>
      <c r="E90" s="69">
        <f>IFERROR(__xludf.DUMMYFUNCTION("""COMPUTED_VALUE"""),44559.0)</f>
        <v>44559</v>
      </c>
      <c r="F90" s="70" t="str">
        <f>IFERROR(__xludf.DUMMYFUNCTION("""COMPUTED_VALUE"""),"Roop Bath")</f>
        <v>Roop Bath</v>
      </c>
      <c r="G90" s="70" t="str">
        <f>IFERROR(__xludf.DUMMYFUNCTION("""COMPUTED_VALUE"""),"A1 Wholesale Supplies")</f>
        <v>A1 Wholesale Supplies</v>
      </c>
      <c r="H90" s="70"/>
      <c r="Q90" s="36"/>
    </row>
    <row r="91">
      <c r="A91" s="67">
        <v>89.0</v>
      </c>
      <c r="B91" s="11" t="str">
        <f>IFERROR(__xludf.DUMMYFUNCTION("""COMPUTED_VALUE"""),"CL18777")</f>
        <v>CL18777</v>
      </c>
      <c r="C91" s="11" t="str">
        <f>IFERROR(__xludf.DUMMYFUNCTION("""COMPUTED_VALUE"""),"NSHIP")</f>
        <v>NSHIP</v>
      </c>
      <c r="D91" s="68">
        <f>IFERROR(__xludf.DUMMYFUNCTION("""COMPUTED_VALUE"""),126.66666666666666)</f>
        <v>126.6666667</v>
      </c>
      <c r="E91" s="69">
        <f>IFERROR(__xludf.DUMMYFUNCTION("""COMPUTED_VALUE"""),44510.0)</f>
        <v>44510</v>
      </c>
      <c r="F91" s="70" t="str">
        <f>IFERROR(__xludf.DUMMYFUNCTION("""COMPUTED_VALUE"""),"Kara Cooper")</f>
        <v>Kara Cooper</v>
      </c>
      <c r="G91" s="70" t="str">
        <f>IFERROR(__xludf.DUMMYFUNCTION("""COMPUTED_VALUE"""),"Karuka (SE)")</f>
        <v>Karuka (SE)</v>
      </c>
      <c r="H91" s="70"/>
      <c r="Q91" s="36"/>
    </row>
    <row r="92">
      <c r="A92" s="67">
        <v>90.0</v>
      </c>
      <c r="B92" s="11" t="str">
        <f>IFERROR(__xludf.DUMMYFUNCTION("""COMPUTED_VALUE"""),"CL18778")</f>
        <v>CL18778</v>
      </c>
      <c r="C92" s="11" t="str">
        <f>IFERROR(__xludf.DUMMYFUNCTION("""COMPUTED_VALUE"""),"NSHIP")</f>
        <v>NSHIP</v>
      </c>
      <c r="D92" s="68">
        <f>IFERROR(__xludf.DUMMYFUNCTION("""COMPUTED_VALUE"""),359.43333333333334)</f>
        <v>359.4333333</v>
      </c>
      <c r="E92" s="69">
        <f>IFERROR(__xludf.DUMMYFUNCTION("""COMPUTED_VALUE"""),44510.0)</f>
        <v>44510</v>
      </c>
      <c r="F92" s="70" t="str">
        <f>IFERROR(__xludf.DUMMYFUNCTION("""COMPUTED_VALUE"""),"Kara Cooper")</f>
        <v>Kara Cooper</v>
      </c>
      <c r="G92" s="70" t="str">
        <f>IFERROR(__xludf.DUMMYFUNCTION("""COMPUTED_VALUE"""),"Karuka (SE)")</f>
        <v>Karuka (SE)</v>
      </c>
      <c r="H92" s="70"/>
      <c r="Q92" s="36"/>
    </row>
    <row r="93">
      <c r="A93" s="67">
        <v>91.0</v>
      </c>
      <c r="B93" s="11" t="str">
        <f>IFERROR(__xludf.DUMMYFUNCTION("""COMPUTED_VALUE"""),"CL18779")</f>
        <v>CL18779</v>
      </c>
      <c r="C93" s="11" t="str">
        <f>IFERROR(__xludf.DUMMYFUNCTION("""COMPUTED_VALUE"""),"NSHIP")</f>
        <v>NSHIP</v>
      </c>
      <c r="D93" s="68">
        <f>IFERROR(__xludf.DUMMYFUNCTION("""COMPUTED_VALUE"""),130.33333333333334)</f>
        <v>130.3333333</v>
      </c>
      <c r="E93" s="69">
        <f>IFERROR(__xludf.DUMMYFUNCTION("""COMPUTED_VALUE"""),44510.0)</f>
        <v>44510</v>
      </c>
      <c r="F93" s="70" t="str">
        <f>IFERROR(__xludf.DUMMYFUNCTION("""COMPUTED_VALUE"""),"Kara Cooper")</f>
        <v>Kara Cooper</v>
      </c>
      <c r="G93" s="70" t="str">
        <f>IFERROR(__xludf.DUMMYFUNCTION("""COMPUTED_VALUE"""),"Karuka (SE)")</f>
        <v>Karuka (SE)</v>
      </c>
      <c r="H93" s="70"/>
      <c r="Q93" s="36"/>
    </row>
    <row r="94">
      <c r="A94" s="67">
        <v>92.0</v>
      </c>
      <c r="B94" s="11" t="str">
        <f>IFERROR(__xludf.DUMMYFUNCTION("""COMPUTED_VALUE"""),"CL18780")</f>
        <v>CL18780</v>
      </c>
      <c r="C94" s="11" t="str">
        <f>IFERROR(__xludf.DUMMYFUNCTION("""COMPUTED_VALUE"""),"SHIP")</f>
        <v>SHIP</v>
      </c>
      <c r="D94" s="68">
        <f>IFERROR(__xludf.DUMMYFUNCTION("""COMPUTED_VALUE"""),74.33333333333333)</f>
        <v>74.33333333</v>
      </c>
      <c r="E94" s="69"/>
      <c r="F94" s="70"/>
      <c r="G94" s="70"/>
      <c r="H94" s="70" t="str">
        <f>IFERROR(__xludf.DUMMYFUNCTION("""COMPUTED_VALUE"""),"Storage Limit")</f>
        <v>Storage Limit</v>
      </c>
      <c r="Q94" s="36"/>
    </row>
    <row r="95">
      <c r="A95" s="67">
        <v>93.0</v>
      </c>
      <c r="B95" s="11" t="str">
        <f>IFERROR(__xludf.DUMMYFUNCTION("""COMPUTED_VALUE"""),"CL18781")</f>
        <v>CL18781</v>
      </c>
      <c r="C95" s="11" t="str">
        <f>IFERROR(__xludf.DUMMYFUNCTION("""COMPUTED_VALUE"""),"NSHIP")</f>
        <v>NSHIP</v>
      </c>
      <c r="D95" s="68">
        <f>IFERROR(__xludf.DUMMYFUNCTION("""COMPUTED_VALUE"""),69.32666666666667)</f>
        <v>69.32666667</v>
      </c>
      <c r="E95" s="69"/>
      <c r="F95" s="70"/>
      <c r="G95" s="70"/>
      <c r="H95" s="70" t="str">
        <f>IFERROR(__xludf.DUMMYFUNCTION("""COMPUTED_VALUE"""),"Brand Reject")</f>
        <v>Brand Reject</v>
      </c>
      <c r="Q95" s="36"/>
    </row>
    <row r="96">
      <c r="A96" s="67">
        <v>94.0</v>
      </c>
      <c r="B96" s="11" t="str">
        <f>IFERROR(__xludf.DUMMYFUNCTION("""COMPUTED_VALUE"""),"CL18782")</f>
        <v>CL18782</v>
      </c>
      <c r="C96" s="11" t="str">
        <f>IFERROR(__xludf.DUMMYFUNCTION("""COMPUTED_VALUE"""),"NSHIP")</f>
        <v>NSHIP</v>
      </c>
      <c r="D96" s="68">
        <f>IFERROR(__xludf.DUMMYFUNCTION("""COMPUTED_VALUE"""),55.666666666666664)</f>
        <v>55.66666667</v>
      </c>
      <c r="E96" s="69">
        <f>IFERROR(__xludf.DUMMYFUNCTION("""COMPUTED_VALUE"""),44510.0)</f>
        <v>44510</v>
      </c>
      <c r="F96" s="70" t="str">
        <f>IFERROR(__xludf.DUMMYFUNCTION("""COMPUTED_VALUE"""),"Kara Cooper")</f>
        <v>Kara Cooper</v>
      </c>
      <c r="G96" s="70" t="str">
        <f>IFERROR(__xludf.DUMMYFUNCTION("""COMPUTED_VALUE"""),"Karuka (SE)")</f>
        <v>Karuka (SE)</v>
      </c>
      <c r="H96" s="70"/>
      <c r="Q96" s="36"/>
    </row>
    <row r="97">
      <c r="A97" s="67">
        <v>95.0</v>
      </c>
      <c r="B97" s="11" t="str">
        <f>IFERROR(__xludf.DUMMYFUNCTION("""COMPUTED_VALUE"""),"CL18783")</f>
        <v>CL18783</v>
      </c>
      <c r="C97" s="11" t="str">
        <f>IFERROR(__xludf.DUMMYFUNCTION("""COMPUTED_VALUE"""),"NSHIP")</f>
        <v>NSHIP</v>
      </c>
      <c r="D97" s="68">
        <f>IFERROR(__xludf.DUMMYFUNCTION("""COMPUTED_VALUE"""),94.95)</f>
        <v>94.95</v>
      </c>
      <c r="E97" s="69">
        <f>IFERROR(__xludf.DUMMYFUNCTION("""COMPUTED_VALUE"""),44510.0)</f>
        <v>44510</v>
      </c>
      <c r="F97" s="70" t="str">
        <f>IFERROR(__xludf.DUMMYFUNCTION("""COMPUTED_VALUE"""),"Kara Cooper")</f>
        <v>Kara Cooper</v>
      </c>
      <c r="G97" s="70" t="str">
        <f>IFERROR(__xludf.DUMMYFUNCTION("""COMPUTED_VALUE"""),"Karuka (SE)")</f>
        <v>Karuka (SE)</v>
      </c>
      <c r="H97" s="70"/>
      <c r="Q97" s="36"/>
    </row>
    <row r="98">
      <c r="A98" s="67">
        <v>96.0</v>
      </c>
      <c r="B98" s="11" t="str">
        <f>IFERROR(__xludf.DUMMYFUNCTION("""COMPUTED_VALUE"""),"CL18784")</f>
        <v>CL18784</v>
      </c>
      <c r="C98" s="11" t="str">
        <f>IFERROR(__xludf.DUMMYFUNCTION("""COMPUTED_VALUE"""),"NSHIP")</f>
        <v>NSHIP</v>
      </c>
      <c r="D98" s="68">
        <f>IFERROR(__xludf.DUMMYFUNCTION("""COMPUTED_VALUE"""),90.0)</f>
        <v>90</v>
      </c>
      <c r="E98" s="69"/>
      <c r="F98" s="70"/>
      <c r="G98" s="70"/>
      <c r="H98" s="70" t="str">
        <f>IFERROR(__xludf.DUMMYFUNCTION("""COMPUTED_VALUE"""),"Brand Reject")</f>
        <v>Brand Reject</v>
      </c>
      <c r="Q98" s="36"/>
    </row>
    <row r="99">
      <c r="A99" s="67">
        <v>97.0</v>
      </c>
      <c r="B99" s="11" t="str">
        <f>IFERROR(__xludf.DUMMYFUNCTION("""COMPUTED_VALUE"""),"CL18785")</f>
        <v>CL18785</v>
      </c>
      <c r="C99" s="11" t="str">
        <f>IFERROR(__xludf.DUMMYFUNCTION("""COMPUTED_VALUE"""),"NSHIP")</f>
        <v>NSHIP</v>
      </c>
      <c r="D99" s="68">
        <f>IFERROR(__xludf.DUMMYFUNCTION("""COMPUTED_VALUE"""),79.33333333333333)</f>
        <v>79.33333333</v>
      </c>
      <c r="E99" s="69">
        <f>IFERROR(__xludf.DUMMYFUNCTION("""COMPUTED_VALUE"""),44510.0)</f>
        <v>44510</v>
      </c>
      <c r="F99" s="70" t="str">
        <f>IFERROR(__xludf.DUMMYFUNCTION("""COMPUTED_VALUE"""),"Kara Cooper")</f>
        <v>Kara Cooper</v>
      </c>
      <c r="G99" s="70" t="str">
        <f>IFERROR(__xludf.DUMMYFUNCTION("""COMPUTED_VALUE"""),"Karuka (SE)")</f>
        <v>Karuka (SE)</v>
      </c>
      <c r="H99" s="70"/>
      <c r="Q99" s="36"/>
    </row>
    <row r="100">
      <c r="A100" s="67">
        <v>98.0</v>
      </c>
      <c r="B100" s="11" t="str">
        <f>IFERROR(__xludf.DUMMYFUNCTION("""COMPUTED_VALUE"""),"CL18786")</f>
        <v>CL18786</v>
      </c>
      <c r="C100" s="11" t="str">
        <f>IFERROR(__xludf.DUMMYFUNCTION("""COMPUTED_VALUE"""),"NSHIP")</f>
        <v>NSHIP</v>
      </c>
      <c r="D100" s="68">
        <f>IFERROR(__xludf.DUMMYFUNCTION("""COMPUTED_VALUE"""),89.96666666666667)</f>
        <v>89.96666667</v>
      </c>
      <c r="E100" s="69">
        <f>IFERROR(__xludf.DUMMYFUNCTION("""COMPUTED_VALUE"""),44510.0)</f>
        <v>44510</v>
      </c>
      <c r="F100" s="70" t="str">
        <f>IFERROR(__xludf.DUMMYFUNCTION("""COMPUTED_VALUE"""),"Kara Cooper")</f>
        <v>Kara Cooper</v>
      </c>
      <c r="G100" s="70" t="str">
        <f>IFERROR(__xludf.DUMMYFUNCTION("""COMPUTED_VALUE"""),"Karuka (SE)")</f>
        <v>Karuka (SE)</v>
      </c>
      <c r="H100" s="70"/>
      <c r="Q100" s="36"/>
    </row>
    <row r="101">
      <c r="A101" s="67">
        <v>99.0</v>
      </c>
      <c r="B101" s="11" t="str">
        <f>IFERROR(__xludf.DUMMYFUNCTION("""COMPUTED_VALUE"""),"CL18787")</f>
        <v>CL18787</v>
      </c>
      <c r="C101" s="11" t="str">
        <f>IFERROR(__xludf.DUMMYFUNCTION("""COMPUTED_VALUE"""),"SHIP")</f>
        <v>SHIP</v>
      </c>
      <c r="D101" s="68">
        <f>IFERROR(__xludf.DUMMYFUNCTION("""COMPUTED_VALUE"""),108.0)</f>
        <v>108</v>
      </c>
      <c r="E101" s="69"/>
      <c r="F101" s="70"/>
      <c r="G101" s="70"/>
      <c r="H101" s="70" t="str">
        <f>IFERROR(__xludf.DUMMYFUNCTION("""COMPUTED_VALUE"""),"Storage Limit")</f>
        <v>Storage Limit</v>
      </c>
      <c r="Q101" s="36"/>
    </row>
    <row r="102">
      <c r="A102" s="67">
        <v>100.0</v>
      </c>
      <c r="B102" s="11" t="str">
        <f>IFERROR(__xludf.DUMMYFUNCTION("""COMPUTED_VALUE"""),"CL18788")</f>
        <v>CL18788</v>
      </c>
      <c r="C102" s="11" t="str">
        <f>IFERROR(__xludf.DUMMYFUNCTION("""COMPUTED_VALUE"""),"NSHIP")</f>
        <v>NSHIP</v>
      </c>
      <c r="D102" s="68">
        <f>IFERROR(__xludf.DUMMYFUNCTION("""COMPUTED_VALUE"""),128.66666666666669)</f>
        <v>128.6666667</v>
      </c>
      <c r="E102" s="69">
        <f>IFERROR(__xludf.DUMMYFUNCTION("""COMPUTED_VALUE"""),44510.0)</f>
        <v>44510</v>
      </c>
      <c r="F102" s="70" t="str">
        <f>IFERROR(__xludf.DUMMYFUNCTION("""COMPUTED_VALUE"""),"Kara Cooper")</f>
        <v>Kara Cooper</v>
      </c>
      <c r="G102" s="70" t="str">
        <f>IFERROR(__xludf.DUMMYFUNCTION("""COMPUTED_VALUE"""),"Karuka (SE)")</f>
        <v>Karuka (SE)</v>
      </c>
      <c r="H102" s="70"/>
      <c r="Q102" s="36"/>
    </row>
    <row r="103">
      <c r="A103" s="67">
        <v>101.0</v>
      </c>
      <c r="B103" s="11" t="str">
        <f>IFERROR(__xludf.DUMMYFUNCTION("""COMPUTED_VALUE"""),"CL18789")</f>
        <v>CL18789</v>
      </c>
      <c r="C103" s="11" t="str">
        <f>IFERROR(__xludf.DUMMYFUNCTION("""COMPUTED_VALUE"""),"NSHIP")</f>
        <v>NSHIP</v>
      </c>
      <c r="D103" s="68">
        <f>IFERROR(__xludf.DUMMYFUNCTION("""COMPUTED_VALUE"""),95.33333333333334)</f>
        <v>95.33333333</v>
      </c>
      <c r="E103" s="69">
        <f>IFERROR(__xludf.DUMMYFUNCTION("""COMPUTED_VALUE"""),44510.0)</f>
        <v>44510</v>
      </c>
      <c r="F103" s="70" t="str">
        <f>IFERROR(__xludf.DUMMYFUNCTION("""COMPUTED_VALUE"""),"Kara Cooper")</f>
        <v>Kara Cooper</v>
      </c>
      <c r="G103" s="70" t="str">
        <f>IFERROR(__xludf.DUMMYFUNCTION("""COMPUTED_VALUE"""),"Karuka (SE)")</f>
        <v>Karuka (SE)</v>
      </c>
      <c r="H103" s="70"/>
      <c r="Q103" s="36"/>
    </row>
    <row r="104">
      <c r="A104" s="67">
        <v>102.0</v>
      </c>
      <c r="B104" s="11" t="str">
        <f>IFERROR(__xludf.DUMMYFUNCTION("""COMPUTED_VALUE"""),"CL18790")</f>
        <v>CL18790</v>
      </c>
      <c r="C104" s="11" t="str">
        <f>IFERROR(__xludf.DUMMYFUNCTION("""COMPUTED_VALUE"""),"NSHIP")</f>
        <v>NSHIP</v>
      </c>
      <c r="D104" s="68">
        <f>IFERROR(__xludf.DUMMYFUNCTION("""COMPUTED_VALUE"""),76.63999999999999)</f>
        <v>76.64</v>
      </c>
      <c r="E104" s="69"/>
      <c r="F104" s="70"/>
      <c r="G104" s="70"/>
      <c r="H104" s="70" t="str">
        <f>IFERROR(__xludf.DUMMYFUNCTION("""COMPUTED_VALUE"""),"Brand Reject")</f>
        <v>Brand Reject</v>
      </c>
      <c r="Q104" s="36"/>
    </row>
    <row r="105">
      <c r="A105" s="67">
        <v>103.0</v>
      </c>
      <c r="B105" s="11" t="str">
        <f>IFERROR(__xludf.DUMMYFUNCTION("""COMPUTED_VALUE"""),"CL18791")</f>
        <v>CL18791</v>
      </c>
      <c r="C105" s="11" t="str">
        <f>IFERROR(__xludf.DUMMYFUNCTION("""COMPUTED_VALUE"""),"NSHIP")</f>
        <v>NSHIP</v>
      </c>
      <c r="D105" s="68">
        <f>IFERROR(__xludf.DUMMYFUNCTION("""COMPUTED_VALUE"""),45.0)</f>
        <v>45</v>
      </c>
      <c r="E105" s="69">
        <f>IFERROR(__xludf.DUMMYFUNCTION("""COMPUTED_VALUE"""),44559.0)</f>
        <v>44559</v>
      </c>
      <c r="F105" s="70" t="str">
        <f>IFERROR(__xludf.DUMMYFUNCTION("""COMPUTED_VALUE"""),"Greg Champagne")</f>
        <v>Greg Champagne</v>
      </c>
      <c r="G105" s="70" t="str">
        <f>IFERROR(__xludf.DUMMYFUNCTION("""COMPUTED_VALUE"""),"Champagne0711 (SE)")</f>
        <v>Champagne0711 (SE)</v>
      </c>
      <c r="H105" s="70"/>
      <c r="Q105" s="36"/>
    </row>
    <row r="106">
      <c r="A106" s="67">
        <v>104.0</v>
      </c>
      <c r="B106" s="11" t="str">
        <f>IFERROR(__xludf.DUMMYFUNCTION("""COMPUTED_VALUE"""),"CL18792")</f>
        <v>CL18792</v>
      </c>
      <c r="C106" s="11" t="str">
        <f>IFERROR(__xludf.DUMMYFUNCTION("""COMPUTED_VALUE"""),"NSHIP")</f>
        <v>NSHIP</v>
      </c>
      <c r="D106" s="68">
        <f>IFERROR(__xludf.DUMMYFUNCTION("""COMPUTED_VALUE"""),21.666666666666668)</f>
        <v>21.66666667</v>
      </c>
      <c r="E106" s="69">
        <f>IFERROR(__xludf.DUMMYFUNCTION("""COMPUTED_VALUE"""),44510.0)</f>
        <v>44510</v>
      </c>
      <c r="F106" s="70" t="str">
        <f>IFERROR(__xludf.DUMMYFUNCTION("""COMPUTED_VALUE"""),"Carolina Ojeda")</f>
        <v>Carolina Ojeda</v>
      </c>
      <c r="G106" s="70" t="str">
        <f>IFERROR(__xludf.DUMMYFUNCTION("""COMPUTED_VALUE"""),"II Rombo (SFBA)")</f>
        <v>II Rombo (SFBA)</v>
      </c>
      <c r="H106" s="70"/>
      <c r="Q106" s="36"/>
    </row>
    <row r="107">
      <c r="A107" s="67">
        <v>105.0</v>
      </c>
      <c r="B107" s="11" t="str">
        <f>IFERROR(__xludf.DUMMYFUNCTION("""COMPUTED_VALUE"""),"CL18793")</f>
        <v>CL18793</v>
      </c>
      <c r="C107" s="11" t="str">
        <f>IFERROR(__xludf.DUMMYFUNCTION("""COMPUTED_VALUE"""),"NSHIP")</f>
        <v>NSHIP</v>
      </c>
      <c r="D107" s="68">
        <f>IFERROR(__xludf.DUMMYFUNCTION("""COMPUTED_VALUE"""),33.333333333333336)</f>
        <v>33.33333333</v>
      </c>
      <c r="E107" s="69"/>
      <c r="F107" s="70"/>
      <c r="G107" s="70"/>
      <c r="H107" s="70" t="str">
        <f>IFERROR(__xludf.DUMMYFUNCTION("""COMPUTED_VALUE"""),"Brand Reject")</f>
        <v>Brand Reject</v>
      </c>
      <c r="Q107" s="36"/>
    </row>
    <row r="108">
      <c r="A108" s="67">
        <v>106.0</v>
      </c>
      <c r="B108" s="11" t="str">
        <f>IFERROR(__xludf.DUMMYFUNCTION("""COMPUTED_VALUE"""),"CL18794")</f>
        <v>CL18794</v>
      </c>
      <c r="C108" s="11" t="str">
        <f>IFERROR(__xludf.DUMMYFUNCTION("""COMPUTED_VALUE"""),"SHIP")</f>
        <v>SHIP</v>
      </c>
      <c r="D108" s="68">
        <f>IFERROR(__xludf.DUMMYFUNCTION("""COMPUTED_VALUE"""),46.65)</f>
        <v>46.65</v>
      </c>
      <c r="E108" s="69">
        <f>IFERROR(__xludf.DUMMYFUNCTION("""COMPUTED_VALUE"""),44510.0)</f>
        <v>44510</v>
      </c>
      <c r="F108" s="70" t="str">
        <f>IFERROR(__xludf.DUMMYFUNCTION("""COMPUTED_VALUE"""),"Carolina Ojeda")</f>
        <v>Carolina Ojeda</v>
      </c>
      <c r="G108" s="70" t="str">
        <f>IFERROR(__xludf.DUMMYFUNCTION("""COMPUTED_VALUE"""),"II Rombo (SFBA)")</f>
        <v>II Rombo (SFBA)</v>
      </c>
      <c r="H108" s="70"/>
      <c r="Q108" s="36"/>
    </row>
    <row r="109">
      <c r="A109" s="67">
        <v>107.0</v>
      </c>
      <c r="B109" s="11" t="str">
        <f>IFERROR(__xludf.DUMMYFUNCTION("""COMPUTED_VALUE"""),"CL18795")</f>
        <v>CL18795</v>
      </c>
      <c r="C109" s="11" t="str">
        <f>IFERROR(__xludf.DUMMYFUNCTION("""COMPUTED_VALUE"""),"SHIP")</f>
        <v>SHIP</v>
      </c>
      <c r="D109" s="68">
        <f>IFERROR(__xludf.DUMMYFUNCTION("""COMPUTED_VALUE"""),100.0)</f>
        <v>100</v>
      </c>
      <c r="E109" s="69">
        <f>IFERROR(__xludf.DUMMYFUNCTION("""COMPUTED_VALUE"""),44510.0)</f>
        <v>44510</v>
      </c>
      <c r="F109" s="70" t="str">
        <f>IFERROR(__xludf.DUMMYFUNCTION("""COMPUTED_VALUE"""),"Carolina Ojeda")</f>
        <v>Carolina Ojeda</v>
      </c>
      <c r="G109" s="70" t="str">
        <f>IFERROR(__xludf.DUMMYFUNCTION("""COMPUTED_VALUE"""),"II Rombo (SFBA)")</f>
        <v>II Rombo (SFBA)</v>
      </c>
      <c r="H109" s="70"/>
      <c r="Q109" s="36"/>
    </row>
    <row r="110">
      <c r="A110" s="67">
        <v>108.0</v>
      </c>
      <c r="B110" s="11" t="str">
        <f>IFERROR(__xludf.DUMMYFUNCTION("""COMPUTED_VALUE"""),"CL18796")</f>
        <v>CL18796</v>
      </c>
      <c r="C110" s="11" t="str">
        <f>IFERROR(__xludf.DUMMYFUNCTION("""COMPUTED_VALUE"""),"SHIP")</f>
        <v>SHIP</v>
      </c>
      <c r="D110" s="68">
        <f>IFERROR(__xludf.DUMMYFUNCTION("""COMPUTED_VALUE"""),238.0)</f>
        <v>238</v>
      </c>
      <c r="E110" s="69"/>
      <c r="F110" s="70"/>
      <c r="G110" s="70"/>
      <c r="H110" s="70" t="str">
        <f>IFERROR(__xludf.DUMMYFUNCTION("""COMPUTED_VALUE"""),"Not approved for the brand")</f>
        <v>Not approved for the brand</v>
      </c>
      <c r="Q110" s="36"/>
    </row>
    <row r="111">
      <c r="A111" s="67">
        <v>109.0</v>
      </c>
      <c r="B111" s="11" t="str">
        <f>IFERROR(__xludf.DUMMYFUNCTION("""COMPUTED_VALUE"""),"CL18797")</f>
        <v>CL18797</v>
      </c>
      <c r="C111" s="11" t="str">
        <f>IFERROR(__xludf.DUMMYFUNCTION("""COMPUTED_VALUE"""),"SHIP")</f>
        <v>SHIP</v>
      </c>
      <c r="D111" s="68">
        <f>IFERROR(__xludf.DUMMYFUNCTION("""COMPUTED_VALUE"""),33.0)</f>
        <v>33</v>
      </c>
      <c r="E111" s="69">
        <f>IFERROR(__xludf.DUMMYFUNCTION("""COMPUTED_VALUE"""),44510.0)</f>
        <v>44510</v>
      </c>
      <c r="F111" s="70" t="str">
        <f>IFERROR(__xludf.DUMMYFUNCTION("""COMPUTED_VALUE"""),"Carolina Ojeda")</f>
        <v>Carolina Ojeda</v>
      </c>
      <c r="G111" s="70" t="str">
        <f>IFERROR(__xludf.DUMMYFUNCTION("""COMPUTED_VALUE"""),"II Rombo (SFBA)")</f>
        <v>II Rombo (SFBA)</v>
      </c>
      <c r="H111" s="70"/>
      <c r="Q111" s="36"/>
    </row>
    <row r="112">
      <c r="A112" s="67">
        <v>110.0</v>
      </c>
      <c r="B112" s="11" t="str">
        <f>IFERROR(__xludf.DUMMYFUNCTION("""COMPUTED_VALUE"""),"CL18798")</f>
        <v>CL18798</v>
      </c>
      <c r="C112" s="11" t="str">
        <f>IFERROR(__xludf.DUMMYFUNCTION("""COMPUTED_VALUE"""),"SHIP")</f>
        <v>SHIP</v>
      </c>
      <c r="D112" s="68">
        <f>IFERROR(__xludf.DUMMYFUNCTION("""COMPUTED_VALUE"""),29.666666666666668)</f>
        <v>29.66666667</v>
      </c>
      <c r="E112" s="69">
        <f>IFERROR(__xludf.DUMMYFUNCTION("""COMPUTED_VALUE"""),44502.0)</f>
        <v>44502</v>
      </c>
      <c r="F112" s="70" t="str">
        <f>IFERROR(__xludf.DUMMYFUNCTION("""COMPUTED_VALUE"""),"Vikas Kapoor")</f>
        <v>Vikas Kapoor</v>
      </c>
      <c r="G112" s="70" t="str">
        <f>IFERROR(__xludf.DUMMYFUNCTION("""COMPUTED_VALUE"""),"Venus Supplies (SFBA)")</f>
        <v>Venus Supplies (SFBA)</v>
      </c>
      <c r="H112" s="70"/>
      <c r="Q112" s="36"/>
    </row>
    <row r="113">
      <c r="A113" s="67">
        <v>111.0</v>
      </c>
      <c r="B113" s="11" t="str">
        <f>IFERROR(__xludf.DUMMYFUNCTION("""COMPUTED_VALUE"""),"CL18799")</f>
        <v>CL18799</v>
      </c>
      <c r="C113" s="11" t="str">
        <f>IFERROR(__xludf.DUMMYFUNCTION("""COMPUTED_VALUE"""),"NSHIP")</f>
        <v>NSHIP</v>
      </c>
      <c r="D113" s="68">
        <f>IFERROR(__xludf.DUMMYFUNCTION("""COMPUTED_VALUE"""),36.65)</f>
        <v>36.65</v>
      </c>
      <c r="E113" s="69"/>
      <c r="F113" s="70"/>
      <c r="G113" s="70"/>
      <c r="H113" s="70" t="str">
        <f>IFERROR(__xludf.DUMMYFUNCTION("""COMPUTED_VALUE"""),"Brand Reject")</f>
        <v>Brand Reject</v>
      </c>
      <c r="Q113" s="36"/>
    </row>
    <row r="114">
      <c r="A114" s="67">
        <v>112.0</v>
      </c>
      <c r="B114" s="11" t="str">
        <f>IFERROR(__xludf.DUMMYFUNCTION("""COMPUTED_VALUE"""),"CL18710")</f>
        <v>CL18710</v>
      </c>
      <c r="C114" s="11" t="str">
        <f>IFERROR(__xludf.DUMMYFUNCTION("""COMPUTED_VALUE"""),"NSHIP")</f>
        <v>NSHIP</v>
      </c>
      <c r="D114" s="68">
        <f>IFERROR(__xludf.DUMMYFUNCTION("""COMPUTED_VALUE"""),25.0)</f>
        <v>25</v>
      </c>
      <c r="E114" s="69"/>
      <c r="F114" s="70"/>
      <c r="G114" s="70"/>
      <c r="H114" s="70" t="str">
        <f>IFERROR(__xludf.DUMMYFUNCTION("""COMPUTED_VALUE"""),"Brand Reject")</f>
        <v>Brand Reject</v>
      </c>
      <c r="Q114" s="36"/>
    </row>
    <row r="115">
      <c r="A115" s="67">
        <v>113.0</v>
      </c>
      <c r="B115" s="11" t="str">
        <f>IFERROR(__xludf.DUMMYFUNCTION("""COMPUTED_VALUE"""),"CL187101")</f>
        <v>CL187101</v>
      </c>
      <c r="C115" s="11" t="str">
        <f>IFERROR(__xludf.DUMMYFUNCTION("""COMPUTED_VALUE"""),"NSHIP")</f>
        <v>NSHIP</v>
      </c>
      <c r="D115" s="68">
        <f>IFERROR(__xludf.DUMMYFUNCTION("""COMPUTED_VALUE"""),359.65999999999997)</f>
        <v>359.66</v>
      </c>
      <c r="E115" s="69">
        <f>IFERROR(__xludf.DUMMYFUNCTION("""COMPUTED_VALUE"""),44502.0)</f>
        <v>44502</v>
      </c>
      <c r="F115" s="70" t="str">
        <f>IFERROR(__xludf.DUMMYFUNCTION("""COMPUTED_VALUE"""),"Vikas Kapoor")</f>
        <v>Vikas Kapoor</v>
      </c>
      <c r="G115" s="70" t="str">
        <f>IFERROR(__xludf.DUMMYFUNCTION("""COMPUTED_VALUE"""),"Venus Supplies (SFBA)")</f>
        <v>Venus Supplies (SFBA)</v>
      </c>
      <c r="H115" s="70"/>
      <c r="Q115" s="36"/>
    </row>
    <row r="116">
      <c r="A116" s="67">
        <v>114.0</v>
      </c>
      <c r="B116" s="11" t="str">
        <f>IFERROR(__xludf.DUMMYFUNCTION("""COMPUTED_VALUE"""),"MG18601 ")</f>
        <v>MG18601 </v>
      </c>
      <c r="C116" s="11" t="str">
        <f>IFERROR(__xludf.DUMMYFUNCTION("""COMPUTED_VALUE"""),"NSHIP")</f>
        <v>NSHIP</v>
      </c>
      <c r="D116" s="68">
        <f>IFERROR(__xludf.DUMMYFUNCTION("""COMPUTED_VALUE"""),292.87666666666667)</f>
        <v>292.8766667</v>
      </c>
      <c r="E116" s="69">
        <f>IFERROR(__xludf.DUMMYFUNCTION("""COMPUTED_VALUE"""),44510.0)</f>
        <v>44510</v>
      </c>
      <c r="F116" s="70" t="str">
        <f>IFERROR(__xludf.DUMMYFUNCTION("""COMPUTED_VALUE"""),"Carolina Ojeda")</f>
        <v>Carolina Ojeda</v>
      </c>
      <c r="G116" s="70" t="str">
        <f>IFERROR(__xludf.DUMMYFUNCTION("""COMPUTED_VALUE"""),"II Rombo (SFBA)")</f>
        <v>II Rombo (SFBA)</v>
      </c>
      <c r="H116" s="70"/>
      <c r="Q116" s="36"/>
    </row>
    <row r="117">
      <c r="A117" s="67">
        <v>115.0</v>
      </c>
      <c r="B117" s="11" t="str">
        <f>IFERROR(__xludf.DUMMYFUNCTION("""COMPUTED_VALUE"""),"MG18602 ")</f>
        <v>MG18602 </v>
      </c>
      <c r="C117" s="11" t="str">
        <f>IFERROR(__xludf.DUMMYFUNCTION("""COMPUTED_VALUE"""),"NSHIP")</f>
        <v>NSHIP</v>
      </c>
      <c r="D117" s="68">
        <f>IFERROR(__xludf.DUMMYFUNCTION("""COMPUTED_VALUE"""),313.6666666666667)</f>
        <v>313.6666667</v>
      </c>
      <c r="E117" s="69">
        <f>IFERROR(__xludf.DUMMYFUNCTION("""COMPUTED_VALUE"""),44510.0)</f>
        <v>44510</v>
      </c>
      <c r="F117" s="70" t="str">
        <f>IFERROR(__xludf.DUMMYFUNCTION("""COMPUTED_VALUE"""),"Carolina Ojeda")</f>
        <v>Carolina Ojeda</v>
      </c>
      <c r="G117" s="70" t="str">
        <f>IFERROR(__xludf.DUMMYFUNCTION("""COMPUTED_VALUE"""),"II Rombo (SFBA)")</f>
        <v>II Rombo (SFBA)</v>
      </c>
      <c r="H117" s="70"/>
      <c r="Q117" s="36"/>
    </row>
    <row r="118">
      <c r="A118" s="67">
        <v>116.0</v>
      </c>
      <c r="B118" s="11" t="str">
        <f>IFERROR(__xludf.DUMMYFUNCTION("""COMPUTED_VALUE"""),"MG18603 ")</f>
        <v>MG18603 </v>
      </c>
      <c r="C118" s="11" t="str">
        <f>IFERROR(__xludf.DUMMYFUNCTION("""COMPUTED_VALUE"""),"NSHIP")</f>
        <v>NSHIP</v>
      </c>
      <c r="D118" s="68">
        <f>IFERROR(__xludf.DUMMYFUNCTION("""COMPUTED_VALUE"""),211.2)</f>
        <v>211.2</v>
      </c>
      <c r="E118" s="69">
        <f>IFERROR(__xludf.DUMMYFUNCTION("""COMPUTED_VALUE"""),44510.0)</f>
        <v>44510</v>
      </c>
      <c r="F118" s="70" t="str">
        <f>IFERROR(__xludf.DUMMYFUNCTION("""COMPUTED_VALUE"""),"Carolina Ojeda")</f>
        <v>Carolina Ojeda</v>
      </c>
      <c r="G118" s="70" t="str">
        <f>IFERROR(__xludf.DUMMYFUNCTION("""COMPUTED_VALUE"""),"II Rombo (SFBA)")</f>
        <v>II Rombo (SFBA)</v>
      </c>
      <c r="H118" s="70"/>
      <c r="Q118" s="36"/>
    </row>
    <row r="119">
      <c r="A119" s="67">
        <v>117.0</v>
      </c>
      <c r="B119" s="11" t="str">
        <f>IFERROR(__xludf.DUMMYFUNCTION("""COMPUTED_VALUE"""),"MG18604 ")</f>
        <v>MG18604 </v>
      </c>
      <c r="C119" s="11" t="str">
        <f>IFERROR(__xludf.DUMMYFUNCTION("""COMPUTED_VALUE"""),"SHIP")</f>
        <v>SHIP</v>
      </c>
      <c r="D119" s="68">
        <f>IFERROR(__xludf.DUMMYFUNCTION("""COMPUTED_VALUE"""),543.8333333333333)</f>
        <v>543.8333333</v>
      </c>
      <c r="E119" s="69">
        <f>IFERROR(__xludf.DUMMYFUNCTION("""COMPUTED_VALUE"""),44510.0)</f>
        <v>44510</v>
      </c>
      <c r="F119" s="70" t="str">
        <f>IFERROR(__xludf.DUMMYFUNCTION("""COMPUTED_VALUE"""),"Carolina Ojeda")</f>
        <v>Carolina Ojeda</v>
      </c>
      <c r="G119" s="70" t="str">
        <f>IFERROR(__xludf.DUMMYFUNCTION("""COMPUTED_VALUE"""),"II Rombo (SFBA)")</f>
        <v>II Rombo (SFBA)</v>
      </c>
      <c r="H119" s="70"/>
      <c r="Q119" s="36"/>
    </row>
    <row r="120">
      <c r="A120" s="67">
        <v>118.0</v>
      </c>
      <c r="B120" s="11" t="str">
        <f>IFERROR(__xludf.DUMMYFUNCTION("""COMPUTED_VALUE"""),"MG18605 ")</f>
        <v>MG18605 </v>
      </c>
      <c r="C120" s="11" t="str">
        <f>IFERROR(__xludf.DUMMYFUNCTION("""COMPUTED_VALUE"""),"NSHIP")</f>
        <v>NSHIP</v>
      </c>
      <c r="D120" s="68">
        <f>IFERROR(__xludf.DUMMYFUNCTION("""COMPUTED_VALUE"""),490.3333333333332)</f>
        <v>490.3333333</v>
      </c>
      <c r="E120" s="69">
        <f>IFERROR(__xludf.DUMMYFUNCTION("""COMPUTED_VALUE"""),44510.0)</f>
        <v>44510</v>
      </c>
      <c r="F120" s="70" t="str">
        <f>IFERROR(__xludf.DUMMYFUNCTION("""COMPUTED_VALUE"""),"Carolina Ojeda")</f>
        <v>Carolina Ojeda</v>
      </c>
      <c r="G120" s="70" t="str">
        <f>IFERROR(__xludf.DUMMYFUNCTION("""COMPUTED_VALUE"""),"II Rombo (SFBA)")</f>
        <v>II Rombo (SFBA)</v>
      </c>
      <c r="H120" s="70"/>
      <c r="Q120" s="36"/>
    </row>
    <row r="121">
      <c r="A121" s="67">
        <v>119.0</v>
      </c>
      <c r="B121" s="11" t="str">
        <f>IFERROR(__xludf.DUMMYFUNCTION("""COMPUTED_VALUE"""),"MG18606 ")</f>
        <v>MG18606 </v>
      </c>
      <c r="C121" s="11" t="str">
        <f>IFERROR(__xludf.DUMMYFUNCTION("""COMPUTED_VALUE"""),"NSHIP")</f>
        <v>NSHIP</v>
      </c>
      <c r="D121" s="68">
        <f>IFERROR(__xludf.DUMMYFUNCTION("""COMPUTED_VALUE"""),410.3333333333333)</f>
        <v>410.3333333</v>
      </c>
      <c r="E121" s="69">
        <f>IFERROR(__xludf.DUMMYFUNCTION("""COMPUTED_VALUE"""),44510.0)</f>
        <v>44510</v>
      </c>
      <c r="F121" s="70" t="str">
        <f>IFERROR(__xludf.DUMMYFUNCTION("""COMPUTED_VALUE"""),"Carolina Ojeda")</f>
        <v>Carolina Ojeda</v>
      </c>
      <c r="G121" s="70" t="str">
        <f>IFERROR(__xludf.DUMMYFUNCTION("""COMPUTED_VALUE"""),"II Rombo (SFBA)")</f>
        <v>II Rombo (SFBA)</v>
      </c>
      <c r="H121" s="70"/>
      <c r="Q121" s="36"/>
    </row>
    <row r="122">
      <c r="A122" s="67">
        <v>120.0</v>
      </c>
      <c r="B122" s="11" t="str">
        <f>IFERROR(__xludf.DUMMYFUNCTION("""COMPUTED_VALUE"""),"MG18607 ")</f>
        <v>MG18607 </v>
      </c>
      <c r="C122" s="11" t="str">
        <f>IFERROR(__xludf.DUMMYFUNCTION("""COMPUTED_VALUE"""),"NSHIP")</f>
        <v>NSHIP</v>
      </c>
      <c r="D122" s="68">
        <f>IFERROR(__xludf.DUMMYFUNCTION("""COMPUTED_VALUE"""),265.0)</f>
        <v>265</v>
      </c>
      <c r="E122" s="69">
        <f>IFERROR(__xludf.DUMMYFUNCTION("""COMPUTED_VALUE"""),44510.0)</f>
        <v>44510</v>
      </c>
      <c r="F122" s="70" t="str">
        <f>IFERROR(__xludf.DUMMYFUNCTION("""COMPUTED_VALUE"""),"Carolina Ojeda")</f>
        <v>Carolina Ojeda</v>
      </c>
      <c r="G122" s="70" t="str">
        <f>IFERROR(__xludf.DUMMYFUNCTION("""COMPUTED_VALUE"""),"II Rombo (SFBA)")</f>
        <v>II Rombo (SFBA)</v>
      </c>
      <c r="H122" s="70"/>
      <c r="Q122" s="36"/>
    </row>
    <row r="123">
      <c r="A123" s="67">
        <v>121.0</v>
      </c>
      <c r="B123" s="11" t="str">
        <f>IFERROR(__xludf.DUMMYFUNCTION("""COMPUTED_VALUE"""),"MG18608 ")</f>
        <v>MG18608 </v>
      </c>
      <c r="C123" s="11" t="str">
        <f>IFERROR(__xludf.DUMMYFUNCTION("""COMPUTED_VALUE"""),"NSHIP")</f>
        <v>NSHIP</v>
      </c>
      <c r="D123" s="68">
        <f>IFERROR(__xludf.DUMMYFUNCTION("""COMPUTED_VALUE"""),334.0)</f>
        <v>334</v>
      </c>
      <c r="E123" s="69">
        <f>IFERROR(__xludf.DUMMYFUNCTION("""COMPUTED_VALUE"""),44559.0)</f>
        <v>44559</v>
      </c>
      <c r="F123" s="70" t="str">
        <f>IFERROR(__xludf.DUMMYFUNCTION("""COMPUTED_VALUE"""),"Imad")</f>
        <v>Imad</v>
      </c>
      <c r="G123" s="70" t="str">
        <f>IFERROR(__xludf.DUMMYFUNCTION("""COMPUTED_VALUE"""),"Shop'Drop (SFBA)")</f>
        <v>Shop'Drop (SFBA)</v>
      </c>
      <c r="H123" s="70"/>
      <c r="Q123" s="36"/>
    </row>
    <row r="124">
      <c r="A124" s="67">
        <v>122.0</v>
      </c>
      <c r="B124" s="11" t="str">
        <f>IFERROR(__xludf.DUMMYFUNCTION("""COMPUTED_VALUE"""),"MG18609 ")</f>
        <v>MG18609 </v>
      </c>
      <c r="C124" s="11" t="str">
        <f>IFERROR(__xludf.DUMMYFUNCTION("""COMPUTED_VALUE"""),"SHIP")</f>
        <v>SHIP</v>
      </c>
      <c r="D124" s="68">
        <f>IFERROR(__xludf.DUMMYFUNCTION("""COMPUTED_VALUE"""),278.66666666666663)</f>
        <v>278.6666667</v>
      </c>
      <c r="E124" s="69">
        <f>IFERROR(__xludf.DUMMYFUNCTION("""COMPUTED_VALUE"""),44510.0)</f>
        <v>44510</v>
      </c>
      <c r="F124" s="70" t="str">
        <f>IFERROR(__xludf.DUMMYFUNCTION("""COMPUTED_VALUE"""),"Carolina Ojeda")</f>
        <v>Carolina Ojeda</v>
      </c>
      <c r="G124" s="70" t="str">
        <f>IFERROR(__xludf.DUMMYFUNCTION("""COMPUTED_VALUE"""),"II Rombo (SFBA)")</f>
        <v>II Rombo (SFBA)</v>
      </c>
      <c r="H124" s="70"/>
      <c r="Q124" s="36"/>
    </row>
    <row r="125">
      <c r="A125" s="67">
        <v>123.0</v>
      </c>
      <c r="B125" s="11" t="str">
        <f>IFERROR(__xludf.DUMMYFUNCTION("""COMPUTED_VALUE"""),"MG18610 ")</f>
        <v>MG18610 </v>
      </c>
      <c r="C125" s="11" t="str">
        <f>IFERROR(__xludf.DUMMYFUNCTION("""COMPUTED_VALUE"""),"NSHIP")</f>
        <v>NSHIP</v>
      </c>
      <c r="D125" s="68">
        <f>IFERROR(__xludf.DUMMYFUNCTION("""COMPUTED_VALUE"""),205.33333333333334)</f>
        <v>205.3333333</v>
      </c>
      <c r="E125" s="69">
        <f>IFERROR(__xludf.DUMMYFUNCTION("""COMPUTED_VALUE"""),44510.0)</f>
        <v>44510</v>
      </c>
      <c r="F125" s="70" t="str">
        <f>IFERROR(__xludf.DUMMYFUNCTION("""COMPUTED_VALUE"""),"Carolina Ojeda")</f>
        <v>Carolina Ojeda</v>
      </c>
      <c r="G125" s="70" t="str">
        <f>IFERROR(__xludf.DUMMYFUNCTION("""COMPUTED_VALUE"""),"II Rombo (SFBA)")</f>
        <v>II Rombo (SFBA)</v>
      </c>
      <c r="H125" s="70"/>
      <c r="Q125" s="36"/>
    </row>
    <row r="126">
      <c r="A126" s="67">
        <v>124.0</v>
      </c>
      <c r="B126" s="11" t="str">
        <f>IFERROR(__xludf.DUMMYFUNCTION("""COMPUTED_VALUE"""),"MG18611 ")</f>
        <v>MG18611 </v>
      </c>
      <c r="C126" s="11" t="str">
        <f>IFERROR(__xludf.DUMMYFUNCTION("""COMPUTED_VALUE"""),"NSHIP")</f>
        <v>NSHIP</v>
      </c>
      <c r="D126" s="68">
        <f>IFERROR(__xludf.DUMMYFUNCTION("""COMPUTED_VALUE"""),194.66666666666666)</f>
        <v>194.6666667</v>
      </c>
      <c r="E126" s="69">
        <f>IFERROR(__xludf.DUMMYFUNCTION("""COMPUTED_VALUE"""),44510.0)</f>
        <v>44510</v>
      </c>
      <c r="F126" s="70" t="str">
        <f>IFERROR(__xludf.DUMMYFUNCTION("""COMPUTED_VALUE"""),"Carolina Ojeda")</f>
        <v>Carolina Ojeda</v>
      </c>
      <c r="G126" s="70" t="str">
        <f>IFERROR(__xludf.DUMMYFUNCTION("""COMPUTED_VALUE"""),"II Rombo (SFBA)")</f>
        <v>II Rombo (SFBA)</v>
      </c>
      <c r="H126" s="70"/>
      <c r="Q126" s="36"/>
    </row>
    <row r="127">
      <c r="A127" s="67">
        <v>125.0</v>
      </c>
      <c r="B127" s="11" t="str">
        <f>IFERROR(__xludf.DUMMYFUNCTION("""COMPUTED_VALUE"""),"MG18612 ")</f>
        <v>MG18612 </v>
      </c>
      <c r="C127" s="11" t="str">
        <f>IFERROR(__xludf.DUMMYFUNCTION("""COMPUTED_VALUE"""),"NSHIP")</f>
        <v>NSHIP</v>
      </c>
      <c r="D127" s="68">
        <f>IFERROR(__xludf.DUMMYFUNCTION("""COMPUTED_VALUE"""),142.0)</f>
        <v>142</v>
      </c>
      <c r="E127" s="69"/>
      <c r="F127" s="70"/>
      <c r="G127" s="70"/>
      <c r="H127" s="70" t="str">
        <f>IFERROR(__xludf.DUMMYFUNCTION("""COMPUTED_VALUE"""),"Brand Reject")</f>
        <v>Brand Reject</v>
      </c>
      <c r="Q127" s="36"/>
    </row>
    <row r="128">
      <c r="A128" s="67">
        <v>126.0</v>
      </c>
      <c r="B128" s="11" t="str">
        <f>IFERROR(__xludf.DUMMYFUNCTION("""COMPUTED_VALUE"""),"MG18613 ")</f>
        <v>MG18613 </v>
      </c>
      <c r="C128" s="11" t="str">
        <f>IFERROR(__xludf.DUMMYFUNCTION("""COMPUTED_VALUE"""),"NSHIP")</f>
        <v>NSHIP</v>
      </c>
      <c r="D128" s="68">
        <f>IFERROR(__xludf.DUMMYFUNCTION("""COMPUTED_VALUE"""),260.32666666666665)</f>
        <v>260.3266667</v>
      </c>
      <c r="E128" s="69">
        <f>IFERROR(__xludf.DUMMYFUNCTION("""COMPUTED_VALUE"""),44510.0)</f>
        <v>44510</v>
      </c>
      <c r="F128" s="70" t="str">
        <f>IFERROR(__xludf.DUMMYFUNCTION("""COMPUTED_VALUE"""),"Carolina Ojeda")</f>
        <v>Carolina Ojeda</v>
      </c>
      <c r="G128" s="70" t="str">
        <f>IFERROR(__xludf.DUMMYFUNCTION("""COMPUTED_VALUE"""),"II Rombo (SFBA)")</f>
        <v>II Rombo (SFBA)</v>
      </c>
      <c r="H128" s="70"/>
      <c r="Q128" s="36"/>
    </row>
    <row r="129">
      <c r="A129" s="67">
        <v>127.0</v>
      </c>
      <c r="B129" s="11" t="str">
        <f>IFERROR(__xludf.DUMMYFUNCTION("""COMPUTED_VALUE"""),"MG18614 ")</f>
        <v>MG18614 </v>
      </c>
      <c r="C129" s="11" t="str">
        <f>IFERROR(__xludf.DUMMYFUNCTION("""COMPUTED_VALUE"""),"NSHIP")</f>
        <v>NSHIP</v>
      </c>
      <c r="D129" s="68">
        <f>IFERROR(__xludf.DUMMYFUNCTION("""COMPUTED_VALUE"""),42.666666666666664)</f>
        <v>42.66666667</v>
      </c>
      <c r="E129" s="69">
        <f>IFERROR(__xludf.DUMMYFUNCTION("""COMPUTED_VALUE"""),44510.0)</f>
        <v>44510</v>
      </c>
      <c r="F129" s="70" t="str">
        <f>IFERROR(__xludf.DUMMYFUNCTION("""COMPUTED_VALUE"""),"Carolina Ojeda")</f>
        <v>Carolina Ojeda</v>
      </c>
      <c r="G129" s="70" t="str">
        <f>IFERROR(__xludf.DUMMYFUNCTION("""COMPUTED_VALUE"""),"II Rombo (SFBA)")</f>
        <v>II Rombo (SFBA)</v>
      </c>
      <c r="H129" s="70"/>
      <c r="Q129" s="36"/>
    </row>
    <row r="130">
      <c r="A130" s="67">
        <v>128.0</v>
      </c>
      <c r="B130" s="11" t="str">
        <f>IFERROR(__xludf.DUMMYFUNCTION("""COMPUTED_VALUE"""),"MG18615 ")</f>
        <v>MG18615 </v>
      </c>
      <c r="C130" s="11" t="str">
        <f>IFERROR(__xludf.DUMMYFUNCTION("""COMPUTED_VALUE"""),"SHIP")</f>
        <v>SHIP</v>
      </c>
      <c r="D130" s="68">
        <f>IFERROR(__xludf.DUMMYFUNCTION("""COMPUTED_VALUE"""),66.0)</f>
        <v>66</v>
      </c>
      <c r="E130" s="69">
        <f>IFERROR(__xludf.DUMMYFUNCTION("""COMPUTED_VALUE"""),44510.0)</f>
        <v>44510</v>
      </c>
      <c r="F130" s="70" t="str">
        <f>IFERROR(__xludf.DUMMYFUNCTION("""COMPUTED_VALUE"""),"Carolina Ojeda")</f>
        <v>Carolina Ojeda</v>
      </c>
      <c r="G130" s="70" t="str">
        <f>IFERROR(__xludf.DUMMYFUNCTION("""COMPUTED_VALUE"""),"II Rombo (SFBA)")</f>
        <v>II Rombo (SFBA)</v>
      </c>
      <c r="H130" s="70"/>
      <c r="Q130" s="36"/>
    </row>
    <row r="131">
      <c r="A131" s="67">
        <v>129.0</v>
      </c>
      <c r="B131" s="11" t="str">
        <f>IFERROR(__xludf.DUMMYFUNCTION("""COMPUTED_VALUE"""),"MG18616 ")</f>
        <v>MG18616 </v>
      </c>
      <c r="C131" s="11" t="str">
        <f>IFERROR(__xludf.DUMMYFUNCTION("""COMPUTED_VALUE"""),"SHIP")</f>
        <v>SHIP</v>
      </c>
      <c r="D131" s="68">
        <f>IFERROR(__xludf.DUMMYFUNCTION("""COMPUTED_VALUE"""),49.5)</f>
        <v>49.5</v>
      </c>
      <c r="E131" s="69">
        <f>IFERROR(__xludf.DUMMYFUNCTION("""COMPUTED_VALUE"""),44559.0)</f>
        <v>44559</v>
      </c>
      <c r="F131" s="70" t="str">
        <f>IFERROR(__xludf.DUMMYFUNCTION("""COMPUTED_VALUE"""),"Imad")</f>
        <v>Imad</v>
      </c>
      <c r="G131" s="70" t="str">
        <f>IFERROR(__xludf.DUMMYFUNCTION("""COMPUTED_VALUE"""),"Shop'Drop (SFBA)")</f>
        <v>Shop'Drop (SFBA)</v>
      </c>
      <c r="H131" s="70"/>
      <c r="Q131" s="36"/>
    </row>
    <row r="132">
      <c r="A132" s="67">
        <v>130.0</v>
      </c>
      <c r="B132" s="11" t="str">
        <f>IFERROR(__xludf.DUMMYFUNCTION("""COMPUTED_VALUE"""),"GR18294")</f>
        <v>GR18294</v>
      </c>
      <c r="C132" s="11" t="str">
        <f>IFERROR(__xludf.DUMMYFUNCTION("""COMPUTED_VALUE"""),"NSHIP")</f>
        <v>NSHIP</v>
      </c>
      <c r="D132" s="68">
        <f>IFERROR(__xludf.DUMMYFUNCTION("""COMPUTED_VALUE"""),223.0075)</f>
        <v>223.0075</v>
      </c>
      <c r="E132" s="69"/>
      <c r="F132" s="70"/>
      <c r="G132" s="70"/>
      <c r="H132" s="70"/>
      <c r="Q132" s="36"/>
    </row>
    <row r="133">
      <c r="A133" s="67">
        <v>131.0</v>
      </c>
      <c r="B133" s="11" t="str">
        <f>IFERROR(__xludf.DUMMYFUNCTION("""COMPUTED_VALUE"""),"GR18295")</f>
        <v>GR18295</v>
      </c>
      <c r="C133" s="11" t="str">
        <f>IFERROR(__xludf.DUMMYFUNCTION("""COMPUTED_VALUE"""),"NSHIP")</f>
        <v>NSHIP</v>
      </c>
      <c r="D133" s="68">
        <f>IFERROR(__xludf.DUMMYFUNCTION("""COMPUTED_VALUE"""),137.73000000000002)</f>
        <v>137.73</v>
      </c>
      <c r="E133" s="69"/>
      <c r="F133" s="70"/>
      <c r="G133" s="70"/>
      <c r="H133" s="70"/>
      <c r="Q133" s="36"/>
    </row>
    <row r="134">
      <c r="A134" s="67">
        <v>132.0</v>
      </c>
      <c r="B134" s="11" t="str">
        <f>IFERROR(__xludf.DUMMYFUNCTION("""COMPUTED_VALUE"""),"GR18296")</f>
        <v>GR18296</v>
      </c>
      <c r="C134" s="11" t="str">
        <f>IFERROR(__xludf.DUMMYFUNCTION("""COMPUTED_VALUE"""),"NSHIP")</f>
        <v>NSHIP</v>
      </c>
      <c r="D134" s="68">
        <f>IFERROR(__xludf.DUMMYFUNCTION("""COMPUTED_VALUE"""),152.2525)</f>
        <v>152.2525</v>
      </c>
      <c r="E134" s="69"/>
      <c r="F134" s="70"/>
      <c r="G134" s="70"/>
      <c r="H134" s="70"/>
      <c r="Q134" s="36"/>
    </row>
    <row r="135">
      <c r="A135" s="67">
        <v>133.0</v>
      </c>
      <c r="B135" s="11" t="str">
        <f>IFERROR(__xludf.DUMMYFUNCTION("""COMPUTED_VALUE"""),"GR18297")</f>
        <v>GR18297</v>
      </c>
      <c r="C135" s="11" t="str">
        <f>IFERROR(__xludf.DUMMYFUNCTION("""COMPUTED_VALUE"""),"NSHIP")</f>
        <v>NSHIP</v>
      </c>
      <c r="D135" s="68">
        <f>IFERROR(__xludf.DUMMYFUNCTION("""COMPUTED_VALUE"""),201.72250000000003)</f>
        <v>201.7225</v>
      </c>
      <c r="E135" s="69"/>
      <c r="F135" s="70"/>
      <c r="G135" s="70"/>
      <c r="H135" s="70"/>
      <c r="Q135" s="36"/>
    </row>
    <row r="136">
      <c r="A136" s="67">
        <v>134.0</v>
      </c>
      <c r="B136" s="11" t="str">
        <f>IFERROR(__xludf.DUMMYFUNCTION("""COMPUTED_VALUE"""),"GR18298")</f>
        <v>GR18298</v>
      </c>
      <c r="C136" s="11" t="str">
        <f>IFERROR(__xludf.DUMMYFUNCTION("""COMPUTED_VALUE"""),"NSHIP")</f>
        <v>NSHIP</v>
      </c>
      <c r="D136" s="68">
        <f>IFERROR(__xludf.DUMMYFUNCTION("""COMPUTED_VALUE"""),158.72750000000002)</f>
        <v>158.7275</v>
      </c>
      <c r="E136" s="69"/>
      <c r="F136" s="70"/>
      <c r="G136" s="70"/>
      <c r="H136" s="70"/>
      <c r="Q136" s="36"/>
    </row>
    <row r="137">
      <c r="A137" s="67">
        <v>135.0</v>
      </c>
      <c r="B137" s="11" t="str">
        <f>IFERROR(__xludf.DUMMYFUNCTION("""COMPUTED_VALUE"""),"GR18299")</f>
        <v>GR18299</v>
      </c>
      <c r="C137" s="11" t="str">
        <f>IFERROR(__xludf.DUMMYFUNCTION("""COMPUTED_VALUE"""),"NSHIP")</f>
        <v>NSHIP</v>
      </c>
      <c r="D137" s="68">
        <f>IFERROR(__xludf.DUMMYFUNCTION("""COMPUTED_VALUE"""),139.4725)</f>
        <v>139.4725</v>
      </c>
      <c r="E137" s="69"/>
      <c r="F137" s="70"/>
      <c r="G137" s="70"/>
      <c r="H137" s="70"/>
      <c r="Q137" s="36"/>
    </row>
    <row r="138">
      <c r="A138" s="67">
        <v>136.0</v>
      </c>
      <c r="B138" s="11" t="str">
        <f>IFERROR(__xludf.DUMMYFUNCTION("""COMPUTED_VALUE"""),"GR18300")</f>
        <v>GR18300</v>
      </c>
      <c r="C138" s="11" t="str">
        <f>IFERROR(__xludf.DUMMYFUNCTION("""COMPUTED_VALUE"""),"NSHIP")</f>
        <v>NSHIP</v>
      </c>
      <c r="D138" s="68">
        <f>IFERROR(__xludf.DUMMYFUNCTION("""COMPUTED_VALUE"""),216.47750000000002)</f>
        <v>216.4775</v>
      </c>
      <c r="E138" s="69"/>
      <c r="F138" s="70"/>
      <c r="G138" s="70"/>
      <c r="H138" s="70"/>
      <c r="Q138" s="36"/>
    </row>
    <row r="139">
      <c r="A139" s="67">
        <v>137.0</v>
      </c>
      <c r="B139" s="11" t="str">
        <f>IFERROR(__xludf.DUMMYFUNCTION("""COMPUTED_VALUE"""),"GR18301")</f>
        <v>GR18301</v>
      </c>
      <c r="C139" s="11" t="str">
        <f>IFERROR(__xludf.DUMMYFUNCTION("""COMPUTED_VALUE"""),"NSHIP")</f>
        <v>NSHIP</v>
      </c>
      <c r="D139" s="68">
        <f>IFERROR(__xludf.DUMMYFUNCTION("""COMPUTED_VALUE"""),156.4775)</f>
        <v>156.4775</v>
      </c>
      <c r="E139" s="69"/>
      <c r="F139" s="70"/>
      <c r="G139" s="70"/>
      <c r="H139" s="70"/>
      <c r="Q139" s="36"/>
    </row>
    <row r="140">
      <c r="A140" s="67">
        <v>138.0</v>
      </c>
      <c r="B140" s="11" t="str">
        <f>IFERROR(__xludf.DUMMYFUNCTION("""COMPUTED_VALUE"""),"GR18302")</f>
        <v>GR18302</v>
      </c>
      <c r="C140" s="11" t="str">
        <f>IFERROR(__xludf.DUMMYFUNCTION("""COMPUTED_VALUE"""),"NSHIP")</f>
        <v>NSHIP</v>
      </c>
      <c r="D140" s="68">
        <f>IFERROR(__xludf.DUMMYFUNCTION("""COMPUTED_VALUE"""),978.1974999999995)</f>
        <v>978.1975</v>
      </c>
      <c r="E140" s="69"/>
      <c r="F140" s="70"/>
      <c r="G140" s="70"/>
      <c r="H140" s="70"/>
      <c r="Q140" s="36"/>
    </row>
    <row r="141">
      <c r="A141" s="67">
        <v>139.0</v>
      </c>
      <c r="B141" s="11" t="str">
        <f>IFERROR(__xludf.DUMMYFUNCTION("""COMPUTED_VALUE"""),"GR18303")</f>
        <v>GR18303</v>
      </c>
      <c r="C141" s="11" t="str">
        <f>IFERROR(__xludf.DUMMYFUNCTION("""COMPUTED_VALUE"""),"NSHIP")</f>
        <v>NSHIP</v>
      </c>
      <c r="D141" s="68">
        <f>IFERROR(__xludf.DUMMYFUNCTION("""COMPUTED_VALUE"""),240.235)</f>
        <v>240.235</v>
      </c>
      <c r="E141" s="69"/>
      <c r="F141" s="70"/>
      <c r="G141" s="70"/>
      <c r="H141" s="70"/>
      <c r="Q141" s="36"/>
    </row>
    <row r="142">
      <c r="A142" s="67">
        <v>140.0</v>
      </c>
      <c r="B142" s="11" t="str">
        <f>IFERROR(__xludf.DUMMYFUNCTION("""COMPUTED_VALUE"""),"GR18304")</f>
        <v>GR18304</v>
      </c>
      <c r="C142" s="11" t="str">
        <f>IFERROR(__xludf.DUMMYFUNCTION("""COMPUTED_VALUE"""),"NSHIP")</f>
        <v>NSHIP</v>
      </c>
      <c r="D142" s="68">
        <f>IFERROR(__xludf.DUMMYFUNCTION("""COMPUTED_VALUE"""),170.3925)</f>
        <v>170.3925</v>
      </c>
      <c r="E142" s="69"/>
      <c r="F142" s="70"/>
      <c r="G142" s="70"/>
      <c r="H142" s="70"/>
      <c r="Q142" s="36"/>
    </row>
    <row r="143">
      <c r="A143" s="67">
        <v>141.0</v>
      </c>
      <c r="B143" s="11" t="str">
        <f>IFERROR(__xludf.DUMMYFUNCTION("""COMPUTED_VALUE"""),"GR18305")</f>
        <v>GR18305</v>
      </c>
      <c r="C143" s="11" t="str">
        <f>IFERROR(__xludf.DUMMYFUNCTION("""COMPUTED_VALUE"""),"NSHIP")</f>
        <v>NSHIP</v>
      </c>
      <c r="D143" s="68">
        <f>IFERROR(__xludf.DUMMYFUNCTION("""COMPUTED_VALUE"""),89.865)</f>
        <v>89.865</v>
      </c>
      <c r="E143" s="69"/>
      <c r="F143" s="70"/>
      <c r="G143" s="70"/>
      <c r="H143" s="70"/>
      <c r="Q143" s="36"/>
    </row>
    <row r="144">
      <c r="A144" s="67">
        <v>142.0</v>
      </c>
      <c r="B144" s="11" t="str">
        <f>IFERROR(__xludf.DUMMYFUNCTION("""COMPUTED_VALUE"""),"GR18306")</f>
        <v>GR18306</v>
      </c>
      <c r="C144" s="11" t="str">
        <f>IFERROR(__xludf.DUMMYFUNCTION("""COMPUTED_VALUE"""),"NSHIP")</f>
        <v>NSHIP</v>
      </c>
      <c r="D144" s="68">
        <f>IFERROR(__xludf.DUMMYFUNCTION("""COMPUTED_VALUE"""),179.4925)</f>
        <v>179.4925</v>
      </c>
      <c r="E144" s="69"/>
      <c r="F144" s="70"/>
      <c r="G144" s="70"/>
      <c r="H144" s="70"/>
      <c r="Q144" s="36"/>
    </row>
    <row r="145">
      <c r="A145" s="67">
        <v>143.0</v>
      </c>
      <c r="B145" s="11" t="str">
        <f>IFERROR(__xludf.DUMMYFUNCTION("""COMPUTED_VALUE"""),"GR18307")</f>
        <v>GR18307</v>
      </c>
      <c r="C145" s="11" t="str">
        <f>IFERROR(__xludf.DUMMYFUNCTION("""COMPUTED_VALUE"""),"NSHIP")</f>
        <v>NSHIP</v>
      </c>
      <c r="D145" s="68">
        <f>IFERROR(__xludf.DUMMYFUNCTION("""COMPUTED_VALUE"""),74.7425)</f>
        <v>74.7425</v>
      </c>
      <c r="E145" s="69"/>
      <c r="F145" s="70"/>
      <c r="G145" s="70"/>
      <c r="H145" s="70"/>
      <c r="Q145" s="36"/>
    </row>
    <row r="146">
      <c r="A146" s="67">
        <v>144.0</v>
      </c>
      <c r="B146" s="11" t="str">
        <f>IFERROR(__xludf.DUMMYFUNCTION("""COMPUTED_VALUE"""),"XM18862")</f>
        <v>XM18862</v>
      </c>
      <c r="C146" s="11" t="str">
        <f>IFERROR(__xludf.DUMMYFUNCTION("""COMPUTED_VALUE"""),"NSHIP")</f>
        <v>NSHIP</v>
      </c>
      <c r="D146" s="68">
        <f>IFERROR(__xludf.DUMMYFUNCTION("""COMPUTED_VALUE"""),1083.08)</f>
        <v>1083.08</v>
      </c>
      <c r="E146" s="69"/>
      <c r="F146" s="70"/>
      <c r="G146" s="70"/>
      <c r="H146" s="70"/>
      <c r="Q146" s="36"/>
    </row>
    <row r="147">
      <c r="A147" s="67">
        <v>145.0</v>
      </c>
      <c r="B147" s="11" t="str">
        <f>IFERROR(__xludf.DUMMYFUNCTION("""COMPUTED_VALUE"""),"XM18863")</f>
        <v>XM18863</v>
      </c>
      <c r="C147" s="11" t="str">
        <f>IFERROR(__xludf.DUMMYFUNCTION("""COMPUTED_VALUE"""),"NSHIP")</f>
        <v>NSHIP</v>
      </c>
      <c r="D147" s="68">
        <f>IFERROR(__xludf.DUMMYFUNCTION("""COMPUTED_VALUE"""),968.4150000000001)</f>
        <v>968.415</v>
      </c>
      <c r="E147" s="69"/>
      <c r="F147" s="70"/>
      <c r="G147" s="70"/>
      <c r="H147" s="70"/>
      <c r="Q147" s="36"/>
    </row>
    <row r="148">
      <c r="A148" s="67">
        <v>146.0</v>
      </c>
      <c r="B148" s="11" t="str">
        <f>IFERROR(__xludf.DUMMYFUNCTION("""COMPUTED_VALUE"""),"XM18864")</f>
        <v>XM18864</v>
      </c>
      <c r="C148" s="11" t="str">
        <f>IFERROR(__xludf.DUMMYFUNCTION("""COMPUTED_VALUE"""),"NSHIP")</f>
        <v>NSHIP</v>
      </c>
      <c r="D148" s="68">
        <f>IFERROR(__xludf.DUMMYFUNCTION("""COMPUTED_VALUE"""),1207.2574999999997)</f>
        <v>1207.2575</v>
      </c>
      <c r="E148" s="69"/>
      <c r="F148" s="70"/>
      <c r="G148" s="70"/>
      <c r="H148" s="70"/>
      <c r="Q148" s="36"/>
    </row>
    <row r="149">
      <c r="A149" s="67">
        <v>147.0</v>
      </c>
      <c r="B149" s="11" t="str">
        <f>IFERROR(__xludf.DUMMYFUNCTION("""COMPUTED_VALUE"""),"XM18865")</f>
        <v>XM18865</v>
      </c>
      <c r="C149" s="11" t="str">
        <f>IFERROR(__xludf.DUMMYFUNCTION("""COMPUTED_VALUE"""),"NSHIP")</f>
        <v>NSHIP</v>
      </c>
      <c r="D149" s="68">
        <f>IFERROR(__xludf.DUMMYFUNCTION("""COMPUTED_VALUE"""),934.75)</f>
        <v>934.75</v>
      </c>
      <c r="E149" s="69"/>
      <c r="F149" s="70"/>
      <c r="G149" s="70"/>
      <c r="H149" s="70"/>
      <c r="Q149" s="36"/>
    </row>
    <row r="150">
      <c r="A150" s="67">
        <v>148.0</v>
      </c>
      <c r="B150" s="11" t="str">
        <f>IFERROR(__xludf.DUMMYFUNCTION("""COMPUTED_VALUE"""),"XM18866")</f>
        <v>XM18866</v>
      </c>
      <c r="C150" s="11" t="str">
        <f>IFERROR(__xludf.DUMMYFUNCTION("""COMPUTED_VALUE"""),"NSHIP")</f>
        <v>NSHIP</v>
      </c>
      <c r="D150" s="68">
        <f>IFERROR(__xludf.DUMMYFUNCTION("""COMPUTED_VALUE"""),1479.0)</f>
        <v>1479</v>
      </c>
      <c r="E150" s="69"/>
      <c r="F150" s="70"/>
      <c r="G150" s="70"/>
      <c r="H150" s="70"/>
      <c r="Q150" s="36"/>
    </row>
    <row r="151">
      <c r="A151" s="67">
        <v>149.0</v>
      </c>
      <c r="B151" s="11" t="str">
        <f>IFERROR(__xludf.DUMMYFUNCTION("""COMPUTED_VALUE"""),"XM18867")</f>
        <v>XM18867</v>
      </c>
      <c r="C151" s="11" t="str">
        <f>IFERROR(__xludf.DUMMYFUNCTION("""COMPUTED_VALUE"""),"NSHIP")</f>
        <v>NSHIP</v>
      </c>
      <c r="D151" s="68">
        <f>IFERROR(__xludf.DUMMYFUNCTION("""COMPUTED_VALUE"""),851.9975)</f>
        <v>851.9975</v>
      </c>
      <c r="E151" s="69"/>
      <c r="F151" s="70"/>
      <c r="G151" s="70"/>
      <c r="H151" s="70"/>
      <c r="Q151" s="36"/>
    </row>
    <row r="152">
      <c r="A152" s="67">
        <v>150.0</v>
      </c>
      <c r="B152" s="11" t="str">
        <f>IFERROR(__xludf.DUMMYFUNCTION("""COMPUTED_VALUE"""),"XM18868")</f>
        <v>XM18868</v>
      </c>
      <c r="C152" s="11" t="str">
        <f>IFERROR(__xludf.DUMMYFUNCTION("""COMPUTED_VALUE"""),"NSHIP")</f>
        <v>NSHIP</v>
      </c>
      <c r="D152" s="68">
        <f>IFERROR(__xludf.DUMMYFUNCTION("""COMPUTED_VALUE"""),872.75)</f>
        <v>872.75</v>
      </c>
      <c r="E152" s="69"/>
      <c r="F152" s="70"/>
      <c r="G152" s="70"/>
      <c r="H152" s="70"/>
      <c r="Q152" s="36"/>
    </row>
    <row r="153">
      <c r="A153" s="67">
        <v>151.0</v>
      </c>
      <c r="B153" s="11" t="str">
        <f>IFERROR(__xludf.DUMMYFUNCTION("""COMPUTED_VALUE"""),"XM18869")</f>
        <v>XM18869</v>
      </c>
      <c r="C153" s="11" t="str">
        <f>IFERROR(__xludf.DUMMYFUNCTION("""COMPUTED_VALUE"""),"NSHIP")</f>
        <v>NSHIP</v>
      </c>
      <c r="D153" s="68">
        <f>IFERROR(__xludf.DUMMYFUNCTION("""COMPUTED_VALUE"""),768.745)</f>
        <v>768.745</v>
      </c>
      <c r="E153" s="69"/>
      <c r="F153" s="70"/>
      <c r="G153" s="70"/>
      <c r="H153" s="70"/>
      <c r="Q153" s="36"/>
    </row>
    <row r="154">
      <c r="A154" s="67">
        <v>152.0</v>
      </c>
      <c r="B154" s="11" t="str">
        <f>IFERROR(__xludf.DUMMYFUNCTION("""COMPUTED_VALUE"""),"XM18870")</f>
        <v>XM18870</v>
      </c>
      <c r="C154" s="11" t="str">
        <f>IFERROR(__xludf.DUMMYFUNCTION("""COMPUTED_VALUE"""),"NSHIP")</f>
        <v>NSHIP</v>
      </c>
      <c r="D154" s="68">
        <f>IFERROR(__xludf.DUMMYFUNCTION("""COMPUTED_VALUE"""),674.0)</f>
        <v>674</v>
      </c>
      <c r="E154" s="69"/>
      <c r="F154" s="70"/>
      <c r="G154" s="70"/>
      <c r="H154" s="70"/>
      <c r="Q154" s="36"/>
    </row>
    <row r="155">
      <c r="A155" s="67">
        <v>153.0</v>
      </c>
      <c r="B155" s="11" t="str">
        <f>IFERROR(__xludf.DUMMYFUNCTION("""COMPUTED_VALUE"""),"XM18871")</f>
        <v>XM18871</v>
      </c>
      <c r="C155" s="11" t="str">
        <f>IFERROR(__xludf.DUMMYFUNCTION("""COMPUTED_VALUE"""),"NSHIP")</f>
        <v>NSHIP</v>
      </c>
      <c r="D155" s="68">
        <f>IFERROR(__xludf.DUMMYFUNCTION("""COMPUTED_VALUE"""),735.25)</f>
        <v>735.25</v>
      </c>
      <c r="E155" s="69"/>
      <c r="F155" s="70"/>
      <c r="G155" s="70"/>
      <c r="H155" s="70"/>
      <c r="Q155" s="36"/>
    </row>
    <row r="156">
      <c r="A156" s="67">
        <v>154.0</v>
      </c>
      <c r="B156" s="11" t="str">
        <f>IFERROR(__xludf.DUMMYFUNCTION("""COMPUTED_VALUE"""),"XM18872")</f>
        <v>XM18872</v>
      </c>
      <c r="C156" s="11" t="str">
        <f>IFERROR(__xludf.DUMMYFUNCTION("""COMPUTED_VALUE"""),"NSHIP")</f>
        <v>NSHIP</v>
      </c>
      <c r="D156" s="68">
        <f>IFERROR(__xludf.DUMMYFUNCTION("""COMPUTED_VALUE"""),178.895)</f>
        <v>178.895</v>
      </c>
      <c r="E156" s="69"/>
      <c r="F156" s="70"/>
      <c r="G156" s="70"/>
      <c r="H156" s="70"/>
      <c r="Q156" s="36"/>
    </row>
    <row r="157">
      <c r="A157" s="67">
        <v>155.0</v>
      </c>
      <c r="B157" s="11" t="str">
        <f>IFERROR(__xludf.DUMMYFUNCTION("""COMPUTED_VALUE"""),"XM18873")</f>
        <v>XM18873</v>
      </c>
      <c r="C157" s="11" t="str">
        <f>IFERROR(__xludf.DUMMYFUNCTION("""COMPUTED_VALUE"""),"NSHIP")</f>
        <v>NSHIP</v>
      </c>
      <c r="D157" s="68">
        <f>IFERROR(__xludf.DUMMYFUNCTION("""COMPUTED_VALUE"""),271.33)</f>
        <v>271.33</v>
      </c>
      <c r="E157" s="69"/>
      <c r="F157" s="70"/>
      <c r="G157" s="70"/>
      <c r="H157" s="70"/>
      <c r="Q157" s="36"/>
    </row>
    <row r="158">
      <c r="A158" s="67">
        <v>156.0</v>
      </c>
      <c r="B158" s="11" t="str">
        <f>IFERROR(__xludf.DUMMYFUNCTION("""COMPUTED_VALUE"""),"XM18874")</f>
        <v>XM18874</v>
      </c>
      <c r="C158" s="11" t="str">
        <f>IFERROR(__xludf.DUMMYFUNCTION("""COMPUTED_VALUE"""),"NSHIP")</f>
        <v>NSHIP</v>
      </c>
      <c r="D158" s="68">
        <f>IFERROR(__xludf.DUMMYFUNCTION("""COMPUTED_VALUE"""),191.73250000000002)</f>
        <v>191.7325</v>
      </c>
      <c r="E158" s="69"/>
      <c r="F158" s="70"/>
      <c r="G158" s="70"/>
      <c r="H158" s="70"/>
      <c r="Q158" s="36"/>
    </row>
    <row r="159">
      <c r="A159" s="67">
        <v>157.0</v>
      </c>
      <c r="B159" s="11" t="str">
        <f>IFERROR(__xludf.DUMMYFUNCTION("""COMPUTED_VALUE"""),"XM18875")</f>
        <v>XM18875</v>
      </c>
      <c r="C159" s="11" t="str">
        <f>IFERROR(__xludf.DUMMYFUNCTION("""COMPUTED_VALUE"""),"NSHIP")</f>
        <v>NSHIP</v>
      </c>
      <c r="D159" s="68">
        <f>IFERROR(__xludf.DUMMYFUNCTION("""COMPUTED_VALUE"""),153.72750000000002)</f>
        <v>153.7275</v>
      </c>
      <c r="E159" s="69"/>
      <c r="F159" s="70"/>
      <c r="G159" s="70"/>
      <c r="H159" s="70"/>
      <c r="Q159" s="36"/>
    </row>
    <row r="160">
      <c r="A160" s="67">
        <v>158.0</v>
      </c>
      <c r="B160" s="11" t="str">
        <f>IFERROR(__xludf.DUMMYFUNCTION("""COMPUTED_VALUE"""),"XM18876")</f>
        <v>XM18876</v>
      </c>
      <c r="C160" s="11" t="str">
        <f>IFERROR(__xludf.DUMMYFUNCTION("""COMPUTED_VALUE"""),"NSHIP")</f>
        <v>NSHIP</v>
      </c>
      <c r="D160" s="68">
        <f>IFERROR(__xludf.DUMMYFUNCTION("""COMPUTED_VALUE"""),121.30999999999999)</f>
        <v>121.31</v>
      </c>
      <c r="E160" s="69"/>
      <c r="F160" s="70"/>
      <c r="G160" s="70"/>
      <c r="H160" s="70"/>
      <c r="Q160" s="36"/>
    </row>
    <row r="161">
      <c r="A161" s="67">
        <v>159.0</v>
      </c>
      <c r="B161" s="11" t="str">
        <f>IFERROR(__xludf.DUMMYFUNCTION("""COMPUTED_VALUE"""),"XM18877")</f>
        <v>XM18877</v>
      </c>
      <c r="C161" s="11" t="str">
        <f>IFERROR(__xludf.DUMMYFUNCTION("""COMPUTED_VALUE"""),"NSHIP")</f>
        <v>NSHIP</v>
      </c>
      <c r="D161" s="68">
        <f>IFERROR(__xludf.DUMMYFUNCTION("""COMPUTED_VALUE"""),146.465)</f>
        <v>146.465</v>
      </c>
      <c r="E161" s="69"/>
      <c r="F161" s="70"/>
      <c r="G161" s="70"/>
      <c r="H161" s="70"/>
      <c r="Q161" s="36"/>
    </row>
    <row r="162">
      <c r="A162" s="67">
        <v>160.0</v>
      </c>
      <c r="B162" s="11" t="str">
        <f>IFERROR(__xludf.DUMMYFUNCTION("""COMPUTED_VALUE"""),"XM18878")</f>
        <v>XM18878</v>
      </c>
      <c r="C162" s="11" t="str">
        <f>IFERROR(__xludf.DUMMYFUNCTION("""COMPUTED_VALUE"""),"NSHIP")</f>
        <v>NSHIP</v>
      </c>
      <c r="D162" s="68">
        <f>IFERROR(__xludf.DUMMYFUNCTION("""COMPUTED_VALUE"""),143.235)</f>
        <v>143.235</v>
      </c>
      <c r="E162" s="69"/>
      <c r="F162" s="70"/>
      <c r="G162" s="70"/>
      <c r="H162" s="70"/>
      <c r="Q162" s="36"/>
    </row>
    <row r="163">
      <c r="A163" s="67">
        <v>161.0</v>
      </c>
      <c r="B163" s="11" t="str">
        <f>IFERROR(__xludf.DUMMYFUNCTION("""COMPUTED_VALUE"""),"XM18879")</f>
        <v>XM18879</v>
      </c>
      <c r="C163" s="11" t="str">
        <f>IFERROR(__xludf.DUMMYFUNCTION("""COMPUTED_VALUE"""),"NSHIP")</f>
        <v>NSHIP</v>
      </c>
      <c r="D163" s="68">
        <f>IFERROR(__xludf.DUMMYFUNCTION("""COMPUTED_VALUE"""),89.7425)</f>
        <v>89.7425</v>
      </c>
      <c r="E163" s="69"/>
      <c r="F163" s="70"/>
      <c r="G163" s="70"/>
      <c r="H163" s="70"/>
      <c r="Q163" s="36"/>
    </row>
    <row r="164">
      <c r="A164" s="67">
        <v>162.0</v>
      </c>
      <c r="B164" s="11" t="str">
        <f>IFERROR(__xludf.DUMMYFUNCTION("""COMPUTED_VALUE"""),"XM18880")</f>
        <v>XM18880</v>
      </c>
      <c r="C164" s="11" t="str">
        <f>IFERROR(__xludf.DUMMYFUNCTION("""COMPUTED_VALUE"""),"NSHIP")</f>
        <v>NSHIP</v>
      </c>
      <c r="D164" s="68">
        <f>IFERROR(__xludf.DUMMYFUNCTION("""COMPUTED_VALUE"""),77.74249999999999)</f>
        <v>77.7425</v>
      </c>
      <c r="E164" s="69"/>
      <c r="F164" s="70"/>
      <c r="G164" s="70"/>
      <c r="H164" s="70"/>
      <c r="Q164" s="36"/>
    </row>
    <row r="165">
      <c r="A165" s="67">
        <v>163.0</v>
      </c>
      <c r="B165" s="11" t="str">
        <f>IFERROR(__xludf.DUMMYFUNCTION("""COMPUTED_VALUE"""),"XM18881")</f>
        <v>XM18881</v>
      </c>
      <c r="C165" s="11" t="str">
        <f>IFERROR(__xludf.DUMMYFUNCTION("""COMPUTED_VALUE"""),"NSHIP")</f>
        <v>NSHIP</v>
      </c>
      <c r="D165" s="68">
        <f>IFERROR(__xludf.DUMMYFUNCTION("""COMPUTED_VALUE"""),114.6125)</f>
        <v>114.6125</v>
      </c>
      <c r="E165" s="69"/>
      <c r="F165" s="70"/>
      <c r="G165" s="70"/>
      <c r="H165" s="70"/>
      <c r="Q165" s="36"/>
    </row>
    <row r="166">
      <c r="A166" s="67">
        <v>164.0</v>
      </c>
      <c r="B166" s="11" t="str">
        <f>IFERROR(__xludf.DUMMYFUNCTION("""COMPUTED_VALUE"""),"XM18882")</f>
        <v>XM18882</v>
      </c>
      <c r="C166" s="11" t="str">
        <f>IFERROR(__xludf.DUMMYFUNCTION("""COMPUTED_VALUE"""),"NSHIP")</f>
        <v>NSHIP</v>
      </c>
      <c r="D166" s="68">
        <f>IFERROR(__xludf.DUMMYFUNCTION("""COMPUTED_VALUE"""),131.10750000000002)</f>
        <v>131.1075</v>
      </c>
      <c r="E166" s="69"/>
      <c r="F166" s="70"/>
      <c r="G166" s="70"/>
      <c r="H166" s="70"/>
      <c r="Q166" s="36"/>
    </row>
    <row r="167">
      <c r="A167" s="67">
        <v>165.0</v>
      </c>
      <c r="B167" s="11" t="str">
        <f>IFERROR(__xludf.DUMMYFUNCTION("""COMPUTED_VALUE"""),"XM18883")</f>
        <v>XM18883</v>
      </c>
      <c r="C167" s="11" t="str">
        <f>IFERROR(__xludf.DUMMYFUNCTION("""COMPUTED_VALUE"""),"NSHIP")</f>
        <v>NSHIP</v>
      </c>
      <c r="D167" s="68">
        <f>IFERROR(__xludf.DUMMYFUNCTION("""COMPUTED_VALUE"""),113.73500000000001)</f>
        <v>113.735</v>
      </c>
      <c r="E167" s="69"/>
      <c r="F167" s="70"/>
      <c r="G167" s="70"/>
      <c r="H167" s="70"/>
      <c r="Q167" s="36"/>
    </row>
    <row r="168">
      <c r="A168" s="67">
        <v>166.0</v>
      </c>
      <c r="B168" s="11" t="str">
        <f>IFERROR(__xludf.DUMMYFUNCTION("""COMPUTED_VALUE"""),"XM18884")</f>
        <v>XM18884</v>
      </c>
      <c r="C168" s="11" t="str">
        <f>IFERROR(__xludf.DUMMYFUNCTION("""COMPUTED_VALUE"""),"NSHIP")</f>
        <v>NSHIP</v>
      </c>
      <c r="D168" s="68">
        <f>IFERROR(__xludf.DUMMYFUNCTION("""COMPUTED_VALUE"""),162.73000000000002)</f>
        <v>162.73</v>
      </c>
      <c r="E168" s="69"/>
      <c r="F168" s="70"/>
      <c r="G168" s="70"/>
      <c r="H168" s="70"/>
      <c r="Q168" s="36"/>
    </row>
    <row r="169">
      <c r="A169" s="67">
        <v>167.0</v>
      </c>
      <c r="B169" s="11" t="str">
        <f>IFERROR(__xludf.DUMMYFUNCTION("""COMPUTED_VALUE"""),"XM18885")</f>
        <v>XM18885</v>
      </c>
      <c r="C169" s="11" t="str">
        <f>IFERROR(__xludf.DUMMYFUNCTION("""COMPUTED_VALUE"""),"NSHIP")</f>
        <v>NSHIP</v>
      </c>
      <c r="D169" s="68">
        <f>IFERROR(__xludf.DUMMYFUNCTION("""COMPUTED_VALUE"""),122.475)</f>
        <v>122.475</v>
      </c>
      <c r="E169" s="69"/>
      <c r="F169" s="70"/>
      <c r="G169" s="70"/>
      <c r="H169" s="70"/>
      <c r="Q169" s="36"/>
    </row>
    <row r="170">
      <c r="A170" s="67">
        <v>168.0</v>
      </c>
      <c r="B170" s="11" t="str">
        <f>IFERROR(__xludf.DUMMYFUNCTION("""COMPUTED_VALUE"""),"XM18886")</f>
        <v>XM18886</v>
      </c>
      <c r="C170" s="11" t="str">
        <f>IFERROR(__xludf.DUMMYFUNCTION("""COMPUTED_VALUE"""),"NSHIP")</f>
        <v>NSHIP</v>
      </c>
      <c r="D170" s="68">
        <f>IFERROR(__xludf.DUMMYFUNCTION("""COMPUTED_VALUE"""),175.7425)</f>
        <v>175.7425</v>
      </c>
      <c r="E170" s="69"/>
      <c r="F170" s="70"/>
      <c r="G170" s="70"/>
      <c r="H170" s="70"/>
      <c r="Q170" s="36"/>
    </row>
    <row r="171">
      <c r="A171" s="67">
        <v>169.0</v>
      </c>
      <c r="B171" s="11" t="str">
        <f>IFERROR(__xludf.DUMMYFUNCTION("""COMPUTED_VALUE"""),"XM18887")</f>
        <v>XM18887</v>
      </c>
      <c r="C171" s="11" t="str">
        <f>IFERROR(__xludf.DUMMYFUNCTION("""COMPUTED_VALUE"""),"NSHIP")</f>
        <v>NSHIP</v>
      </c>
      <c r="D171" s="68">
        <f>IFERROR(__xludf.DUMMYFUNCTION("""COMPUTED_VALUE"""),206.41000000000003)</f>
        <v>206.41</v>
      </c>
      <c r="E171" s="69"/>
      <c r="F171" s="70"/>
      <c r="G171" s="70"/>
      <c r="H171" s="70"/>
      <c r="Q171" s="36"/>
    </row>
    <row r="172">
      <c r="A172" s="67">
        <v>170.0</v>
      </c>
      <c r="B172" s="11" t="str">
        <f>IFERROR(__xludf.DUMMYFUNCTION("""COMPUTED_VALUE"""),"XM18888")</f>
        <v>XM18888</v>
      </c>
      <c r="C172" s="11" t="str">
        <f>IFERROR(__xludf.DUMMYFUNCTION("""COMPUTED_VALUE"""),"NSHIP")</f>
        <v>NSHIP</v>
      </c>
      <c r="D172" s="68">
        <f>IFERROR(__xludf.DUMMYFUNCTION("""COMPUTED_VALUE"""),234.24)</f>
        <v>234.24</v>
      </c>
      <c r="E172" s="69"/>
      <c r="F172" s="70"/>
      <c r="G172" s="70"/>
      <c r="H172" s="70"/>
      <c r="Q172" s="36"/>
    </row>
    <row r="173">
      <c r="A173" s="67">
        <v>171.0</v>
      </c>
      <c r="B173" s="11" t="str">
        <f>IFERROR(__xludf.DUMMYFUNCTION("""COMPUTED_VALUE"""),"XM18889")</f>
        <v>XM18889</v>
      </c>
      <c r="C173" s="11" t="str">
        <f>IFERROR(__xludf.DUMMYFUNCTION("""COMPUTED_VALUE"""),"NSHIP")</f>
        <v>NSHIP</v>
      </c>
      <c r="D173" s="68">
        <f>IFERROR(__xludf.DUMMYFUNCTION("""COMPUTED_VALUE"""),178.72500000000002)</f>
        <v>178.725</v>
      </c>
      <c r="E173" s="69"/>
      <c r="F173" s="70"/>
      <c r="G173" s="70"/>
      <c r="H173" s="70"/>
      <c r="Q173" s="36"/>
    </row>
    <row r="174">
      <c r="A174" s="67">
        <v>172.0</v>
      </c>
      <c r="B174" s="11" t="str">
        <f>IFERROR(__xludf.DUMMYFUNCTION("""COMPUTED_VALUE"""),"XM18890")</f>
        <v>XM18890</v>
      </c>
      <c r="C174" s="11" t="str">
        <f>IFERROR(__xludf.DUMMYFUNCTION("""COMPUTED_VALUE"""),"NSHIP")</f>
        <v>NSHIP</v>
      </c>
      <c r="D174" s="68">
        <f>IFERROR(__xludf.DUMMYFUNCTION("""COMPUTED_VALUE"""),204.23000000000002)</f>
        <v>204.23</v>
      </c>
      <c r="E174" s="69"/>
      <c r="F174" s="70"/>
      <c r="G174" s="70"/>
      <c r="H174" s="70"/>
      <c r="Q174" s="36"/>
    </row>
    <row r="175">
      <c r="A175" s="67">
        <v>173.0</v>
      </c>
      <c r="B175" s="11" t="str">
        <f>IFERROR(__xludf.DUMMYFUNCTION("""COMPUTED_VALUE"""),"XM18891")</f>
        <v>XM18891</v>
      </c>
      <c r="C175" s="11" t="str">
        <f>IFERROR(__xludf.DUMMYFUNCTION("""COMPUTED_VALUE"""),"NSHIP")</f>
        <v>NSHIP</v>
      </c>
      <c r="D175" s="68">
        <f>IFERROR(__xludf.DUMMYFUNCTION("""COMPUTED_VALUE"""),168.47500000000002)</f>
        <v>168.475</v>
      </c>
      <c r="E175" s="69"/>
      <c r="F175" s="70"/>
      <c r="G175" s="70"/>
      <c r="H175" s="70"/>
      <c r="Q175" s="36"/>
    </row>
    <row r="176">
      <c r="A176" s="67">
        <v>174.0</v>
      </c>
      <c r="B176" s="11" t="str">
        <f>IFERROR(__xludf.DUMMYFUNCTION("""COMPUTED_VALUE"""),"XM18892")</f>
        <v>XM18892</v>
      </c>
      <c r="C176" s="11" t="str">
        <f>IFERROR(__xludf.DUMMYFUNCTION("""COMPUTED_VALUE"""),"NSHIP")</f>
        <v>NSHIP</v>
      </c>
      <c r="D176" s="68">
        <f>IFERROR(__xludf.DUMMYFUNCTION("""COMPUTED_VALUE"""),206.235)</f>
        <v>206.235</v>
      </c>
      <c r="E176" s="69"/>
      <c r="F176" s="70"/>
      <c r="G176" s="70"/>
      <c r="H176" s="70"/>
      <c r="Q176" s="36"/>
    </row>
    <row r="177">
      <c r="A177" s="67">
        <v>175.0</v>
      </c>
      <c r="B177" s="11" t="str">
        <f>IFERROR(__xludf.DUMMYFUNCTION("""COMPUTED_VALUE"""),"XM18893")</f>
        <v>XM18893</v>
      </c>
      <c r="C177" s="11" t="str">
        <f>IFERROR(__xludf.DUMMYFUNCTION("""COMPUTED_VALUE"""),"NSHIP")</f>
        <v>NSHIP</v>
      </c>
      <c r="D177" s="68">
        <f>IFERROR(__xludf.DUMMYFUNCTION("""COMPUTED_VALUE"""),99.7625)</f>
        <v>99.7625</v>
      </c>
      <c r="E177" s="69"/>
      <c r="F177" s="70"/>
      <c r="G177" s="70"/>
      <c r="H177" s="70"/>
      <c r="Q177" s="36"/>
    </row>
    <row r="178">
      <c r="A178" s="67">
        <v>176.0</v>
      </c>
      <c r="B178" s="11" t="str">
        <f>IFERROR(__xludf.DUMMYFUNCTION("""COMPUTED_VALUE"""),"KL187102")</f>
        <v>KL187102</v>
      </c>
      <c r="C178" s="11" t="str">
        <f>IFERROR(__xludf.DUMMYFUNCTION("""COMPUTED_VALUE"""),"NSHIP")</f>
        <v>NSHIP</v>
      </c>
      <c r="D178" s="68">
        <f>IFERROR(__xludf.DUMMYFUNCTION("""COMPUTED_VALUE"""),891.6525)</f>
        <v>891.6525</v>
      </c>
      <c r="E178" s="69"/>
      <c r="F178" s="70"/>
      <c r="G178" s="70"/>
      <c r="H178" s="70"/>
      <c r="Q178" s="36"/>
    </row>
    <row r="179">
      <c r="A179" s="67">
        <v>177.0</v>
      </c>
      <c r="B179" s="11" t="str">
        <f>IFERROR(__xludf.DUMMYFUNCTION("""COMPUTED_VALUE"""),"KL187103")</f>
        <v>KL187103</v>
      </c>
      <c r="C179" s="11" t="str">
        <f>IFERROR(__xludf.DUMMYFUNCTION("""COMPUTED_VALUE"""),"NSHIP")</f>
        <v>NSHIP</v>
      </c>
      <c r="D179" s="68">
        <f>IFERROR(__xludf.DUMMYFUNCTION("""COMPUTED_VALUE"""),870.875)</f>
        <v>870.875</v>
      </c>
      <c r="E179" s="69"/>
      <c r="F179" s="70"/>
      <c r="G179" s="70"/>
      <c r="H179" s="70"/>
      <c r="Q179" s="36"/>
    </row>
    <row r="180">
      <c r="A180" s="67">
        <v>178.0</v>
      </c>
      <c r="B180" s="11" t="str">
        <f>IFERROR(__xludf.DUMMYFUNCTION("""COMPUTED_VALUE"""),"KL187104")</f>
        <v>KL187104</v>
      </c>
      <c r="C180" s="11" t="str">
        <f>IFERROR(__xludf.DUMMYFUNCTION("""COMPUTED_VALUE"""),"NSHIP")</f>
        <v>NSHIP</v>
      </c>
      <c r="D180" s="68">
        <f>IFERROR(__xludf.DUMMYFUNCTION("""COMPUTED_VALUE"""),904.0)</f>
        <v>904</v>
      </c>
      <c r="E180" s="69"/>
      <c r="F180" s="70"/>
      <c r="G180" s="70"/>
      <c r="H180" s="70"/>
      <c r="Q180" s="36"/>
    </row>
    <row r="181">
      <c r="A181" s="67">
        <v>179.0</v>
      </c>
      <c r="B181" s="11" t="str">
        <f>IFERROR(__xludf.DUMMYFUNCTION("""COMPUTED_VALUE"""),"KL187105")</f>
        <v>KL187105</v>
      </c>
      <c r="C181" s="11" t="str">
        <f>IFERROR(__xludf.DUMMYFUNCTION("""COMPUTED_VALUE"""),"NSHIP")</f>
        <v>NSHIP</v>
      </c>
      <c r="D181" s="68">
        <f>IFERROR(__xludf.DUMMYFUNCTION("""COMPUTED_VALUE"""),870.875)</f>
        <v>870.875</v>
      </c>
      <c r="E181" s="69"/>
      <c r="F181" s="70"/>
      <c r="G181" s="70"/>
      <c r="H181" s="70"/>
      <c r="Q181" s="36"/>
    </row>
    <row r="182">
      <c r="A182" s="67">
        <v>180.0</v>
      </c>
      <c r="B182" s="11" t="str">
        <f>IFERROR(__xludf.DUMMYFUNCTION("""COMPUTED_VALUE"""),"KL187106")</f>
        <v>KL187106</v>
      </c>
      <c r="C182" s="11" t="str">
        <f>IFERROR(__xludf.DUMMYFUNCTION("""COMPUTED_VALUE"""),"NSHIP")</f>
        <v>NSHIP</v>
      </c>
      <c r="D182" s="68">
        <f>IFERROR(__xludf.DUMMYFUNCTION("""COMPUTED_VALUE"""),806.9449999999999)</f>
        <v>806.945</v>
      </c>
      <c r="E182" s="69"/>
      <c r="F182" s="70"/>
      <c r="G182" s="70"/>
      <c r="H182" s="70"/>
      <c r="Q182" s="36"/>
    </row>
    <row r="183">
      <c r="A183" s="67">
        <v>181.0</v>
      </c>
      <c r="B183" s="11" t="str">
        <f>IFERROR(__xludf.DUMMYFUNCTION("""COMPUTED_VALUE"""),"KL187107")</f>
        <v>KL187107</v>
      </c>
      <c r="C183" s="11" t="str">
        <f>IFERROR(__xludf.DUMMYFUNCTION("""COMPUTED_VALUE"""),"NSHIP")</f>
        <v>NSHIP</v>
      </c>
      <c r="D183" s="68">
        <f>IFERROR(__xludf.DUMMYFUNCTION("""COMPUTED_VALUE"""),1191.2975000000001)</f>
        <v>1191.2975</v>
      </c>
      <c r="E183" s="69"/>
      <c r="F183" s="70"/>
      <c r="G183" s="70"/>
      <c r="H183" s="70"/>
      <c r="Q183" s="36"/>
    </row>
    <row r="184">
      <c r="A184" s="67">
        <v>182.0</v>
      </c>
      <c r="B184" s="11" t="str">
        <f>IFERROR(__xludf.DUMMYFUNCTION("""COMPUTED_VALUE"""),"KL187108")</f>
        <v>KL187108</v>
      </c>
      <c r="C184" s="11" t="str">
        <f>IFERROR(__xludf.DUMMYFUNCTION("""COMPUTED_VALUE"""),"NSHIP")</f>
        <v>NSHIP</v>
      </c>
      <c r="D184" s="68">
        <f>IFERROR(__xludf.DUMMYFUNCTION("""COMPUTED_VALUE"""),1004.1049999999998)</f>
        <v>1004.105</v>
      </c>
      <c r="E184" s="69"/>
      <c r="F184" s="70"/>
      <c r="G184" s="70"/>
      <c r="H184" s="70"/>
      <c r="Q184" s="36"/>
    </row>
    <row r="185">
      <c r="A185" s="67">
        <v>183.0</v>
      </c>
      <c r="B185" s="11" t="str">
        <f>IFERROR(__xludf.DUMMYFUNCTION("""COMPUTED_VALUE"""),"KL187109")</f>
        <v>KL187109</v>
      </c>
      <c r="C185" s="11" t="str">
        <f>IFERROR(__xludf.DUMMYFUNCTION("""COMPUTED_VALUE"""),"NSHIP")</f>
        <v>NSHIP</v>
      </c>
      <c r="D185" s="68">
        <f>IFERROR(__xludf.DUMMYFUNCTION("""COMPUTED_VALUE"""),1182.25)</f>
        <v>1182.25</v>
      </c>
      <c r="E185" s="69"/>
      <c r="F185" s="70"/>
      <c r="G185" s="70"/>
      <c r="H185" s="70"/>
      <c r="Q185" s="36"/>
    </row>
    <row r="186">
      <c r="A186" s="67">
        <v>184.0</v>
      </c>
      <c r="B186" s="11" t="str">
        <f>IFERROR(__xludf.DUMMYFUNCTION("""COMPUTED_VALUE"""),"KL187110")</f>
        <v>KL187110</v>
      </c>
      <c r="C186" s="11" t="str">
        <f>IFERROR(__xludf.DUMMYFUNCTION("""COMPUTED_VALUE"""),"NSHIP")</f>
        <v>NSHIP</v>
      </c>
      <c r="D186" s="68">
        <f>IFERROR(__xludf.DUMMYFUNCTION("""COMPUTED_VALUE"""),984.765)</f>
        <v>984.765</v>
      </c>
      <c r="E186" s="69"/>
      <c r="F186" s="70"/>
      <c r="G186" s="70"/>
      <c r="H186" s="70"/>
      <c r="Q186" s="36"/>
    </row>
    <row r="187">
      <c r="A187" s="67">
        <v>185.0</v>
      </c>
      <c r="B187" s="11" t="str">
        <f>IFERROR(__xludf.DUMMYFUNCTION("""COMPUTED_VALUE"""),"KL187111")</f>
        <v>KL187111</v>
      </c>
      <c r="C187" s="11" t="str">
        <f>IFERROR(__xludf.DUMMYFUNCTION("""COMPUTED_VALUE"""),"NSHIP")</f>
        <v>NSHIP</v>
      </c>
      <c r="D187" s="68">
        <f>IFERROR(__xludf.DUMMYFUNCTION("""COMPUTED_VALUE"""),1021.5874999999999)</f>
        <v>1021.5875</v>
      </c>
      <c r="E187" s="69"/>
      <c r="F187" s="70"/>
      <c r="G187" s="70"/>
      <c r="H187" s="70"/>
      <c r="Q187" s="36"/>
    </row>
    <row r="188">
      <c r="A188" s="67">
        <v>186.0</v>
      </c>
      <c r="B188" s="11" t="str">
        <f>IFERROR(__xludf.DUMMYFUNCTION("""COMPUTED_VALUE"""),"KL187112")</f>
        <v>KL187112</v>
      </c>
      <c r="C188" s="11" t="str">
        <f>IFERROR(__xludf.DUMMYFUNCTION("""COMPUTED_VALUE"""),"NSHIP")</f>
        <v>NSHIP</v>
      </c>
      <c r="D188" s="68">
        <f>IFERROR(__xludf.DUMMYFUNCTION("""COMPUTED_VALUE"""),1027.2800000000002)</f>
        <v>1027.28</v>
      </c>
      <c r="E188" s="69"/>
      <c r="F188" s="70"/>
      <c r="G188" s="70"/>
      <c r="H188" s="70"/>
      <c r="Q188" s="36"/>
    </row>
    <row r="189">
      <c r="A189" s="67">
        <v>187.0</v>
      </c>
      <c r="B189" s="11" t="str">
        <f>IFERROR(__xludf.DUMMYFUNCTION("""COMPUTED_VALUE"""),"KL187113")</f>
        <v>KL187113</v>
      </c>
      <c r="C189" s="11" t="str">
        <f>IFERROR(__xludf.DUMMYFUNCTION("""COMPUTED_VALUE"""),"NSHIP")</f>
        <v>NSHIP</v>
      </c>
      <c r="D189" s="68">
        <f>IFERROR(__xludf.DUMMYFUNCTION("""COMPUTED_VALUE"""),1005.7325)</f>
        <v>1005.7325</v>
      </c>
      <c r="E189" s="69"/>
      <c r="F189" s="70"/>
      <c r="G189" s="70"/>
      <c r="H189" s="70"/>
      <c r="Q189" s="36"/>
    </row>
    <row r="190">
      <c r="A190" s="67">
        <v>188.0</v>
      </c>
      <c r="B190" s="11" t="str">
        <f>IFERROR(__xludf.DUMMYFUNCTION("""COMPUTED_VALUE"""),"KL187114")</f>
        <v>KL187114</v>
      </c>
      <c r="C190" s="11" t="str">
        <f>IFERROR(__xludf.DUMMYFUNCTION("""COMPUTED_VALUE"""),"NSHIP")</f>
        <v>NSHIP</v>
      </c>
      <c r="D190" s="68">
        <f>IFERROR(__xludf.DUMMYFUNCTION("""COMPUTED_VALUE"""),901.3125)</f>
        <v>901.3125</v>
      </c>
      <c r="E190" s="69"/>
      <c r="F190" s="70"/>
      <c r="G190" s="70"/>
      <c r="H190" s="70"/>
      <c r="Q190" s="36"/>
    </row>
    <row r="191">
      <c r="A191" s="67">
        <v>189.0</v>
      </c>
      <c r="B191" s="11" t="str">
        <f>IFERROR(__xludf.DUMMYFUNCTION("""COMPUTED_VALUE"""),"KL187115")</f>
        <v>KL187115</v>
      </c>
      <c r="C191" s="11" t="str">
        <f>IFERROR(__xludf.DUMMYFUNCTION("""COMPUTED_VALUE"""),"NSHIP")</f>
        <v>NSHIP</v>
      </c>
      <c r="D191" s="68">
        <f>IFERROR(__xludf.DUMMYFUNCTION("""COMPUTED_VALUE"""),965.3699999999999)</f>
        <v>965.37</v>
      </c>
      <c r="E191" s="69"/>
      <c r="F191" s="70"/>
      <c r="G191" s="70"/>
      <c r="H191" s="70"/>
      <c r="Q191" s="36"/>
    </row>
    <row r="192">
      <c r="A192" s="67">
        <v>190.0</v>
      </c>
      <c r="B192" s="11" t="str">
        <f>IFERROR(__xludf.DUMMYFUNCTION("""COMPUTED_VALUE"""),"KL187116")</f>
        <v>KL187116</v>
      </c>
      <c r="C192" s="11" t="str">
        <f>IFERROR(__xludf.DUMMYFUNCTION("""COMPUTED_VALUE"""),"NSHIP")</f>
        <v>NSHIP</v>
      </c>
      <c r="D192" s="68">
        <f>IFERROR(__xludf.DUMMYFUNCTION("""COMPUTED_VALUE"""),879.7475)</f>
        <v>879.7475</v>
      </c>
      <c r="E192" s="69"/>
      <c r="F192" s="70"/>
      <c r="G192" s="70"/>
      <c r="H192" s="70"/>
      <c r="Q192" s="36"/>
    </row>
    <row r="193">
      <c r="A193" s="67">
        <v>191.0</v>
      </c>
      <c r="B193" s="11" t="str">
        <f>IFERROR(__xludf.DUMMYFUNCTION("""COMPUTED_VALUE"""),"KL187117")</f>
        <v>KL187117</v>
      </c>
      <c r="C193" s="11" t="str">
        <f>IFERROR(__xludf.DUMMYFUNCTION("""COMPUTED_VALUE"""),"NSHIP")</f>
        <v>NSHIP</v>
      </c>
      <c r="D193" s="68">
        <f>IFERROR(__xludf.DUMMYFUNCTION("""COMPUTED_VALUE"""),928.5)</f>
        <v>928.5</v>
      </c>
      <c r="E193" s="69"/>
      <c r="F193" s="70"/>
      <c r="G193" s="70"/>
      <c r="H193" s="70"/>
      <c r="Q193" s="36"/>
    </row>
    <row r="194">
      <c r="A194" s="67">
        <v>192.0</v>
      </c>
      <c r="B194" s="11" t="str">
        <f>IFERROR(__xludf.DUMMYFUNCTION("""COMPUTED_VALUE"""),"LC18309")</f>
        <v>LC18309</v>
      </c>
      <c r="C194" s="11" t="str">
        <f>IFERROR(__xludf.DUMMYFUNCTION("""COMPUTED_VALUE"""),"NSHIP")</f>
        <v>NSHIP</v>
      </c>
      <c r="D194" s="68">
        <f>IFERROR(__xludf.DUMMYFUNCTION("""COMPUTED_VALUE"""),86.875)</f>
        <v>86.875</v>
      </c>
      <c r="E194" s="69"/>
      <c r="F194" s="70"/>
      <c r="G194" s="70"/>
      <c r="H194" s="70"/>
      <c r="Q194" s="36"/>
    </row>
    <row r="195">
      <c r="A195" s="67">
        <v>193.0</v>
      </c>
      <c r="B195" s="11"/>
      <c r="C195" s="11"/>
      <c r="Q195" s="36"/>
    </row>
    <row r="196">
      <c r="A196" s="67">
        <v>194.0</v>
      </c>
      <c r="B196" s="11"/>
      <c r="C196" s="11"/>
      <c r="Q196" s="36"/>
    </row>
    <row r="197">
      <c r="A197" s="67">
        <v>195.0</v>
      </c>
      <c r="B197" s="11"/>
      <c r="C197" s="11"/>
      <c r="Q197" s="36"/>
    </row>
    <row r="198">
      <c r="A198" s="67">
        <v>196.0</v>
      </c>
      <c r="B198" s="11"/>
      <c r="C198" s="11"/>
      <c r="Q198" s="36"/>
    </row>
    <row r="199">
      <c r="A199" s="67">
        <v>197.0</v>
      </c>
      <c r="B199" s="11"/>
      <c r="C199" s="11"/>
      <c r="Q199" s="36"/>
    </row>
    <row r="200">
      <c r="A200" s="67">
        <v>198.0</v>
      </c>
      <c r="B200" s="11"/>
      <c r="C200" s="11"/>
      <c r="Q200" s="36"/>
    </row>
    <row r="201">
      <c r="A201" s="67">
        <v>199.0</v>
      </c>
      <c r="B201" s="11"/>
      <c r="C201" s="11"/>
      <c r="Q201" s="36"/>
    </row>
    <row r="202">
      <c r="A202" s="67">
        <v>200.0</v>
      </c>
      <c r="B202" s="11"/>
      <c r="C202" s="11"/>
      <c r="Q202" s="36"/>
    </row>
    <row r="203">
      <c r="A203" s="67">
        <v>201.0</v>
      </c>
      <c r="B203" s="11"/>
      <c r="C203" s="11"/>
      <c r="Q203" s="36"/>
    </row>
    <row r="204">
      <c r="A204" s="67">
        <v>202.0</v>
      </c>
      <c r="B204" s="11"/>
      <c r="C204" s="11"/>
      <c r="Q204" s="36"/>
    </row>
    <row r="205">
      <c r="A205" s="67">
        <v>203.0</v>
      </c>
      <c r="B205" s="11"/>
      <c r="C205" s="11"/>
      <c r="Q205" s="36"/>
    </row>
    <row r="206">
      <c r="A206" s="67">
        <v>204.0</v>
      </c>
      <c r="B206" s="11"/>
      <c r="C206" s="11"/>
      <c r="Q206" s="36"/>
    </row>
    <row r="207">
      <c r="A207" s="67">
        <v>205.0</v>
      </c>
      <c r="B207" s="11"/>
      <c r="C207" s="11"/>
      <c r="Q207" s="36"/>
    </row>
    <row r="208">
      <c r="A208" s="67">
        <v>206.0</v>
      </c>
      <c r="B208" s="11"/>
      <c r="C208" s="11"/>
      <c r="Q208" s="36"/>
    </row>
    <row r="209">
      <c r="A209" s="67">
        <v>207.0</v>
      </c>
      <c r="B209" s="11"/>
      <c r="C209" s="11"/>
      <c r="Q209" s="36"/>
    </row>
    <row r="210">
      <c r="A210" s="67">
        <v>208.0</v>
      </c>
      <c r="B210" s="11"/>
      <c r="C210" s="11"/>
      <c r="Q210" s="36"/>
    </row>
    <row r="211">
      <c r="A211" s="67">
        <v>209.0</v>
      </c>
      <c r="B211" s="11"/>
      <c r="C211" s="11"/>
      <c r="Q211" s="36"/>
    </row>
    <row r="212">
      <c r="A212" s="67">
        <v>210.0</v>
      </c>
      <c r="B212" s="11"/>
      <c r="C212" s="11"/>
      <c r="Q212" s="36"/>
    </row>
    <row r="213">
      <c r="A213" s="67">
        <v>211.0</v>
      </c>
      <c r="B213" s="11"/>
      <c r="C213" s="11"/>
      <c r="Q213" s="36"/>
    </row>
    <row r="214">
      <c r="A214" s="67">
        <v>212.0</v>
      </c>
      <c r="B214" s="11"/>
      <c r="C214" s="11"/>
      <c r="Q214" s="36"/>
    </row>
    <row r="215">
      <c r="A215" s="67">
        <v>213.0</v>
      </c>
      <c r="B215" s="11"/>
      <c r="C215" s="11"/>
      <c r="Q215" s="36"/>
    </row>
    <row r="216">
      <c r="A216" s="67">
        <v>214.0</v>
      </c>
      <c r="B216" s="11"/>
      <c r="C216" s="11"/>
      <c r="Q216" s="36"/>
    </row>
    <row r="217">
      <c r="A217" s="67">
        <v>215.0</v>
      </c>
      <c r="B217" s="11"/>
      <c r="C217" s="11"/>
      <c r="Q217" s="36"/>
    </row>
    <row r="218">
      <c r="A218" s="67">
        <v>216.0</v>
      </c>
      <c r="B218" s="11"/>
      <c r="C218" s="11"/>
      <c r="Q218" s="36"/>
    </row>
    <row r="219">
      <c r="A219" s="67">
        <v>217.0</v>
      </c>
      <c r="B219" s="11"/>
      <c r="C219" s="11"/>
      <c r="Q219" s="36"/>
    </row>
    <row r="220">
      <c r="A220" s="67">
        <v>218.0</v>
      </c>
      <c r="B220" s="11"/>
      <c r="C220" s="11"/>
      <c r="Q220" s="36"/>
    </row>
    <row r="221">
      <c r="A221" s="11"/>
      <c r="B221" s="11"/>
      <c r="C221" s="11"/>
      <c r="Q221" s="36"/>
    </row>
    <row r="222">
      <c r="A222" s="11"/>
      <c r="B222" s="11"/>
      <c r="C222" s="11"/>
      <c r="Q222" s="36"/>
    </row>
    <row r="223">
      <c r="A223" s="11"/>
      <c r="B223" s="11"/>
      <c r="C223" s="11"/>
      <c r="Q223" s="36"/>
    </row>
    <row r="224">
      <c r="A224" s="11"/>
      <c r="B224" s="11"/>
      <c r="C224" s="11"/>
      <c r="Q224" s="36"/>
    </row>
    <row r="225">
      <c r="A225" s="11"/>
      <c r="B225" s="11"/>
      <c r="C225" s="11"/>
      <c r="Q225" s="36"/>
    </row>
    <row r="226">
      <c r="A226" s="11"/>
      <c r="B226" s="11"/>
      <c r="C226" s="11"/>
      <c r="Q226" s="36"/>
    </row>
    <row r="227">
      <c r="A227" s="11"/>
      <c r="B227" s="11"/>
      <c r="C227" s="11"/>
      <c r="Q227" s="36"/>
    </row>
    <row r="228">
      <c r="A228" s="11"/>
      <c r="B228" s="11"/>
      <c r="C228" s="11"/>
      <c r="Q228" s="36"/>
    </row>
    <row r="229">
      <c r="A229" s="11"/>
      <c r="B229" s="11"/>
      <c r="C229" s="11"/>
      <c r="Q229" s="36"/>
    </row>
    <row r="230">
      <c r="A230" s="11"/>
      <c r="B230" s="11"/>
      <c r="C230" s="11"/>
      <c r="Q230" s="36"/>
    </row>
    <row r="231">
      <c r="A231" s="11"/>
      <c r="B231" s="11"/>
      <c r="C231" s="11"/>
      <c r="Q231" s="36"/>
    </row>
    <row r="232">
      <c r="A232" s="11"/>
      <c r="B232" s="11"/>
      <c r="C232" s="11"/>
      <c r="Q232" s="36"/>
    </row>
    <row r="233">
      <c r="A233" s="11"/>
      <c r="B233" s="11"/>
      <c r="C233" s="11"/>
      <c r="Q233" s="36"/>
    </row>
    <row r="234">
      <c r="A234" s="11"/>
      <c r="B234" s="11"/>
      <c r="C234" s="11"/>
      <c r="Q234" s="36"/>
    </row>
    <row r="235">
      <c r="A235" s="11"/>
      <c r="B235" s="11"/>
      <c r="C235" s="11"/>
      <c r="Q235" s="36"/>
    </row>
    <row r="236">
      <c r="A236" s="11"/>
      <c r="B236" s="11"/>
      <c r="C236" s="11"/>
      <c r="Q236" s="36"/>
    </row>
    <row r="237">
      <c r="A237" s="11"/>
      <c r="B237" s="11"/>
      <c r="C237" s="11"/>
      <c r="Q237" s="36"/>
    </row>
    <row r="238">
      <c r="A238" s="11"/>
      <c r="B238" s="11"/>
      <c r="C238" s="11"/>
      <c r="Q238" s="36"/>
    </row>
    <row r="239">
      <c r="A239" s="11"/>
      <c r="B239" s="11"/>
      <c r="C239" s="11"/>
      <c r="Q239" s="36"/>
    </row>
    <row r="240">
      <c r="A240" s="11"/>
      <c r="B240" s="11"/>
      <c r="C240" s="11"/>
      <c r="Q240" s="36"/>
    </row>
    <row r="241">
      <c r="A241" s="11"/>
      <c r="B241" s="11"/>
      <c r="C241" s="11"/>
      <c r="Q241" s="36"/>
    </row>
    <row r="242">
      <c r="A242" s="11"/>
      <c r="B242" s="11"/>
      <c r="C242" s="11"/>
      <c r="Q242" s="36"/>
    </row>
    <row r="243">
      <c r="A243" s="11"/>
      <c r="B243" s="11"/>
      <c r="C243" s="11"/>
      <c r="Q243" s="36"/>
    </row>
    <row r="244">
      <c r="A244" s="11"/>
      <c r="B244" s="11"/>
      <c r="C244" s="11"/>
      <c r="Q244" s="36"/>
    </row>
    <row r="245">
      <c r="A245" s="11"/>
      <c r="B245" s="11"/>
      <c r="C245" s="11"/>
      <c r="Q245" s="36"/>
    </row>
    <row r="246">
      <c r="A246" s="11"/>
      <c r="B246" s="11"/>
      <c r="C246" s="11"/>
      <c r="Q246" s="36"/>
    </row>
    <row r="247">
      <c r="A247" s="11"/>
      <c r="B247" s="11"/>
      <c r="C247" s="11"/>
      <c r="Q247" s="36"/>
    </row>
    <row r="248">
      <c r="A248" s="11"/>
      <c r="B248" s="11"/>
      <c r="C248" s="11"/>
      <c r="Q248" s="36"/>
    </row>
    <row r="249">
      <c r="A249" s="11"/>
      <c r="B249" s="11"/>
      <c r="C249" s="11"/>
      <c r="Q249" s="36"/>
    </row>
    <row r="250">
      <c r="A250" s="11"/>
      <c r="B250" s="11"/>
      <c r="C250" s="11"/>
      <c r="Q250" s="36"/>
    </row>
    <row r="251">
      <c r="A251" s="11"/>
      <c r="B251" s="11"/>
      <c r="C251" s="11"/>
      <c r="Q251" s="36"/>
    </row>
    <row r="252">
      <c r="A252" s="11"/>
      <c r="B252" s="11"/>
      <c r="C252" s="11"/>
      <c r="Q252" s="36"/>
    </row>
    <row r="253">
      <c r="A253" s="11"/>
      <c r="B253" s="11"/>
      <c r="C253" s="11"/>
      <c r="Q253" s="36"/>
    </row>
    <row r="254">
      <c r="A254" s="11"/>
      <c r="B254" s="11"/>
      <c r="C254" s="11"/>
      <c r="Q254" s="36"/>
    </row>
    <row r="255">
      <c r="A255" s="11"/>
      <c r="B255" s="11"/>
      <c r="C255" s="11"/>
      <c r="Q255" s="36"/>
    </row>
    <row r="256">
      <c r="A256" s="11"/>
      <c r="B256" s="11"/>
      <c r="C256" s="11"/>
      <c r="Q256" s="36"/>
    </row>
    <row r="257">
      <c r="A257" s="11"/>
      <c r="B257" s="11"/>
      <c r="C257" s="11"/>
      <c r="Q257" s="36"/>
    </row>
    <row r="258">
      <c r="A258" s="11"/>
      <c r="B258" s="11"/>
      <c r="C258" s="11"/>
      <c r="Q258" s="36"/>
    </row>
    <row r="259">
      <c r="A259" s="11"/>
      <c r="B259" s="11"/>
      <c r="C259" s="11"/>
      <c r="Q259" s="36"/>
    </row>
    <row r="260">
      <c r="A260" s="11"/>
      <c r="B260" s="11"/>
      <c r="C260" s="11"/>
      <c r="Q260" s="36"/>
    </row>
    <row r="261">
      <c r="A261" s="11"/>
      <c r="B261" s="11"/>
      <c r="C261" s="11"/>
      <c r="Q261" s="36"/>
    </row>
    <row r="262">
      <c r="A262" s="11"/>
      <c r="B262" s="11"/>
      <c r="C262" s="11"/>
      <c r="Q262" s="36"/>
    </row>
    <row r="263">
      <c r="A263" s="11"/>
      <c r="B263" s="11"/>
      <c r="C263" s="11"/>
      <c r="Q263" s="36"/>
    </row>
    <row r="264">
      <c r="A264" s="11"/>
      <c r="B264" s="11"/>
      <c r="C264" s="11"/>
      <c r="Q264" s="36"/>
    </row>
    <row r="265">
      <c r="A265" s="11"/>
      <c r="B265" s="11"/>
      <c r="C265" s="11"/>
      <c r="Q265" s="36"/>
    </row>
    <row r="266">
      <c r="A266" s="11"/>
      <c r="B266" s="11"/>
      <c r="C266" s="11"/>
      <c r="Q266" s="36"/>
    </row>
    <row r="267">
      <c r="A267" s="11"/>
      <c r="B267" s="11"/>
      <c r="C267" s="11"/>
      <c r="Q267" s="36"/>
    </row>
    <row r="268">
      <c r="A268" s="11"/>
      <c r="B268" s="11"/>
      <c r="C268" s="11"/>
      <c r="Q268" s="36"/>
    </row>
    <row r="269">
      <c r="A269" s="11"/>
      <c r="B269" s="11"/>
      <c r="C269" s="11"/>
      <c r="Q269" s="36"/>
    </row>
    <row r="270">
      <c r="A270" s="11"/>
      <c r="B270" s="11"/>
      <c r="C270" s="11"/>
      <c r="Q270" s="36"/>
    </row>
    <row r="271">
      <c r="A271" s="11"/>
      <c r="B271" s="11"/>
      <c r="C271" s="11"/>
      <c r="Q271" s="36"/>
    </row>
    <row r="272">
      <c r="A272" s="11"/>
      <c r="B272" s="11"/>
      <c r="C272" s="11"/>
      <c r="Q272" s="36"/>
    </row>
    <row r="273">
      <c r="A273" s="11"/>
      <c r="B273" s="11"/>
      <c r="C273" s="11"/>
      <c r="Q273" s="36"/>
    </row>
    <row r="274">
      <c r="A274" s="11"/>
      <c r="B274" s="11"/>
      <c r="C274" s="11"/>
      <c r="Q274" s="36"/>
    </row>
    <row r="275">
      <c r="A275" s="11"/>
      <c r="B275" s="11"/>
      <c r="C275" s="11"/>
      <c r="Q275" s="36"/>
    </row>
    <row r="276">
      <c r="A276" s="11"/>
      <c r="B276" s="11"/>
      <c r="C276" s="11"/>
      <c r="Q276" s="36"/>
    </row>
    <row r="277">
      <c r="A277" s="11"/>
      <c r="B277" s="11"/>
      <c r="C277" s="11"/>
      <c r="Q277" s="36"/>
    </row>
    <row r="278">
      <c r="A278" s="11"/>
      <c r="B278" s="11"/>
      <c r="C278" s="11"/>
      <c r="Q278" s="36"/>
    </row>
    <row r="279">
      <c r="A279" s="11"/>
      <c r="B279" s="11"/>
      <c r="C279" s="11"/>
      <c r="Q279" s="36"/>
    </row>
    <row r="280">
      <c r="A280" s="11"/>
      <c r="B280" s="11"/>
      <c r="C280" s="11"/>
      <c r="Q280" s="36"/>
    </row>
    <row r="281">
      <c r="A281" s="11"/>
      <c r="B281" s="11"/>
      <c r="C281" s="11"/>
      <c r="Q281" s="36"/>
    </row>
    <row r="282">
      <c r="A282" s="11"/>
      <c r="B282" s="11"/>
      <c r="C282" s="11"/>
      <c r="Q282" s="36"/>
    </row>
    <row r="283">
      <c r="A283" s="11"/>
      <c r="B283" s="11"/>
      <c r="C283" s="11"/>
      <c r="Q283" s="36"/>
    </row>
    <row r="284">
      <c r="A284" s="11"/>
      <c r="B284" s="11"/>
      <c r="C284" s="11"/>
      <c r="Q284" s="36"/>
    </row>
    <row r="285">
      <c r="A285" s="11"/>
      <c r="B285" s="11"/>
      <c r="C285" s="11"/>
      <c r="Q285" s="36"/>
    </row>
    <row r="286">
      <c r="A286" s="11"/>
      <c r="B286" s="11"/>
      <c r="C286" s="11"/>
      <c r="Q286" s="36"/>
    </row>
    <row r="287">
      <c r="A287" s="11"/>
      <c r="B287" s="11"/>
      <c r="C287" s="11"/>
      <c r="Q287" s="36"/>
    </row>
    <row r="288">
      <c r="A288" s="11"/>
      <c r="B288" s="11"/>
      <c r="C288" s="11"/>
      <c r="Q288" s="36"/>
    </row>
    <row r="289">
      <c r="A289" s="11"/>
      <c r="B289" s="11"/>
      <c r="C289" s="11"/>
      <c r="Q289" s="36"/>
    </row>
    <row r="290">
      <c r="A290" s="11"/>
      <c r="B290" s="11"/>
      <c r="C290" s="11"/>
      <c r="Q290" s="36"/>
    </row>
    <row r="291">
      <c r="A291" s="11"/>
      <c r="B291" s="11"/>
      <c r="C291" s="11"/>
      <c r="Q291" s="36"/>
    </row>
    <row r="292">
      <c r="A292" s="11"/>
      <c r="B292" s="11"/>
      <c r="C292" s="11"/>
      <c r="Q292" s="36"/>
    </row>
    <row r="293">
      <c r="A293" s="11"/>
      <c r="B293" s="11"/>
      <c r="C293" s="11"/>
      <c r="Q293" s="36"/>
    </row>
    <row r="294">
      <c r="A294" s="11"/>
      <c r="B294" s="11"/>
      <c r="C294" s="11"/>
      <c r="Q294" s="36"/>
    </row>
    <row r="295">
      <c r="A295" s="11"/>
      <c r="B295" s="11"/>
      <c r="C295" s="11"/>
      <c r="Q295" s="36"/>
    </row>
    <row r="296">
      <c r="A296" s="11"/>
      <c r="B296" s="11"/>
      <c r="C296" s="11"/>
      <c r="Q296" s="36"/>
    </row>
    <row r="297">
      <c r="A297" s="11"/>
      <c r="B297" s="11"/>
      <c r="C297" s="11"/>
      <c r="Q297" s="36"/>
    </row>
    <row r="298">
      <c r="A298" s="11"/>
      <c r="B298" s="11"/>
      <c r="C298" s="11"/>
      <c r="Q298" s="36"/>
    </row>
    <row r="299">
      <c r="A299" s="11"/>
      <c r="B299" s="11"/>
      <c r="C299" s="11"/>
      <c r="Q299" s="36"/>
    </row>
    <row r="300">
      <c r="A300" s="11"/>
      <c r="B300" s="11"/>
      <c r="C300" s="11"/>
      <c r="Q300" s="36"/>
    </row>
    <row r="301">
      <c r="A301" s="11"/>
      <c r="B301" s="11"/>
      <c r="C301" s="11"/>
      <c r="Q301" s="36"/>
    </row>
    <row r="302">
      <c r="A302" s="11"/>
      <c r="B302" s="11"/>
      <c r="C302" s="11"/>
      <c r="Q302" s="36"/>
    </row>
    <row r="303">
      <c r="A303" s="11"/>
      <c r="B303" s="11"/>
      <c r="C303" s="11"/>
      <c r="Q303" s="36"/>
    </row>
    <row r="304">
      <c r="A304" s="11"/>
      <c r="B304" s="11"/>
      <c r="C304" s="11"/>
      <c r="Q304" s="36"/>
    </row>
    <row r="305">
      <c r="A305" s="11"/>
      <c r="B305" s="11"/>
      <c r="C305" s="11"/>
      <c r="Q305" s="36"/>
    </row>
    <row r="306">
      <c r="A306" s="11"/>
      <c r="B306" s="11"/>
      <c r="C306" s="11"/>
      <c r="Q306" s="36"/>
    </row>
    <row r="307">
      <c r="A307" s="11"/>
      <c r="B307" s="11"/>
      <c r="C307" s="11"/>
      <c r="Q307" s="36"/>
    </row>
    <row r="308">
      <c r="A308" s="11"/>
      <c r="B308" s="11"/>
      <c r="C308" s="11"/>
      <c r="Q308" s="36"/>
    </row>
    <row r="309">
      <c r="A309" s="11"/>
      <c r="B309" s="11"/>
      <c r="C309" s="11"/>
      <c r="Q309" s="36"/>
    </row>
    <row r="310">
      <c r="A310" s="11"/>
      <c r="B310" s="11"/>
      <c r="C310" s="11"/>
      <c r="Q310" s="36"/>
    </row>
    <row r="311">
      <c r="A311" s="11"/>
      <c r="B311" s="11"/>
      <c r="C311" s="11"/>
      <c r="Q311" s="36"/>
    </row>
    <row r="312">
      <c r="A312" s="11"/>
      <c r="B312" s="11"/>
      <c r="C312" s="11"/>
      <c r="Q312" s="36"/>
    </row>
    <row r="313">
      <c r="A313" s="11"/>
      <c r="B313" s="11"/>
      <c r="C313" s="11"/>
      <c r="Q313" s="36"/>
    </row>
    <row r="314">
      <c r="A314" s="11"/>
      <c r="B314" s="11"/>
      <c r="C314" s="11"/>
      <c r="Q314" s="36"/>
    </row>
    <row r="315">
      <c r="A315" s="11"/>
      <c r="B315" s="11"/>
      <c r="C315" s="11"/>
      <c r="Q315" s="36"/>
    </row>
    <row r="316">
      <c r="A316" s="11"/>
      <c r="B316" s="11"/>
      <c r="C316" s="11"/>
      <c r="Q316" s="36"/>
    </row>
    <row r="317">
      <c r="A317" s="11"/>
      <c r="B317" s="11"/>
      <c r="C317" s="11"/>
      <c r="Q317" s="36"/>
    </row>
    <row r="318">
      <c r="A318" s="11"/>
      <c r="B318" s="11"/>
      <c r="C318" s="11"/>
      <c r="Q318" s="36"/>
    </row>
    <row r="319">
      <c r="A319" s="11"/>
      <c r="B319" s="11"/>
      <c r="C319" s="11"/>
      <c r="Q319" s="36"/>
    </row>
    <row r="320">
      <c r="A320" s="11"/>
      <c r="B320" s="11"/>
      <c r="C320" s="11"/>
      <c r="Q320" s="36"/>
    </row>
    <row r="321">
      <c r="A321" s="11"/>
      <c r="B321" s="11"/>
      <c r="C321" s="11"/>
      <c r="Q321" s="36"/>
    </row>
    <row r="322">
      <c r="A322" s="11"/>
      <c r="B322" s="11"/>
      <c r="C322" s="11"/>
      <c r="Q322" s="36"/>
    </row>
    <row r="323">
      <c r="A323" s="11"/>
      <c r="B323" s="11"/>
      <c r="C323" s="11"/>
      <c r="Q323" s="36"/>
    </row>
    <row r="324">
      <c r="A324" s="11"/>
      <c r="B324" s="11"/>
      <c r="C324" s="11"/>
      <c r="Q324" s="36"/>
    </row>
    <row r="325">
      <c r="A325" s="11"/>
      <c r="B325" s="11"/>
      <c r="C325" s="11"/>
      <c r="Q325" s="36"/>
    </row>
    <row r="326">
      <c r="A326" s="11"/>
      <c r="B326" s="11"/>
      <c r="C326" s="11"/>
      <c r="Q326" s="36"/>
    </row>
    <row r="327">
      <c r="A327" s="11"/>
      <c r="B327" s="11"/>
      <c r="C327" s="11"/>
      <c r="Q327" s="36"/>
    </row>
    <row r="328">
      <c r="A328" s="11"/>
      <c r="B328" s="11"/>
      <c r="C328" s="11"/>
      <c r="Q328" s="36"/>
    </row>
    <row r="329">
      <c r="A329" s="11"/>
      <c r="B329" s="11"/>
      <c r="C329" s="11"/>
      <c r="Q329" s="36"/>
    </row>
    <row r="330">
      <c r="A330" s="11"/>
      <c r="B330" s="11"/>
      <c r="C330" s="11"/>
      <c r="Q330" s="36"/>
    </row>
    <row r="331">
      <c r="A331" s="11"/>
      <c r="B331" s="11"/>
      <c r="C331" s="11"/>
      <c r="Q331" s="36"/>
    </row>
    <row r="332">
      <c r="A332" s="11"/>
      <c r="B332" s="11"/>
      <c r="C332" s="11"/>
      <c r="Q332" s="36"/>
    </row>
    <row r="333">
      <c r="A333" s="11"/>
      <c r="B333" s="11"/>
      <c r="C333" s="11"/>
      <c r="Q333" s="36"/>
    </row>
    <row r="334">
      <c r="A334" s="11"/>
      <c r="B334" s="11"/>
      <c r="C334" s="11"/>
      <c r="Q334" s="36"/>
    </row>
    <row r="335">
      <c r="A335" s="11"/>
      <c r="B335" s="11"/>
      <c r="C335" s="11"/>
      <c r="Q335" s="36"/>
    </row>
    <row r="336">
      <c r="A336" s="11"/>
      <c r="B336" s="11"/>
      <c r="C336" s="11"/>
      <c r="Q336" s="36"/>
    </row>
    <row r="337">
      <c r="A337" s="11"/>
      <c r="B337" s="11"/>
      <c r="C337" s="11"/>
      <c r="Q337" s="36"/>
    </row>
    <row r="338">
      <c r="A338" s="11"/>
      <c r="B338" s="11"/>
      <c r="C338" s="11"/>
      <c r="Q338" s="36"/>
    </row>
    <row r="339">
      <c r="A339" s="11"/>
      <c r="B339" s="11"/>
      <c r="C339" s="11"/>
      <c r="Q339" s="36"/>
    </row>
    <row r="340">
      <c r="A340" s="11"/>
      <c r="B340" s="11"/>
      <c r="C340" s="11"/>
      <c r="Q340" s="36"/>
    </row>
    <row r="341">
      <c r="A341" s="11"/>
      <c r="B341" s="11"/>
      <c r="C341" s="11"/>
      <c r="Q341" s="36"/>
    </row>
    <row r="342">
      <c r="A342" s="11"/>
      <c r="B342" s="11"/>
      <c r="C342" s="11"/>
      <c r="Q342" s="36"/>
    </row>
    <row r="343">
      <c r="A343" s="11"/>
      <c r="B343" s="11"/>
      <c r="C343" s="11"/>
      <c r="Q343" s="36"/>
    </row>
    <row r="344">
      <c r="A344" s="11"/>
      <c r="B344" s="11"/>
      <c r="C344" s="11"/>
      <c r="Q344" s="36"/>
    </row>
    <row r="345">
      <c r="A345" s="11"/>
      <c r="B345" s="11"/>
      <c r="C345" s="11"/>
      <c r="Q345" s="36"/>
    </row>
    <row r="346">
      <c r="A346" s="11"/>
      <c r="B346" s="11"/>
      <c r="C346" s="11"/>
      <c r="Q346" s="36"/>
    </row>
    <row r="347">
      <c r="A347" s="11"/>
      <c r="B347" s="11"/>
      <c r="C347" s="11"/>
      <c r="Q347" s="36"/>
    </row>
    <row r="348">
      <c r="A348" s="11"/>
      <c r="B348" s="11"/>
      <c r="C348" s="11"/>
      <c r="Q348" s="36"/>
    </row>
    <row r="349">
      <c r="A349" s="11"/>
      <c r="B349" s="11"/>
      <c r="C349" s="11"/>
      <c r="Q349" s="36"/>
    </row>
    <row r="350">
      <c r="A350" s="11"/>
      <c r="B350" s="11"/>
      <c r="C350" s="11"/>
      <c r="Q350" s="36"/>
    </row>
    <row r="351">
      <c r="A351" s="11"/>
      <c r="B351" s="11"/>
      <c r="C351" s="11"/>
      <c r="Q351" s="36"/>
    </row>
    <row r="352">
      <c r="A352" s="11"/>
      <c r="B352" s="11"/>
      <c r="C352" s="11"/>
      <c r="Q352" s="36"/>
    </row>
    <row r="353">
      <c r="A353" s="11"/>
      <c r="B353" s="11"/>
      <c r="C353" s="11"/>
      <c r="Q353" s="36"/>
    </row>
    <row r="354">
      <c r="A354" s="11"/>
      <c r="B354" s="11"/>
      <c r="C354" s="11"/>
      <c r="Q354" s="36"/>
    </row>
    <row r="355">
      <c r="A355" s="11"/>
      <c r="B355" s="11"/>
      <c r="C355" s="11"/>
      <c r="Q355" s="36"/>
    </row>
    <row r="356">
      <c r="A356" s="11"/>
      <c r="B356" s="11"/>
      <c r="C356" s="11"/>
      <c r="Q356" s="36"/>
    </row>
    <row r="357">
      <c r="A357" s="11"/>
      <c r="B357" s="11"/>
      <c r="C357" s="11"/>
      <c r="Q357" s="36"/>
    </row>
    <row r="358">
      <c r="A358" s="11"/>
      <c r="B358" s="11"/>
      <c r="C358" s="11"/>
      <c r="Q358" s="36"/>
    </row>
    <row r="359">
      <c r="A359" s="11"/>
      <c r="B359" s="11"/>
      <c r="C359" s="11"/>
      <c r="Q359" s="36"/>
    </row>
    <row r="360">
      <c r="A360" s="11"/>
      <c r="B360" s="11"/>
      <c r="C360" s="11"/>
      <c r="Q360" s="36"/>
    </row>
    <row r="361">
      <c r="A361" s="11"/>
      <c r="B361" s="11"/>
      <c r="C361" s="11"/>
      <c r="Q361" s="36"/>
    </row>
    <row r="362">
      <c r="A362" s="11"/>
      <c r="B362" s="11"/>
      <c r="C362" s="11"/>
      <c r="Q362" s="36"/>
    </row>
    <row r="363">
      <c r="A363" s="11"/>
      <c r="B363" s="11"/>
      <c r="C363" s="11"/>
      <c r="Q363" s="36"/>
    </row>
    <row r="364">
      <c r="A364" s="11"/>
      <c r="B364" s="11"/>
      <c r="C364" s="11"/>
      <c r="Q364" s="36"/>
    </row>
    <row r="365">
      <c r="A365" s="11"/>
      <c r="B365" s="11"/>
      <c r="C365" s="11"/>
      <c r="Q365" s="36"/>
    </row>
    <row r="366">
      <c r="A366" s="11"/>
      <c r="B366" s="11"/>
      <c r="C366" s="11"/>
      <c r="Q366" s="36"/>
    </row>
    <row r="367">
      <c r="A367" s="11"/>
      <c r="B367" s="11"/>
      <c r="C367" s="11"/>
      <c r="Q367" s="36"/>
    </row>
    <row r="368">
      <c r="A368" s="11"/>
      <c r="B368" s="11"/>
      <c r="C368" s="11"/>
      <c r="Q368" s="36"/>
    </row>
    <row r="369">
      <c r="A369" s="11"/>
      <c r="B369" s="11"/>
      <c r="C369" s="11"/>
      <c r="Q369" s="36"/>
    </row>
    <row r="370">
      <c r="A370" s="11"/>
      <c r="B370" s="11"/>
      <c r="C370" s="11"/>
      <c r="Q370" s="36"/>
    </row>
    <row r="371">
      <c r="A371" s="11"/>
      <c r="B371" s="11"/>
      <c r="C371" s="11"/>
      <c r="Q371" s="36"/>
    </row>
    <row r="372">
      <c r="A372" s="11"/>
      <c r="B372" s="11"/>
      <c r="C372" s="11"/>
      <c r="Q372" s="36"/>
    </row>
    <row r="373">
      <c r="A373" s="11"/>
      <c r="B373" s="11"/>
      <c r="C373" s="11"/>
      <c r="Q373" s="36"/>
    </row>
    <row r="374">
      <c r="A374" s="11"/>
      <c r="B374" s="11"/>
      <c r="C374" s="11"/>
      <c r="Q374" s="36"/>
    </row>
    <row r="375">
      <c r="A375" s="11"/>
      <c r="B375" s="11"/>
      <c r="C375" s="11"/>
      <c r="Q375" s="36"/>
    </row>
    <row r="376">
      <c r="A376" s="11"/>
      <c r="B376" s="11"/>
      <c r="C376" s="11"/>
      <c r="Q376" s="36"/>
    </row>
    <row r="377">
      <c r="A377" s="11"/>
      <c r="B377" s="11"/>
      <c r="C377" s="11"/>
      <c r="Q377" s="36"/>
    </row>
    <row r="378">
      <c r="A378" s="11"/>
      <c r="B378" s="11"/>
      <c r="C378" s="11"/>
      <c r="Q378" s="36"/>
    </row>
    <row r="379">
      <c r="A379" s="11"/>
      <c r="B379" s="11"/>
      <c r="C379" s="11"/>
      <c r="Q379" s="36"/>
    </row>
    <row r="380">
      <c r="A380" s="11"/>
      <c r="B380" s="11"/>
      <c r="C380" s="11"/>
      <c r="Q380" s="36"/>
    </row>
    <row r="381">
      <c r="A381" s="11"/>
      <c r="B381" s="11"/>
      <c r="C381" s="11"/>
      <c r="Q381" s="36"/>
    </row>
    <row r="382">
      <c r="A382" s="11"/>
      <c r="B382" s="11"/>
      <c r="C382" s="11"/>
      <c r="Q382" s="36"/>
    </row>
    <row r="383">
      <c r="A383" s="11"/>
      <c r="B383" s="11"/>
      <c r="C383" s="11"/>
      <c r="Q383" s="36"/>
    </row>
    <row r="384">
      <c r="A384" s="11"/>
      <c r="B384" s="11"/>
      <c r="C384" s="11"/>
      <c r="Q384" s="36"/>
    </row>
    <row r="385">
      <c r="A385" s="11"/>
      <c r="B385" s="11"/>
      <c r="C385" s="11"/>
      <c r="Q385" s="36"/>
    </row>
    <row r="386">
      <c r="A386" s="11"/>
      <c r="B386" s="11"/>
      <c r="C386" s="11"/>
      <c r="Q386" s="36"/>
    </row>
    <row r="387">
      <c r="A387" s="11"/>
      <c r="B387" s="11"/>
      <c r="C387" s="11"/>
      <c r="Q387" s="36"/>
    </row>
    <row r="388">
      <c r="A388" s="11"/>
      <c r="B388" s="11"/>
      <c r="C388" s="11"/>
      <c r="Q388" s="36"/>
    </row>
    <row r="389">
      <c r="A389" s="11"/>
      <c r="B389" s="11"/>
      <c r="C389" s="11"/>
      <c r="Q389" s="36"/>
    </row>
    <row r="390">
      <c r="A390" s="11"/>
      <c r="B390" s="11"/>
      <c r="C390" s="11"/>
      <c r="Q390" s="36"/>
    </row>
    <row r="391">
      <c r="A391" s="11"/>
      <c r="B391" s="11"/>
      <c r="C391" s="11"/>
      <c r="Q391" s="36"/>
    </row>
    <row r="392">
      <c r="A392" s="11"/>
      <c r="B392" s="11"/>
      <c r="C392" s="11"/>
      <c r="Q392" s="36"/>
    </row>
    <row r="393">
      <c r="A393" s="11"/>
      <c r="B393" s="11"/>
      <c r="C393" s="11"/>
      <c r="Q393" s="36"/>
    </row>
    <row r="394">
      <c r="A394" s="11"/>
      <c r="B394" s="11"/>
      <c r="C394" s="11"/>
      <c r="Q394" s="36"/>
    </row>
    <row r="395">
      <c r="A395" s="11"/>
      <c r="B395" s="11"/>
      <c r="C395" s="11"/>
      <c r="Q395" s="36"/>
    </row>
    <row r="396">
      <c r="A396" s="11"/>
      <c r="B396" s="11"/>
      <c r="C396" s="11"/>
      <c r="Q396" s="36"/>
    </row>
    <row r="397">
      <c r="A397" s="11"/>
      <c r="B397" s="11"/>
      <c r="C397" s="11"/>
      <c r="Q397" s="36"/>
    </row>
    <row r="398">
      <c r="A398" s="11"/>
      <c r="B398" s="11"/>
      <c r="C398" s="11"/>
      <c r="Q398" s="36"/>
    </row>
    <row r="399">
      <c r="A399" s="11"/>
      <c r="B399" s="11"/>
      <c r="C399" s="11"/>
      <c r="Q399" s="36"/>
    </row>
    <row r="400">
      <c r="A400" s="11"/>
      <c r="B400" s="11"/>
      <c r="C400" s="11"/>
      <c r="Q400" s="36"/>
    </row>
    <row r="401">
      <c r="A401" s="11"/>
      <c r="B401" s="11"/>
      <c r="C401" s="11"/>
      <c r="Q401" s="36"/>
    </row>
    <row r="402">
      <c r="A402" s="11"/>
      <c r="B402" s="11"/>
      <c r="C402" s="11"/>
      <c r="Q402" s="36"/>
    </row>
    <row r="403">
      <c r="A403" s="11"/>
      <c r="B403" s="11"/>
      <c r="C403" s="11"/>
      <c r="Q403" s="36"/>
    </row>
    <row r="404">
      <c r="A404" s="11"/>
      <c r="B404" s="11"/>
      <c r="C404" s="11"/>
      <c r="Q404" s="36"/>
    </row>
    <row r="405">
      <c r="A405" s="11"/>
      <c r="B405" s="11"/>
      <c r="C405" s="11"/>
      <c r="Q405" s="36"/>
    </row>
    <row r="406">
      <c r="A406" s="11"/>
      <c r="B406" s="11"/>
      <c r="C406" s="11"/>
      <c r="Q406" s="36"/>
    </row>
    <row r="407">
      <c r="A407" s="11"/>
      <c r="B407" s="11"/>
      <c r="C407" s="11"/>
      <c r="Q407" s="36"/>
    </row>
    <row r="408">
      <c r="A408" s="11"/>
      <c r="B408" s="11"/>
      <c r="C408" s="11"/>
      <c r="Q408" s="36"/>
    </row>
    <row r="409">
      <c r="A409" s="11"/>
      <c r="B409" s="11"/>
      <c r="C409" s="11"/>
      <c r="Q409" s="36"/>
    </row>
    <row r="410">
      <c r="A410" s="11"/>
      <c r="B410" s="11"/>
      <c r="C410" s="11"/>
      <c r="Q410" s="36"/>
    </row>
    <row r="411">
      <c r="A411" s="11"/>
      <c r="B411" s="11"/>
      <c r="C411" s="11"/>
      <c r="Q411" s="36"/>
    </row>
    <row r="412">
      <c r="A412" s="11"/>
      <c r="B412" s="11"/>
      <c r="C412" s="11"/>
      <c r="Q412" s="36"/>
    </row>
    <row r="413">
      <c r="A413" s="11"/>
      <c r="B413" s="11"/>
      <c r="C413" s="11"/>
      <c r="Q413" s="36"/>
    </row>
    <row r="414">
      <c r="A414" s="11"/>
      <c r="B414" s="11"/>
      <c r="C414" s="11"/>
      <c r="Q414" s="36"/>
    </row>
    <row r="415">
      <c r="A415" s="11"/>
      <c r="B415" s="11"/>
      <c r="C415" s="11"/>
      <c r="Q415" s="36"/>
    </row>
    <row r="416">
      <c r="A416" s="11"/>
      <c r="B416" s="11"/>
      <c r="C416" s="11"/>
      <c r="Q416" s="36"/>
    </row>
    <row r="417">
      <c r="A417" s="11"/>
      <c r="B417" s="11"/>
      <c r="C417" s="11"/>
      <c r="Q417" s="36"/>
    </row>
    <row r="418">
      <c r="A418" s="11"/>
      <c r="B418" s="11"/>
      <c r="C418" s="11"/>
      <c r="Q418" s="36"/>
    </row>
    <row r="419">
      <c r="A419" s="11"/>
      <c r="B419" s="11"/>
      <c r="C419" s="11"/>
      <c r="Q419" s="36"/>
    </row>
    <row r="420">
      <c r="A420" s="11"/>
      <c r="B420" s="11"/>
      <c r="C420" s="11"/>
      <c r="Q420" s="36"/>
    </row>
    <row r="421">
      <c r="A421" s="11"/>
      <c r="B421" s="11"/>
      <c r="C421" s="11"/>
      <c r="Q421" s="36"/>
    </row>
    <row r="422">
      <c r="A422" s="11"/>
      <c r="B422" s="11"/>
      <c r="C422" s="11"/>
      <c r="Q422" s="36"/>
    </row>
    <row r="423">
      <c r="A423" s="11"/>
      <c r="B423" s="11"/>
      <c r="C423" s="11"/>
      <c r="Q423" s="36"/>
    </row>
    <row r="424">
      <c r="A424" s="11"/>
      <c r="B424" s="11"/>
      <c r="C424" s="11"/>
      <c r="Q424" s="36"/>
    </row>
    <row r="425">
      <c r="A425" s="11"/>
      <c r="B425" s="11"/>
      <c r="C425" s="11"/>
      <c r="Q425" s="36"/>
    </row>
    <row r="426">
      <c r="A426" s="11"/>
      <c r="B426" s="11"/>
      <c r="C426" s="11"/>
      <c r="Q426" s="36"/>
    </row>
    <row r="427">
      <c r="A427" s="11"/>
      <c r="B427" s="11"/>
      <c r="C427" s="11"/>
      <c r="Q427" s="36"/>
    </row>
    <row r="428">
      <c r="A428" s="11"/>
      <c r="B428" s="11"/>
      <c r="C428" s="11"/>
      <c r="Q428" s="36"/>
    </row>
    <row r="429">
      <c r="A429" s="11"/>
      <c r="B429" s="11"/>
      <c r="C429" s="11"/>
      <c r="Q429" s="36"/>
    </row>
    <row r="430">
      <c r="A430" s="11"/>
      <c r="B430" s="11"/>
      <c r="C430" s="11"/>
      <c r="Q430" s="36"/>
    </row>
    <row r="431">
      <c r="A431" s="11"/>
      <c r="B431" s="11"/>
      <c r="C431" s="11"/>
      <c r="Q431" s="36"/>
    </row>
    <row r="432">
      <c r="A432" s="11"/>
      <c r="B432" s="11"/>
      <c r="C432" s="11"/>
      <c r="Q432" s="36"/>
    </row>
    <row r="433">
      <c r="A433" s="11"/>
      <c r="B433" s="11"/>
      <c r="C433" s="11"/>
      <c r="Q433" s="36"/>
    </row>
    <row r="434">
      <c r="A434" s="11"/>
      <c r="B434" s="11"/>
      <c r="C434" s="11"/>
      <c r="Q434" s="36"/>
    </row>
    <row r="435">
      <c r="A435" s="11"/>
      <c r="B435" s="11"/>
      <c r="C435" s="11"/>
      <c r="Q435" s="36"/>
    </row>
    <row r="436">
      <c r="A436" s="11"/>
      <c r="B436" s="11"/>
      <c r="C436" s="11"/>
      <c r="Q436" s="36"/>
    </row>
    <row r="437">
      <c r="A437" s="11"/>
      <c r="B437" s="11"/>
      <c r="C437" s="11"/>
      <c r="Q437" s="36"/>
    </row>
    <row r="438">
      <c r="A438" s="11"/>
      <c r="B438" s="11"/>
      <c r="C438" s="11"/>
      <c r="Q438" s="36"/>
    </row>
    <row r="439">
      <c r="A439" s="11"/>
      <c r="B439" s="11"/>
      <c r="C439" s="11"/>
      <c r="Q439" s="36"/>
    </row>
    <row r="440">
      <c r="A440" s="11"/>
      <c r="B440" s="11"/>
      <c r="C440" s="11"/>
      <c r="Q440" s="36"/>
    </row>
    <row r="441">
      <c r="A441" s="11"/>
      <c r="B441" s="11"/>
      <c r="C441" s="11"/>
      <c r="Q441" s="36"/>
    </row>
    <row r="442">
      <c r="A442" s="11"/>
      <c r="B442" s="11"/>
      <c r="C442" s="11"/>
      <c r="Q442" s="36"/>
    </row>
    <row r="443">
      <c r="A443" s="11"/>
      <c r="B443" s="11"/>
      <c r="C443" s="11"/>
      <c r="Q443" s="36"/>
    </row>
    <row r="444">
      <c r="A444" s="11"/>
      <c r="B444" s="11"/>
      <c r="C444" s="11"/>
      <c r="Q444" s="36"/>
    </row>
    <row r="445">
      <c r="A445" s="11"/>
      <c r="B445" s="11"/>
      <c r="C445" s="11"/>
      <c r="Q445" s="36"/>
    </row>
    <row r="446">
      <c r="A446" s="11"/>
      <c r="B446" s="11"/>
      <c r="C446" s="11"/>
      <c r="Q446" s="36"/>
    </row>
    <row r="447">
      <c r="A447" s="11"/>
      <c r="B447" s="11"/>
      <c r="C447" s="11"/>
      <c r="Q447" s="36"/>
    </row>
    <row r="448">
      <c r="A448" s="11"/>
      <c r="B448" s="11"/>
      <c r="C448" s="11"/>
      <c r="Q448" s="36"/>
    </row>
    <row r="449">
      <c r="A449" s="11"/>
      <c r="B449" s="11"/>
      <c r="C449" s="11"/>
      <c r="Q449" s="36"/>
    </row>
    <row r="450">
      <c r="A450" s="11"/>
      <c r="B450" s="11"/>
      <c r="C450" s="11"/>
      <c r="Q450" s="36"/>
    </row>
    <row r="451">
      <c r="A451" s="11"/>
      <c r="B451" s="11"/>
      <c r="C451" s="11"/>
      <c r="Q451" s="36"/>
    </row>
    <row r="452">
      <c r="A452" s="11"/>
      <c r="B452" s="11"/>
      <c r="C452" s="11"/>
      <c r="Q452" s="36"/>
    </row>
    <row r="453">
      <c r="A453" s="11"/>
      <c r="B453" s="11"/>
      <c r="C453" s="11"/>
      <c r="Q453" s="36"/>
    </row>
    <row r="454">
      <c r="A454" s="11"/>
      <c r="B454" s="11"/>
      <c r="C454" s="11"/>
      <c r="Q454" s="36"/>
    </row>
    <row r="455">
      <c r="A455" s="11"/>
      <c r="B455" s="11"/>
      <c r="C455" s="11"/>
      <c r="Q455" s="36"/>
    </row>
    <row r="456">
      <c r="A456" s="11"/>
      <c r="B456" s="11"/>
      <c r="C456" s="11"/>
      <c r="Q456" s="36"/>
    </row>
    <row r="457">
      <c r="A457" s="11"/>
      <c r="B457" s="11"/>
      <c r="C457" s="11"/>
      <c r="Q457" s="36"/>
    </row>
    <row r="458">
      <c r="A458" s="11"/>
      <c r="B458" s="11"/>
      <c r="C458" s="11"/>
      <c r="Q458" s="36"/>
    </row>
    <row r="459">
      <c r="A459" s="11"/>
      <c r="B459" s="11"/>
      <c r="C459" s="11"/>
      <c r="Q459" s="36"/>
    </row>
    <row r="460">
      <c r="A460" s="11"/>
      <c r="B460" s="11"/>
      <c r="C460" s="11"/>
      <c r="Q460" s="36"/>
    </row>
    <row r="461">
      <c r="A461" s="11"/>
      <c r="B461" s="11"/>
      <c r="C461" s="11"/>
      <c r="Q461" s="36"/>
    </row>
    <row r="462">
      <c r="A462" s="11"/>
      <c r="B462" s="11"/>
      <c r="C462" s="11"/>
      <c r="Q462" s="36"/>
    </row>
    <row r="463">
      <c r="A463" s="11"/>
      <c r="B463" s="11"/>
      <c r="C463" s="11"/>
      <c r="Q463" s="36"/>
    </row>
    <row r="464">
      <c r="A464" s="11"/>
      <c r="B464" s="11"/>
      <c r="C464" s="11"/>
      <c r="Q464" s="36"/>
    </row>
    <row r="465">
      <c r="A465" s="11"/>
      <c r="B465" s="11"/>
      <c r="C465" s="11"/>
      <c r="Q465" s="36"/>
    </row>
    <row r="466">
      <c r="A466" s="11"/>
      <c r="B466" s="11"/>
      <c r="C466" s="11"/>
      <c r="Q466" s="36"/>
    </row>
    <row r="467">
      <c r="A467" s="11"/>
      <c r="B467" s="11"/>
      <c r="C467" s="11"/>
      <c r="Q467" s="36"/>
    </row>
    <row r="468">
      <c r="A468" s="11"/>
      <c r="B468" s="11"/>
      <c r="C468" s="11"/>
      <c r="Q468" s="36"/>
    </row>
    <row r="469">
      <c r="A469" s="11"/>
      <c r="B469" s="11"/>
      <c r="C469" s="11"/>
      <c r="Q469" s="36"/>
    </row>
    <row r="470">
      <c r="A470" s="11"/>
      <c r="B470" s="11"/>
      <c r="C470" s="11"/>
      <c r="Q470" s="36"/>
    </row>
    <row r="471">
      <c r="A471" s="11"/>
      <c r="B471" s="11"/>
      <c r="C471" s="11"/>
      <c r="Q471" s="36"/>
    </row>
    <row r="472">
      <c r="A472" s="11"/>
      <c r="B472" s="11"/>
      <c r="C472" s="11"/>
      <c r="Q472" s="36"/>
    </row>
    <row r="473">
      <c r="A473" s="11"/>
      <c r="B473" s="11"/>
      <c r="C473" s="11"/>
      <c r="Q473" s="36"/>
    </row>
    <row r="474">
      <c r="A474" s="11"/>
      <c r="B474" s="11"/>
      <c r="C474" s="11"/>
      <c r="Q474" s="36"/>
    </row>
    <row r="475">
      <c r="A475" s="11"/>
      <c r="B475" s="11"/>
      <c r="C475" s="11"/>
      <c r="Q475" s="36"/>
    </row>
    <row r="476">
      <c r="A476" s="11"/>
      <c r="B476" s="11"/>
      <c r="C476" s="11"/>
      <c r="Q476" s="36"/>
    </row>
    <row r="477">
      <c r="A477" s="11"/>
      <c r="B477" s="11"/>
      <c r="C477" s="11"/>
      <c r="Q477" s="36"/>
    </row>
    <row r="478">
      <c r="A478" s="11"/>
      <c r="B478" s="11"/>
      <c r="C478" s="11"/>
      <c r="Q478" s="36"/>
    </row>
    <row r="479">
      <c r="A479" s="11"/>
      <c r="B479" s="11"/>
      <c r="C479" s="11"/>
      <c r="Q479" s="36"/>
    </row>
    <row r="480">
      <c r="A480" s="11"/>
      <c r="B480" s="11"/>
      <c r="C480" s="11"/>
      <c r="Q480" s="36"/>
    </row>
    <row r="481">
      <c r="A481" s="11"/>
      <c r="B481" s="11"/>
      <c r="C481" s="11"/>
      <c r="Q481" s="36"/>
    </row>
    <row r="482">
      <c r="A482" s="11"/>
      <c r="B482" s="11"/>
      <c r="C482" s="11"/>
      <c r="Q482" s="36"/>
    </row>
    <row r="483">
      <c r="A483" s="11"/>
      <c r="B483" s="11"/>
      <c r="C483" s="11"/>
      <c r="Q483" s="36"/>
    </row>
    <row r="484">
      <c r="A484" s="11"/>
      <c r="B484" s="11"/>
      <c r="C484" s="11"/>
      <c r="Q484" s="36"/>
    </row>
    <row r="485">
      <c r="A485" s="11"/>
      <c r="B485" s="11"/>
      <c r="C485" s="11"/>
      <c r="Q485" s="36"/>
    </row>
    <row r="486">
      <c r="A486" s="11"/>
      <c r="B486" s="11"/>
      <c r="C486" s="11"/>
      <c r="Q486" s="36"/>
    </row>
    <row r="487">
      <c r="A487" s="11"/>
      <c r="B487" s="11"/>
      <c r="C487" s="11"/>
      <c r="Q487" s="36"/>
    </row>
    <row r="488">
      <c r="A488" s="11"/>
      <c r="B488" s="11"/>
      <c r="C488" s="11"/>
      <c r="Q488" s="36"/>
    </row>
    <row r="489">
      <c r="A489" s="11"/>
      <c r="B489" s="11"/>
      <c r="C489" s="11"/>
      <c r="Q489" s="36"/>
    </row>
    <row r="490">
      <c r="A490" s="11"/>
      <c r="B490" s="11"/>
      <c r="C490" s="11"/>
      <c r="Q490" s="36"/>
    </row>
    <row r="491">
      <c r="A491" s="11"/>
      <c r="B491" s="11"/>
      <c r="C491" s="11"/>
      <c r="Q491" s="36"/>
    </row>
    <row r="492">
      <c r="A492" s="11"/>
      <c r="B492" s="11"/>
      <c r="C492" s="11"/>
      <c r="Q492" s="36"/>
    </row>
    <row r="493">
      <c r="A493" s="11"/>
      <c r="B493" s="11"/>
      <c r="C493" s="11"/>
      <c r="Q493" s="36"/>
    </row>
    <row r="494">
      <c r="A494" s="11"/>
      <c r="B494" s="11"/>
      <c r="C494" s="11"/>
      <c r="Q494" s="36"/>
    </row>
    <row r="495">
      <c r="A495" s="11"/>
      <c r="B495" s="11"/>
      <c r="C495" s="11"/>
      <c r="Q495" s="36"/>
    </row>
    <row r="496">
      <c r="A496" s="11"/>
      <c r="B496" s="11"/>
      <c r="C496" s="11"/>
      <c r="Q496" s="36"/>
    </row>
    <row r="497">
      <c r="A497" s="11"/>
      <c r="B497" s="11"/>
      <c r="C497" s="11"/>
      <c r="Q497" s="36"/>
    </row>
    <row r="498">
      <c r="A498" s="11"/>
      <c r="B498" s="11"/>
      <c r="C498" s="11"/>
      <c r="Q498" s="36"/>
    </row>
    <row r="499">
      <c r="A499" s="11"/>
      <c r="B499" s="11"/>
      <c r="C499" s="11"/>
      <c r="Q499" s="36"/>
    </row>
    <row r="500">
      <c r="A500" s="11"/>
      <c r="B500" s="11"/>
      <c r="C500" s="11"/>
      <c r="Q500" s="36"/>
    </row>
    <row r="501">
      <c r="A501" s="11"/>
      <c r="B501" s="11"/>
      <c r="C501" s="11"/>
      <c r="Q501" s="36"/>
    </row>
    <row r="502">
      <c r="A502" s="11"/>
      <c r="B502" s="11"/>
      <c r="C502" s="11"/>
      <c r="Q502" s="36"/>
    </row>
    <row r="503">
      <c r="A503" s="11"/>
      <c r="B503" s="11"/>
      <c r="C503" s="11"/>
      <c r="Q503" s="36"/>
    </row>
    <row r="504">
      <c r="A504" s="11"/>
      <c r="B504" s="11"/>
      <c r="C504" s="11"/>
      <c r="Q504" s="36"/>
    </row>
    <row r="505">
      <c r="A505" s="11"/>
      <c r="B505" s="11"/>
      <c r="C505" s="11"/>
      <c r="Q505" s="36"/>
    </row>
    <row r="506">
      <c r="A506" s="11"/>
      <c r="B506" s="11"/>
      <c r="C506" s="11"/>
      <c r="Q506" s="36"/>
    </row>
    <row r="507">
      <c r="A507" s="11"/>
      <c r="B507" s="11"/>
      <c r="C507" s="11"/>
      <c r="Q507" s="36"/>
    </row>
    <row r="508">
      <c r="A508" s="11"/>
      <c r="B508" s="11"/>
      <c r="C508" s="11"/>
      <c r="Q508" s="36"/>
    </row>
    <row r="509">
      <c r="A509" s="11"/>
      <c r="B509" s="11"/>
      <c r="C509" s="11"/>
      <c r="Q509" s="36"/>
    </row>
    <row r="510">
      <c r="A510" s="11"/>
      <c r="B510" s="11"/>
      <c r="C510" s="11"/>
      <c r="Q510" s="36"/>
    </row>
    <row r="511">
      <c r="A511" s="11"/>
      <c r="B511" s="11"/>
      <c r="C511" s="11"/>
      <c r="Q511" s="36"/>
    </row>
    <row r="512">
      <c r="A512" s="11"/>
      <c r="B512" s="11"/>
      <c r="C512" s="11"/>
      <c r="Q512" s="36"/>
    </row>
    <row r="513">
      <c r="A513" s="11"/>
      <c r="B513" s="11"/>
      <c r="C513" s="11"/>
      <c r="Q513" s="36"/>
    </row>
    <row r="514">
      <c r="A514" s="11"/>
      <c r="B514" s="11"/>
      <c r="C514" s="11"/>
      <c r="Q514" s="36"/>
    </row>
    <row r="515">
      <c r="A515" s="11"/>
      <c r="B515" s="11"/>
      <c r="C515" s="11"/>
      <c r="Q515" s="36"/>
    </row>
    <row r="516">
      <c r="A516" s="11"/>
      <c r="B516" s="11"/>
      <c r="C516" s="11"/>
      <c r="Q516" s="36"/>
    </row>
    <row r="517">
      <c r="A517" s="11"/>
      <c r="B517" s="11"/>
      <c r="C517" s="11"/>
      <c r="Q517" s="36"/>
    </row>
    <row r="518">
      <c r="A518" s="11"/>
      <c r="B518" s="11"/>
      <c r="C518" s="11"/>
      <c r="Q518" s="36"/>
    </row>
    <row r="519">
      <c r="A519" s="11"/>
      <c r="B519" s="11"/>
      <c r="C519" s="11"/>
      <c r="Q519" s="36"/>
    </row>
    <row r="520">
      <c r="A520" s="11"/>
      <c r="B520" s="11"/>
      <c r="C520" s="11"/>
      <c r="Q520" s="36"/>
    </row>
    <row r="521">
      <c r="A521" s="11"/>
      <c r="B521" s="11"/>
      <c r="C521" s="11"/>
      <c r="Q521" s="36"/>
    </row>
    <row r="522">
      <c r="A522" s="11"/>
      <c r="B522" s="11"/>
      <c r="C522" s="11"/>
      <c r="Q522" s="36"/>
    </row>
    <row r="523">
      <c r="A523" s="11"/>
      <c r="B523" s="11"/>
      <c r="C523" s="11"/>
      <c r="Q523" s="36"/>
    </row>
    <row r="524">
      <c r="A524" s="11"/>
      <c r="B524" s="11"/>
      <c r="C524" s="11"/>
      <c r="Q524" s="36"/>
    </row>
    <row r="525">
      <c r="A525" s="11"/>
      <c r="B525" s="11"/>
      <c r="C525" s="11"/>
      <c r="Q525" s="36"/>
    </row>
    <row r="526">
      <c r="A526" s="11"/>
      <c r="B526" s="11"/>
      <c r="C526" s="11"/>
      <c r="Q526" s="36"/>
    </row>
    <row r="527">
      <c r="A527" s="11"/>
      <c r="B527" s="11"/>
      <c r="C527" s="11"/>
      <c r="Q527" s="36"/>
    </row>
    <row r="528">
      <c r="A528" s="11"/>
      <c r="B528" s="11"/>
      <c r="C528" s="11"/>
      <c r="Q528" s="36"/>
    </row>
    <row r="529">
      <c r="A529" s="11"/>
      <c r="B529" s="11"/>
      <c r="C529" s="11"/>
      <c r="Q529" s="36"/>
    </row>
    <row r="530">
      <c r="A530" s="11"/>
      <c r="B530" s="11"/>
      <c r="C530" s="11"/>
      <c r="Q530" s="36"/>
    </row>
    <row r="531">
      <c r="A531" s="11"/>
      <c r="B531" s="11"/>
      <c r="C531" s="11"/>
      <c r="Q531" s="36"/>
    </row>
    <row r="532">
      <c r="A532" s="11"/>
      <c r="B532" s="11"/>
      <c r="C532" s="11"/>
      <c r="Q532" s="36"/>
    </row>
    <row r="533">
      <c r="A533" s="11"/>
      <c r="B533" s="11"/>
      <c r="C533" s="11"/>
      <c r="Q533" s="36"/>
    </row>
    <row r="534">
      <c r="A534" s="11"/>
      <c r="B534" s="11"/>
      <c r="C534" s="11"/>
      <c r="Q534" s="36"/>
    </row>
    <row r="535">
      <c r="A535" s="11"/>
      <c r="B535" s="11"/>
      <c r="C535" s="11"/>
      <c r="Q535" s="36"/>
    </row>
    <row r="536">
      <c r="A536" s="11"/>
      <c r="B536" s="11"/>
      <c r="C536" s="11"/>
      <c r="Q536" s="36"/>
    </row>
    <row r="537">
      <c r="A537" s="11"/>
      <c r="B537" s="11"/>
      <c r="C537" s="11"/>
      <c r="Q537" s="36"/>
    </row>
    <row r="538">
      <c r="A538" s="11"/>
      <c r="B538" s="11"/>
      <c r="C538" s="11"/>
      <c r="Q538" s="36"/>
    </row>
    <row r="539">
      <c r="A539" s="11"/>
      <c r="B539" s="11"/>
      <c r="C539" s="11"/>
      <c r="Q539" s="36"/>
    </row>
    <row r="540">
      <c r="A540" s="11"/>
      <c r="B540" s="11"/>
      <c r="C540" s="11"/>
      <c r="Q540" s="36"/>
    </row>
    <row r="541">
      <c r="A541" s="11"/>
      <c r="B541" s="11"/>
      <c r="C541" s="11"/>
      <c r="Q541" s="36"/>
    </row>
    <row r="542">
      <c r="A542" s="11"/>
      <c r="B542" s="11"/>
      <c r="C542" s="11"/>
      <c r="Q542" s="36"/>
    </row>
    <row r="543">
      <c r="A543" s="11"/>
      <c r="B543" s="11"/>
      <c r="C543" s="11"/>
      <c r="Q543" s="36"/>
    </row>
    <row r="544">
      <c r="A544" s="11"/>
      <c r="B544" s="11"/>
      <c r="C544" s="11"/>
      <c r="Q544" s="36"/>
    </row>
    <row r="545">
      <c r="A545" s="11"/>
      <c r="B545" s="11"/>
      <c r="C545" s="11"/>
      <c r="Q545" s="36"/>
    </row>
    <row r="546">
      <c r="A546" s="11"/>
      <c r="B546" s="11"/>
      <c r="C546" s="11"/>
      <c r="Q546" s="36"/>
    </row>
    <row r="547">
      <c r="A547" s="11"/>
      <c r="B547" s="11"/>
      <c r="C547" s="11"/>
      <c r="Q547" s="36"/>
    </row>
    <row r="548">
      <c r="A548" s="11"/>
      <c r="B548" s="11"/>
      <c r="C548" s="11"/>
      <c r="Q548" s="36"/>
    </row>
    <row r="549">
      <c r="A549" s="11"/>
      <c r="B549" s="11"/>
      <c r="C549" s="11"/>
      <c r="Q549" s="36"/>
    </row>
    <row r="550">
      <c r="A550" s="11"/>
      <c r="B550" s="11"/>
      <c r="C550" s="11"/>
      <c r="Q550" s="36"/>
    </row>
    <row r="551">
      <c r="A551" s="11"/>
      <c r="B551" s="11"/>
      <c r="C551" s="11"/>
      <c r="Q551" s="36"/>
    </row>
    <row r="552">
      <c r="A552" s="11"/>
      <c r="B552" s="11"/>
      <c r="C552" s="11"/>
      <c r="Q552" s="36"/>
    </row>
    <row r="553">
      <c r="A553" s="11"/>
      <c r="B553" s="11"/>
      <c r="C553" s="11"/>
      <c r="Q553" s="36"/>
    </row>
    <row r="554">
      <c r="A554" s="11"/>
      <c r="B554" s="11"/>
      <c r="C554" s="11"/>
      <c r="Q554" s="36"/>
    </row>
    <row r="555">
      <c r="A555" s="11"/>
      <c r="B555" s="11"/>
      <c r="C555" s="11"/>
      <c r="Q555" s="36"/>
    </row>
    <row r="556">
      <c r="A556" s="11"/>
      <c r="B556" s="11"/>
      <c r="C556" s="11"/>
      <c r="Q556" s="36"/>
    </row>
    <row r="557">
      <c r="A557" s="11"/>
      <c r="B557" s="11"/>
      <c r="C557" s="11"/>
      <c r="Q557" s="36"/>
    </row>
    <row r="558">
      <c r="A558" s="11"/>
      <c r="B558" s="11"/>
      <c r="C558" s="11"/>
      <c r="Q558" s="36"/>
    </row>
    <row r="559">
      <c r="A559" s="11"/>
      <c r="B559" s="11"/>
      <c r="C559" s="11"/>
      <c r="Q559" s="36"/>
    </row>
    <row r="560">
      <c r="A560" s="11"/>
      <c r="B560" s="11"/>
      <c r="C560" s="11"/>
      <c r="Q560" s="36"/>
    </row>
    <row r="561">
      <c r="A561" s="11"/>
      <c r="B561" s="11"/>
      <c r="C561" s="11"/>
      <c r="Q561" s="36"/>
    </row>
    <row r="562">
      <c r="A562" s="11"/>
      <c r="B562" s="11"/>
      <c r="C562" s="11"/>
      <c r="Q562" s="36"/>
    </row>
    <row r="563">
      <c r="A563" s="11"/>
      <c r="B563" s="11"/>
      <c r="C563" s="11"/>
      <c r="Q563" s="36"/>
    </row>
    <row r="564">
      <c r="A564" s="11"/>
      <c r="B564" s="11"/>
      <c r="C564" s="11"/>
      <c r="Q564" s="36"/>
    </row>
    <row r="565">
      <c r="A565" s="11"/>
      <c r="B565" s="11"/>
      <c r="C565" s="11"/>
      <c r="Q565" s="36"/>
    </row>
    <row r="566">
      <c r="A566" s="11"/>
      <c r="B566" s="11"/>
      <c r="C566" s="11"/>
      <c r="Q566" s="36"/>
    </row>
    <row r="567">
      <c r="A567" s="11"/>
      <c r="B567" s="11"/>
      <c r="C567" s="11"/>
      <c r="Q567" s="36"/>
    </row>
    <row r="568">
      <c r="A568" s="11"/>
      <c r="B568" s="11"/>
      <c r="C568" s="11"/>
      <c r="Q568" s="36"/>
    </row>
    <row r="569">
      <c r="A569" s="11"/>
      <c r="B569" s="11"/>
      <c r="C569" s="11"/>
      <c r="Q569" s="36"/>
    </row>
    <row r="570">
      <c r="A570" s="11"/>
      <c r="B570" s="11"/>
      <c r="C570" s="11"/>
      <c r="Q570" s="36"/>
    </row>
    <row r="571">
      <c r="A571" s="11"/>
      <c r="B571" s="11"/>
      <c r="C571" s="11"/>
      <c r="Q571" s="36"/>
    </row>
    <row r="572">
      <c r="A572" s="11"/>
      <c r="B572" s="11"/>
      <c r="C572" s="11"/>
      <c r="Q572" s="36"/>
    </row>
    <row r="573">
      <c r="A573" s="11"/>
      <c r="B573" s="11"/>
      <c r="C573" s="11"/>
      <c r="Q573" s="36"/>
    </row>
    <row r="574">
      <c r="A574" s="11"/>
      <c r="B574" s="11"/>
      <c r="C574" s="11"/>
      <c r="Q574" s="36"/>
    </row>
    <row r="575">
      <c r="A575" s="11"/>
      <c r="B575" s="11"/>
      <c r="C575" s="11"/>
      <c r="Q575" s="36"/>
    </row>
    <row r="576">
      <c r="A576" s="11"/>
      <c r="B576" s="11"/>
      <c r="C576" s="11"/>
      <c r="Q576" s="36"/>
    </row>
    <row r="577">
      <c r="A577" s="11"/>
      <c r="B577" s="11"/>
      <c r="C577" s="11"/>
      <c r="Q577" s="36"/>
    </row>
    <row r="578">
      <c r="A578" s="11"/>
      <c r="B578" s="11"/>
      <c r="C578" s="11"/>
      <c r="Q578" s="36"/>
    </row>
    <row r="579">
      <c r="A579" s="11"/>
      <c r="B579" s="11"/>
      <c r="C579" s="11"/>
      <c r="Q579" s="36"/>
    </row>
    <row r="580">
      <c r="A580" s="11"/>
      <c r="B580" s="11"/>
      <c r="C580" s="11"/>
      <c r="Q580" s="36"/>
    </row>
    <row r="581">
      <c r="A581" s="11"/>
      <c r="B581" s="11"/>
      <c r="C581" s="11"/>
      <c r="Q581" s="36"/>
    </row>
    <row r="582">
      <c r="A582" s="11"/>
      <c r="B582" s="11"/>
      <c r="C582" s="11"/>
      <c r="Q582" s="36"/>
    </row>
    <row r="583">
      <c r="A583" s="11"/>
      <c r="B583" s="11"/>
      <c r="C583" s="11"/>
      <c r="Q583" s="36"/>
    </row>
    <row r="584">
      <c r="A584" s="11"/>
      <c r="B584" s="11"/>
      <c r="C584" s="11"/>
      <c r="Q584" s="36"/>
    </row>
    <row r="585">
      <c r="A585" s="11"/>
      <c r="B585" s="11"/>
      <c r="C585" s="11"/>
      <c r="Q585" s="36"/>
    </row>
    <row r="586">
      <c r="A586" s="11"/>
      <c r="B586" s="11"/>
      <c r="C586" s="11"/>
      <c r="Q586" s="36"/>
    </row>
    <row r="587">
      <c r="A587" s="11"/>
      <c r="B587" s="11"/>
      <c r="C587" s="11"/>
      <c r="Q587" s="36"/>
    </row>
    <row r="588">
      <c r="A588" s="11"/>
      <c r="B588" s="11"/>
      <c r="C588" s="11"/>
      <c r="Q588" s="36"/>
    </row>
    <row r="589">
      <c r="A589" s="11"/>
      <c r="B589" s="11"/>
      <c r="C589" s="11"/>
      <c r="Q589" s="36"/>
    </row>
    <row r="590">
      <c r="A590" s="11"/>
      <c r="B590" s="11"/>
      <c r="C590" s="11"/>
      <c r="Q590" s="36"/>
    </row>
    <row r="591">
      <c r="A591" s="11"/>
      <c r="B591" s="11"/>
      <c r="C591" s="11"/>
      <c r="Q591" s="36"/>
    </row>
    <row r="592">
      <c r="A592" s="11"/>
      <c r="B592" s="11"/>
      <c r="C592" s="11"/>
      <c r="Q592" s="36"/>
    </row>
    <row r="593">
      <c r="A593" s="11"/>
      <c r="B593" s="11"/>
      <c r="C593" s="11"/>
      <c r="Q593" s="36"/>
    </row>
    <row r="594">
      <c r="A594" s="11"/>
      <c r="B594" s="11"/>
      <c r="C594" s="11"/>
      <c r="Q594" s="36"/>
    </row>
    <row r="595">
      <c r="A595" s="11"/>
      <c r="B595" s="11"/>
      <c r="C595" s="11"/>
      <c r="Q595" s="36"/>
    </row>
    <row r="596">
      <c r="A596" s="11"/>
      <c r="B596" s="11"/>
      <c r="C596" s="11"/>
      <c r="Q596" s="36"/>
    </row>
    <row r="597">
      <c r="A597" s="11"/>
      <c r="B597" s="11"/>
      <c r="C597" s="11"/>
      <c r="Q597" s="36"/>
    </row>
    <row r="598">
      <c r="A598" s="11"/>
      <c r="B598" s="11"/>
      <c r="C598" s="11"/>
      <c r="Q598" s="36"/>
    </row>
    <row r="599">
      <c r="A599" s="11"/>
      <c r="B599" s="11"/>
      <c r="C599" s="11"/>
      <c r="Q599" s="36"/>
    </row>
    <row r="600">
      <c r="A600" s="11"/>
      <c r="B600" s="11"/>
      <c r="C600" s="11"/>
      <c r="Q600" s="36"/>
    </row>
    <row r="601">
      <c r="A601" s="11"/>
      <c r="B601" s="11"/>
      <c r="C601" s="11"/>
      <c r="Q601" s="36"/>
    </row>
    <row r="602">
      <c r="A602" s="11"/>
      <c r="B602" s="11"/>
      <c r="C602" s="11"/>
      <c r="Q602" s="36"/>
    </row>
    <row r="603">
      <c r="A603" s="11"/>
      <c r="B603" s="11"/>
      <c r="C603" s="11"/>
      <c r="Q603" s="36"/>
    </row>
    <row r="604">
      <c r="A604" s="11"/>
      <c r="B604" s="11"/>
      <c r="C604" s="11"/>
      <c r="Q604" s="36"/>
    </row>
    <row r="605">
      <c r="A605" s="11"/>
      <c r="B605" s="11"/>
      <c r="C605" s="11"/>
      <c r="Q605" s="36"/>
    </row>
    <row r="606">
      <c r="A606" s="11"/>
      <c r="B606" s="11"/>
      <c r="C606" s="11"/>
      <c r="Q606" s="36"/>
    </row>
    <row r="607">
      <c r="A607" s="11"/>
      <c r="B607" s="11"/>
      <c r="C607" s="11"/>
      <c r="Q607" s="36"/>
    </row>
    <row r="608">
      <c r="A608" s="11"/>
      <c r="B608" s="11"/>
      <c r="C608" s="11"/>
      <c r="Q608" s="36"/>
    </row>
    <row r="609">
      <c r="A609" s="11"/>
      <c r="B609" s="11"/>
      <c r="C609" s="11"/>
      <c r="Q609" s="36"/>
    </row>
    <row r="610">
      <c r="A610" s="11"/>
      <c r="B610" s="11"/>
      <c r="C610" s="11"/>
      <c r="Q610" s="36"/>
    </row>
    <row r="611">
      <c r="A611" s="11"/>
      <c r="B611" s="11"/>
      <c r="C611" s="11"/>
      <c r="Q611" s="36"/>
    </row>
    <row r="612">
      <c r="A612" s="11"/>
      <c r="B612" s="11"/>
      <c r="C612" s="11"/>
      <c r="Q612" s="36"/>
    </row>
    <row r="613">
      <c r="A613" s="11"/>
      <c r="B613" s="11"/>
      <c r="C613" s="11"/>
      <c r="Q613" s="36"/>
    </row>
    <row r="614">
      <c r="A614" s="11"/>
      <c r="B614" s="11"/>
      <c r="C614" s="11"/>
      <c r="Q614" s="36"/>
    </row>
    <row r="615">
      <c r="A615" s="11"/>
      <c r="B615" s="11"/>
      <c r="C615" s="11"/>
      <c r="Q615" s="36"/>
    </row>
    <row r="616">
      <c r="A616" s="11"/>
      <c r="B616" s="11"/>
      <c r="C616" s="11"/>
      <c r="Q616" s="36"/>
    </row>
    <row r="617">
      <c r="A617" s="11"/>
      <c r="B617" s="11"/>
      <c r="C617" s="11"/>
      <c r="Q617" s="36"/>
    </row>
    <row r="618">
      <c r="A618" s="11"/>
      <c r="B618" s="11"/>
      <c r="C618" s="11"/>
      <c r="Q618" s="36"/>
    </row>
    <row r="619">
      <c r="A619" s="11"/>
      <c r="B619" s="11"/>
      <c r="C619" s="11"/>
      <c r="Q619" s="36"/>
    </row>
    <row r="620">
      <c r="A620" s="11"/>
      <c r="B620" s="11"/>
      <c r="C620" s="11"/>
      <c r="Q620" s="36"/>
    </row>
    <row r="621">
      <c r="A621" s="11"/>
      <c r="B621" s="11"/>
      <c r="C621" s="11"/>
      <c r="Q621" s="36"/>
    </row>
    <row r="622">
      <c r="A622" s="11"/>
      <c r="B622" s="11"/>
      <c r="C622" s="11"/>
      <c r="Q622" s="36"/>
    </row>
    <row r="623">
      <c r="A623" s="11"/>
      <c r="B623" s="11"/>
      <c r="C623" s="11"/>
      <c r="Q623" s="36"/>
    </row>
    <row r="624">
      <c r="A624" s="11"/>
      <c r="B624" s="11"/>
      <c r="C624" s="11"/>
      <c r="Q624" s="36"/>
    </row>
    <row r="625">
      <c r="A625" s="11"/>
      <c r="B625" s="11"/>
      <c r="C625" s="11"/>
      <c r="Q625" s="36"/>
    </row>
    <row r="626">
      <c r="A626" s="11"/>
      <c r="B626" s="11"/>
      <c r="C626" s="11"/>
      <c r="Q626" s="36"/>
    </row>
    <row r="627">
      <c r="A627" s="11"/>
      <c r="B627" s="11"/>
      <c r="C627" s="11"/>
      <c r="Q627" s="36"/>
    </row>
    <row r="628">
      <c r="A628" s="11"/>
      <c r="B628" s="11"/>
      <c r="C628" s="11"/>
      <c r="Q628" s="36"/>
    </row>
    <row r="629">
      <c r="A629" s="11"/>
      <c r="B629" s="11"/>
      <c r="C629" s="11"/>
      <c r="Q629" s="36"/>
    </row>
    <row r="630">
      <c r="A630" s="11"/>
      <c r="B630" s="11"/>
      <c r="C630" s="11"/>
      <c r="Q630" s="36"/>
    </row>
    <row r="631">
      <c r="A631" s="11"/>
      <c r="B631" s="11"/>
      <c r="C631" s="11"/>
      <c r="Q631" s="36"/>
    </row>
    <row r="632">
      <c r="A632" s="11"/>
      <c r="B632" s="11"/>
      <c r="C632" s="11"/>
      <c r="Q632" s="36"/>
    </row>
    <row r="633">
      <c r="A633" s="11"/>
      <c r="B633" s="11"/>
      <c r="C633" s="11"/>
      <c r="Q633" s="36"/>
    </row>
    <row r="634">
      <c r="A634" s="11"/>
      <c r="B634" s="11"/>
      <c r="C634" s="11"/>
      <c r="Q634" s="36"/>
    </row>
    <row r="635">
      <c r="A635" s="11"/>
      <c r="B635" s="11"/>
      <c r="C635" s="11"/>
      <c r="Q635" s="36"/>
    </row>
    <row r="636">
      <c r="A636" s="11"/>
      <c r="B636" s="11"/>
      <c r="C636" s="11"/>
      <c r="Q636" s="36"/>
    </row>
    <row r="637">
      <c r="A637" s="11"/>
      <c r="B637" s="11"/>
      <c r="C637" s="11"/>
      <c r="Q637" s="36"/>
    </row>
    <row r="638">
      <c r="A638" s="11"/>
      <c r="B638" s="11"/>
      <c r="C638" s="11"/>
      <c r="Q638" s="36"/>
    </row>
    <row r="639">
      <c r="A639" s="11"/>
      <c r="B639" s="11"/>
      <c r="C639" s="11"/>
      <c r="Q639" s="36"/>
    </row>
    <row r="640">
      <c r="A640" s="11"/>
      <c r="B640" s="11"/>
      <c r="C640" s="11"/>
      <c r="Q640" s="36"/>
    </row>
    <row r="641">
      <c r="A641" s="11"/>
      <c r="B641" s="11"/>
      <c r="C641" s="11"/>
      <c r="Q641" s="36"/>
    </row>
    <row r="642">
      <c r="A642" s="11"/>
      <c r="B642" s="11"/>
      <c r="C642" s="11"/>
      <c r="Q642" s="36"/>
    </row>
    <row r="643">
      <c r="A643" s="11"/>
      <c r="B643" s="11"/>
      <c r="C643" s="11"/>
      <c r="Q643" s="36"/>
    </row>
    <row r="644">
      <c r="A644" s="11"/>
      <c r="B644" s="11"/>
      <c r="C644" s="11"/>
      <c r="Q644" s="36"/>
    </row>
    <row r="645">
      <c r="A645" s="11"/>
      <c r="B645" s="11"/>
      <c r="C645" s="11"/>
      <c r="Q645" s="36"/>
    </row>
    <row r="646">
      <c r="A646" s="11"/>
      <c r="B646" s="11"/>
      <c r="C646" s="11"/>
      <c r="Q646" s="36"/>
    </row>
    <row r="647">
      <c r="A647" s="11"/>
      <c r="B647" s="11"/>
      <c r="C647" s="11"/>
      <c r="Q647" s="36"/>
    </row>
    <row r="648">
      <c r="A648" s="11"/>
      <c r="B648" s="11"/>
      <c r="C648" s="11"/>
      <c r="Q648" s="36"/>
    </row>
    <row r="649">
      <c r="A649" s="11"/>
      <c r="B649" s="11"/>
      <c r="C649" s="11"/>
      <c r="Q649" s="36"/>
    </row>
    <row r="650">
      <c r="A650" s="11"/>
      <c r="B650" s="11"/>
      <c r="C650" s="11"/>
      <c r="Q650" s="36"/>
    </row>
    <row r="651">
      <c r="A651" s="11"/>
      <c r="B651" s="11"/>
      <c r="C651" s="11"/>
      <c r="Q651" s="36"/>
    </row>
    <row r="652">
      <c r="A652" s="11"/>
      <c r="B652" s="11"/>
      <c r="C652" s="11"/>
      <c r="Q652" s="36"/>
    </row>
    <row r="653">
      <c r="A653" s="11"/>
      <c r="B653" s="11"/>
      <c r="C653" s="11"/>
      <c r="Q653" s="36"/>
    </row>
    <row r="654">
      <c r="A654" s="11"/>
      <c r="B654" s="11"/>
      <c r="C654" s="11"/>
      <c r="Q654" s="36"/>
    </row>
    <row r="655">
      <c r="A655" s="11"/>
      <c r="B655" s="11"/>
      <c r="C655" s="11"/>
      <c r="Q655" s="36"/>
    </row>
    <row r="656">
      <c r="A656" s="11"/>
      <c r="B656" s="11"/>
      <c r="C656" s="11"/>
      <c r="Q656" s="36"/>
    </row>
    <row r="657">
      <c r="A657" s="11"/>
      <c r="B657" s="11"/>
      <c r="C657" s="11"/>
      <c r="Q657" s="36"/>
    </row>
    <row r="658">
      <c r="A658" s="11"/>
      <c r="B658" s="11"/>
      <c r="C658" s="11"/>
      <c r="Q658" s="36"/>
    </row>
    <row r="659">
      <c r="A659" s="11"/>
      <c r="B659" s="11"/>
      <c r="C659" s="11"/>
      <c r="Q659" s="36"/>
    </row>
    <row r="660">
      <c r="A660" s="11"/>
      <c r="B660" s="11"/>
      <c r="C660" s="11"/>
      <c r="Q660" s="36"/>
    </row>
    <row r="661">
      <c r="A661" s="11"/>
      <c r="B661" s="11"/>
      <c r="C661" s="11"/>
      <c r="Q661" s="36"/>
    </row>
    <row r="662">
      <c r="A662" s="11"/>
      <c r="B662" s="11"/>
      <c r="C662" s="11"/>
      <c r="Q662" s="36"/>
    </row>
    <row r="663">
      <c r="A663" s="11"/>
      <c r="B663" s="11"/>
      <c r="C663" s="11"/>
      <c r="Q663" s="36"/>
    </row>
    <row r="664">
      <c r="A664" s="11"/>
      <c r="B664" s="11"/>
      <c r="C664" s="11"/>
      <c r="Q664" s="36"/>
    </row>
    <row r="665">
      <c r="A665" s="11"/>
      <c r="B665" s="11"/>
      <c r="C665" s="11"/>
      <c r="Q665" s="36"/>
    </row>
    <row r="666">
      <c r="A666" s="11"/>
      <c r="B666" s="11"/>
      <c r="C666" s="11"/>
      <c r="Q666" s="36"/>
    </row>
    <row r="667">
      <c r="A667" s="11"/>
      <c r="B667" s="11"/>
      <c r="C667" s="11"/>
      <c r="Q667" s="36"/>
    </row>
    <row r="668">
      <c r="A668" s="11"/>
      <c r="B668" s="11"/>
      <c r="C668" s="11"/>
      <c r="Q668" s="36"/>
    </row>
    <row r="669">
      <c r="A669" s="11"/>
      <c r="B669" s="11"/>
      <c r="C669" s="11"/>
      <c r="Q669" s="36"/>
    </row>
    <row r="670">
      <c r="A670" s="11"/>
      <c r="B670" s="11"/>
      <c r="C670" s="11"/>
      <c r="Q670" s="36"/>
    </row>
    <row r="671">
      <c r="A671" s="11"/>
      <c r="B671" s="11"/>
      <c r="C671" s="11"/>
      <c r="Q671" s="36"/>
    </row>
    <row r="672">
      <c r="A672" s="11"/>
      <c r="B672" s="11"/>
      <c r="C672" s="11"/>
      <c r="Q672" s="36"/>
    </row>
    <row r="673">
      <c r="A673" s="11"/>
      <c r="B673" s="11"/>
      <c r="C673" s="11"/>
      <c r="Q673" s="36"/>
    </row>
    <row r="674">
      <c r="A674" s="11"/>
      <c r="B674" s="11"/>
      <c r="C674" s="11"/>
      <c r="Q674" s="36"/>
    </row>
    <row r="675">
      <c r="A675" s="11"/>
      <c r="B675" s="11"/>
      <c r="C675" s="11"/>
      <c r="Q675" s="36"/>
    </row>
    <row r="676">
      <c r="A676" s="11"/>
      <c r="B676" s="11"/>
      <c r="C676" s="11"/>
      <c r="Q676" s="36"/>
    </row>
    <row r="677">
      <c r="A677" s="11"/>
      <c r="B677" s="11"/>
      <c r="C677" s="11"/>
      <c r="Q677" s="36"/>
    </row>
    <row r="678">
      <c r="A678" s="11"/>
      <c r="B678" s="11"/>
      <c r="C678" s="11"/>
      <c r="Q678" s="36"/>
    </row>
    <row r="679">
      <c r="A679" s="11"/>
      <c r="B679" s="11"/>
      <c r="C679" s="11"/>
      <c r="Q679" s="36"/>
    </row>
    <row r="680">
      <c r="A680" s="11"/>
      <c r="B680" s="11"/>
      <c r="C680" s="11"/>
      <c r="Q680" s="36"/>
    </row>
    <row r="681">
      <c r="A681" s="11"/>
      <c r="B681" s="11"/>
      <c r="C681" s="11"/>
      <c r="Q681" s="36"/>
    </row>
    <row r="682">
      <c r="A682" s="11"/>
      <c r="B682" s="11"/>
      <c r="C682" s="11"/>
      <c r="Q682" s="36"/>
    </row>
    <row r="683">
      <c r="A683" s="11"/>
      <c r="B683" s="11"/>
      <c r="C683" s="11"/>
      <c r="Q683" s="36"/>
    </row>
    <row r="684">
      <c r="A684" s="11"/>
      <c r="B684" s="11"/>
      <c r="C684" s="11"/>
      <c r="Q684" s="36"/>
    </row>
    <row r="685">
      <c r="A685" s="11"/>
      <c r="B685" s="11"/>
      <c r="C685" s="11"/>
      <c r="Q685" s="36"/>
    </row>
    <row r="686">
      <c r="A686" s="11"/>
      <c r="B686" s="11"/>
      <c r="C686" s="11"/>
      <c r="Q686" s="36"/>
    </row>
    <row r="687">
      <c r="A687" s="11"/>
      <c r="B687" s="11"/>
      <c r="C687" s="11"/>
      <c r="Q687" s="36"/>
    </row>
    <row r="688">
      <c r="A688" s="11"/>
      <c r="B688" s="11"/>
      <c r="C688" s="11"/>
      <c r="Q688" s="36"/>
    </row>
    <row r="689">
      <c r="A689" s="11"/>
      <c r="B689" s="11"/>
      <c r="C689" s="11"/>
      <c r="Q689" s="36"/>
    </row>
    <row r="690">
      <c r="A690" s="11"/>
      <c r="B690" s="11"/>
      <c r="C690" s="11"/>
      <c r="Q690" s="36"/>
    </row>
    <row r="691">
      <c r="A691" s="11"/>
      <c r="B691" s="11"/>
      <c r="C691" s="11"/>
      <c r="Q691" s="36"/>
    </row>
    <row r="692">
      <c r="A692" s="11"/>
      <c r="B692" s="11"/>
      <c r="C692" s="11"/>
      <c r="Q692" s="36"/>
    </row>
    <row r="693">
      <c r="A693" s="11"/>
      <c r="B693" s="11"/>
      <c r="C693" s="11"/>
      <c r="Q693" s="36"/>
    </row>
    <row r="694">
      <c r="A694" s="11"/>
      <c r="B694" s="11"/>
      <c r="C694" s="11"/>
      <c r="Q694" s="36"/>
    </row>
    <row r="695">
      <c r="A695" s="11"/>
      <c r="B695" s="11"/>
      <c r="C695" s="11"/>
      <c r="Q695" s="36"/>
    </row>
    <row r="696">
      <c r="A696" s="11"/>
      <c r="B696" s="11"/>
      <c r="C696" s="11"/>
      <c r="Q696" s="36"/>
    </row>
    <row r="697">
      <c r="A697" s="11"/>
      <c r="B697" s="11"/>
      <c r="C697" s="11"/>
      <c r="Q697" s="36"/>
    </row>
    <row r="698">
      <c r="A698" s="11"/>
      <c r="B698" s="11"/>
      <c r="C698" s="11"/>
      <c r="Q698" s="36"/>
    </row>
    <row r="699">
      <c r="A699" s="11"/>
      <c r="B699" s="11"/>
      <c r="C699" s="11"/>
      <c r="Q699" s="36"/>
    </row>
    <row r="700">
      <c r="A700" s="11"/>
      <c r="B700" s="11"/>
      <c r="C700" s="11"/>
      <c r="Q700" s="36"/>
    </row>
    <row r="701">
      <c r="A701" s="11"/>
      <c r="B701" s="11"/>
      <c r="C701" s="11"/>
      <c r="Q701" s="36"/>
    </row>
    <row r="702">
      <c r="A702" s="11"/>
      <c r="B702" s="11"/>
      <c r="C702" s="11"/>
      <c r="Q702" s="36"/>
    </row>
    <row r="703">
      <c r="A703" s="11"/>
      <c r="B703" s="11"/>
      <c r="C703" s="11"/>
      <c r="Q703" s="36"/>
    </row>
    <row r="704">
      <c r="A704" s="11"/>
      <c r="B704" s="11"/>
      <c r="C704" s="11"/>
      <c r="Q704" s="36"/>
    </row>
    <row r="705">
      <c r="A705" s="11"/>
      <c r="B705" s="11"/>
      <c r="C705" s="11"/>
      <c r="Q705" s="36"/>
    </row>
    <row r="706">
      <c r="A706" s="11"/>
      <c r="B706" s="11"/>
      <c r="C706" s="11"/>
      <c r="Q706" s="36"/>
    </row>
    <row r="707">
      <c r="A707" s="11"/>
      <c r="B707" s="11"/>
      <c r="C707" s="11"/>
      <c r="Q707" s="36"/>
    </row>
    <row r="708">
      <c r="A708" s="11"/>
      <c r="B708" s="11"/>
      <c r="C708" s="11"/>
      <c r="Q708" s="36"/>
    </row>
    <row r="709">
      <c r="A709" s="11"/>
      <c r="B709" s="11"/>
      <c r="C709" s="11"/>
      <c r="Q709" s="36"/>
    </row>
    <row r="710">
      <c r="A710" s="11"/>
      <c r="B710" s="11"/>
      <c r="C710" s="11"/>
      <c r="Q710" s="36"/>
    </row>
    <row r="711">
      <c r="A711" s="11"/>
      <c r="B711" s="11"/>
      <c r="C711" s="11"/>
      <c r="Q711" s="36"/>
    </row>
    <row r="712">
      <c r="A712" s="11"/>
      <c r="B712" s="11"/>
      <c r="C712" s="11"/>
      <c r="Q712" s="36"/>
    </row>
    <row r="713">
      <c r="A713" s="11"/>
      <c r="B713" s="11"/>
      <c r="C713" s="11"/>
      <c r="Q713" s="36"/>
    </row>
    <row r="714">
      <c r="A714" s="11"/>
      <c r="B714" s="11"/>
      <c r="C714" s="11"/>
      <c r="Q714" s="36"/>
    </row>
    <row r="715">
      <c r="A715" s="11"/>
      <c r="B715" s="11"/>
      <c r="C715" s="11"/>
      <c r="Q715" s="36"/>
    </row>
    <row r="716">
      <c r="A716" s="11"/>
      <c r="B716" s="11"/>
      <c r="C716" s="11"/>
      <c r="Q716" s="36"/>
    </row>
    <row r="717">
      <c r="A717" s="11"/>
      <c r="B717" s="11"/>
      <c r="C717" s="11"/>
      <c r="Q717" s="36"/>
    </row>
    <row r="718">
      <c r="A718" s="11"/>
      <c r="B718" s="11"/>
      <c r="C718" s="11"/>
      <c r="Q718" s="36"/>
    </row>
    <row r="719">
      <c r="A719" s="11"/>
      <c r="B719" s="11"/>
      <c r="C719" s="11"/>
      <c r="Q719" s="36"/>
    </row>
    <row r="720">
      <c r="A720" s="11"/>
      <c r="B720" s="11"/>
      <c r="C720" s="11"/>
      <c r="Q720" s="36"/>
    </row>
    <row r="721">
      <c r="A721" s="11"/>
      <c r="B721" s="11"/>
      <c r="C721" s="11"/>
      <c r="Q721" s="36"/>
    </row>
    <row r="722">
      <c r="A722" s="11"/>
      <c r="B722" s="11"/>
      <c r="C722" s="11"/>
      <c r="Q722" s="36"/>
    </row>
    <row r="723">
      <c r="A723" s="11"/>
      <c r="B723" s="11"/>
      <c r="C723" s="11"/>
      <c r="Q723" s="36"/>
    </row>
    <row r="724">
      <c r="A724" s="11"/>
      <c r="B724" s="11"/>
      <c r="C724" s="11"/>
      <c r="Q724" s="36"/>
    </row>
    <row r="725">
      <c r="A725" s="11"/>
      <c r="B725" s="11"/>
      <c r="C725" s="11"/>
      <c r="Q725" s="36"/>
    </row>
    <row r="726">
      <c r="A726" s="11"/>
      <c r="B726" s="11"/>
      <c r="C726" s="11"/>
      <c r="Q726" s="36"/>
    </row>
    <row r="727">
      <c r="A727" s="11"/>
      <c r="B727" s="11"/>
      <c r="C727" s="11"/>
      <c r="Q727" s="36"/>
    </row>
    <row r="728">
      <c r="A728" s="11"/>
      <c r="B728" s="11"/>
      <c r="C728" s="11"/>
      <c r="Q728" s="36"/>
    </row>
    <row r="729">
      <c r="A729" s="11"/>
      <c r="B729" s="11"/>
      <c r="C729" s="11"/>
      <c r="Q729" s="36"/>
    </row>
    <row r="730">
      <c r="A730" s="11"/>
      <c r="B730" s="11"/>
      <c r="C730" s="11"/>
      <c r="Q730" s="36"/>
    </row>
    <row r="731">
      <c r="A731" s="11"/>
      <c r="B731" s="11"/>
      <c r="C731" s="11"/>
      <c r="Q731" s="36"/>
    </row>
    <row r="732">
      <c r="A732" s="11"/>
      <c r="B732" s="11"/>
      <c r="C732" s="11"/>
      <c r="Q732" s="36"/>
    </row>
    <row r="733">
      <c r="A733" s="11"/>
      <c r="B733" s="11"/>
      <c r="C733" s="11"/>
      <c r="Q733" s="36"/>
    </row>
    <row r="734">
      <c r="A734" s="11"/>
      <c r="B734" s="11"/>
      <c r="C734" s="11"/>
      <c r="Q734" s="36"/>
    </row>
    <row r="735">
      <c r="A735" s="11"/>
      <c r="B735" s="11"/>
      <c r="C735" s="11"/>
      <c r="Q735" s="36"/>
    </row>
    <row r="736">
      <c r="A736" s="11"/>
      <c r="B736" s="11"/>
      <c r="C736" s="11"/>
      <c r="Q736" s="36"/>
    </row>
    <row r="737">
      <c r="A737" s="11"/>
      <c r="B737" s="11"/>
      <c r="C737" s="11"/>
      <c r="Q737" s="36"/>
    </row>
    <row r="738">
      <c r="A738" s="11"/>
      <c r="B738" s="11"/>
      <c r="C738" s="11"/>
      <c r="Q738" s="36"/>
    </row>
    <row r="739">
      <c r="A739" s="11"/>
      <c r="B739" s="11"/>
      <c r="C739" s="11"/>
      <c r="Q739" s="36"/>
    </row>
    <row r="740">
      <c r="A740" s="11"/>
      <c r="B740" s="11"/>
      <c r="C740" s="11"/>
      <c r="Q740" s="36"/>
    </row>
    <row r="741">
      <c r="A741" s="11"/>
      <c r="B741" s="11"/>
      <c r="C741" s="11"/>
      <c r="Q741" s="36"/>
    </row>
    <row r="742">
      <c r="A742" s="11"/>
      <c r="B742" s="11"/>
      <c r="C742" s="11"/>
      <c r="Q742" s="36"/>
    </row>
    <row r="743">
      <c r="A743" s="11"/>
      <c r="B743" s="11"/>
      <c r="C743" s="11"/>
      <c r="Q743" s="36"/>
    </row>
    <row r="744">
      <c r="A744" s="11"/>
      <c r="B744" s="11"/>
      <c r="C744" s="11"/>
      <c r="Q744" s="36"/>
    </row>
    <row r="745">
      <c r="A745" s="11"/>
      <c r="B745" s="11"/>
      <c r="C745" s="11"/>
      <c r="Q745" s="36"/>
    </row>
    <row r="746">
      <c r="A746" s="11"/>
      <c r="B746" s="11"/>
      <c r="C746" s="11"/>
      <c r="Q746" s="36"/>
    </row>
    <row r="747">
      <c r="A747" s="11"/>
      <c r="B747" s="11"/>
      <c r="C747" s="11"/>
      <c r="Q747" s="36"/>
    </row>
    <row r="748">
      <c r="A748" s="11"/>
      <c r="B748" s="11"/>
      <c r="C748" s="11"/>
      <c r="Q748" s="36"/>
    </row>
    <row r="749">
      <c r="A749" s="11"/>
      <c r="B749" s="11"/>
      <c r="C749" s="11"/>
      <c r="Q749" s="36"/>
    </row>
    <row r="750">
      <c r="A750" s="11"/>
      <c r="B750" s="11"/>
      <c r="C750" s="11"/>
      <c r="Q750" s="36"/>
    </row>
    <row r="751">
      <c r="A751" s="11"/>
      <c r="B751" s="11"/>
      <c r="C751" s="11"/>
      <c r="Q751" s="36"/>
    </row>
    <row r="752">
      <c r="A752" s="11"/>
      <c r="B752" s="11"/>
      <c r="C752" s="11"/>
      <c r="Q752" s="36"/>
    </row>
    <row r="753">
      <c r="A753" s="11"/>
      <c r="B753" s="11"/>
      <c r="C753" s="11"/>
      <c r="Q753" s="36"/>
    </row>
    <row r="754">
      <c r="A754" s="11"/>
      <c r="B754" s="11"/>
      <c r="C754" s="11"/>
      <c r="Q754" s="36"/>
    </row>
    <row r="755">
      <c r="A755" s="11"/>
      <c r="B755" s="11"/>
      <c r="C755" s="11"/>
      <c r="Q755" s="36"/>
    </row>
    <row r="756">
      <c r="A756" s="11"/>
      <c r="B756" s="11"/>
      <c r="C756" s="11"/>
      <c r="Q756" s="36"/>
    </row>
    <row r="757">
      <c r="A757" s="11"/>
      <c r="B757" s="11"/>
      <c r="C757" s="11"/>
      <c r="Q757" s="36"/>
    </row>
    <row r="758">
      <c r="A758" s="11"/>
      <c r="B758" s="11"/>
      <c r="C758" s="11"/>
      <c r="Q758" s="36"/>
    </row>
    <row r="759">
      <c r="A759" s="11"/>
      <c r="B759" s="11"/>
      <c r="C759" s="11"/>
      <c r="Q759" s="36"/>
    </row>
    <row r="760">
      <c r="A760" s="11"/>
      <c r="B760" s="11"/>
      <c r="C760" s="11"/>
      <c r="Q760" s="36"/>
    </row>
    <row r="761">
      <c r="A761" s="11"/>
      <c r="B761" s="11"/>
      <c r="C761" s="11"/>
      <c r="Q761" s="36"/>
    </row>
    <row r="762">
      <c r="A762" s="11"/>
      <c r="B762" s="11"/>
      <c r="C762" s="11"/>
      <c r="Q762" s="36"/>
    </row>
    <row r="763">
      <c r="A763" s="11"/>
      <c r="B763" s="11"/>
      <c r="C763" s="11"/>
      <c r="Q763" s="36"/>
    </row>
    <row r="764">
      <c r="A764" s="11"/>
      <c r="B764" s="11"/>
      <c r="C764" s="11"/>
      <c r="Q764" s="36"/>
    </row>
    <row r="765">
      <c r="A765" s="11"/>
      <c r="B765" s="11"/>
      <c r="C765" s="11"/>
      <c r="Q765" s="36"/>
    </row>
    <row r="766">
      <c r="A766" s="11"/>
      <c r="B766" s="11"/>
      <c r="C766" s="11"/>
      <c r="Q766" s="36"/>
    </row>
    <row r="767">
      <c r="A767" s="11"/>
      <c r="B767" s="11"/>
      <c r="C767" s="11"/>
      <c r="Q767" s="36"/>
    </row>
    <row r="768">
      <c r="A768" s="11"/>
      <c r="B768" s="11"/>
      <c r="C768" s="11"/>
      <c r="Q768" s="36"/>
    </row>
    <row r="769">
      <c r="A769" s="11"/>
      <c r="B769" s="11"/>
      <c r="C769" s="11"/>
      <c r="Q769" s="36"/>
    </row>
    <row r="770">
      <c r="A770" s="11"/>
      <c r="B770" s="11"/>
      <c r="C770" s="11"/>
      <c r="Q770" s="36"/>
    </row>
    <row r="771">
      <c r="A771" s="11"/>
      <c r="B771" s="11"/>
      <c r="C771" s="11"/>
      <c r="Q771" s="36"/>
    </row>
    <row r="772">
      <c r="A772" s="11"/>
      <c r="B772" s="11"/>
      <c r="C772" s="11"/>
      <c r="Q772" s="36"/>
    </row>
    <row r="773">
      <c r="A773" s="11"/>
      <c r="B773" s="11"/>
      <c r="C773" s="11"/>
      <c r="Q773" s="36"/>
    </row>
    <row r="774">
      <c r="A774" s="11"/>
      <c r="B774" s="11"/>
      <c r="C774" s="11"/>
      <c r="Q774" s="36"/>
    </row>
    <row r="775">
      <c r="A775" s="11"/>
      <c r="B775" s="11"/>
      <c r="C775" s="11"/>
      <c r="Q775" s="36"/>
    </row>
    <row r="776">
      <c r="A776" s="11"/>
      <c r="B776" s="11"/>
      <c r="C776" s="11"/>
      <c r="Q776" s="36"/>
    </row>
    <row r="777">
      <c r="A777" s="11"/>
      <c r="B777" s="11"/>
      <c r="C777" s="11"/>
      <c r="Q777" s="36"/>
    </row>
    <row r="778">
      <c r="A778" s="11"/>
      <c r="B778" s="11"/>
      <c r="C778" s="11"/>
      <c r="Q778" s="36"/>
    </row>
    <row r="779">
      <c r="A779" s="11"/>
      <c r="B779" s="11"/>
      <c r="C779" s="11"/>
      <c r="Q779" s="36"/>
    </row>
    <row r="780">
      <c r="A780" s="11"/>
      <c r="B780" s="11"/>
      <c r="C780" s="11"/>
      <c r="Q780" s="36"/>
    </row>
    <row r="781">
      <c r="A781" s="11"/>
      <c r="B781" s="11"/>
      <c r="C781" s="11"/>
      <c r="Q781" s="36"/>
    </row>
    <row r="782">
      <c r="A782" s="11"/>
      <c r="B782" s="11"/>
      <c r="C782" s="11"/>
      <c r="Q782" s="36"/>
    </row>
    <row r="783">
      <c r="A783" s="11"/>
      <c r="B783" s="11"/>
      <c r="C783" s="11"/>
      <c r="Q783" s="36"/>
    </row>
    <row r="784">
      <c r="A784" s="11"/>
      <c r="B784" s="11"/>
      <c r="C784" s="11"/>
      <c r="Q784" s="36"/>
    </row>
    <row r="785">
      <c r="A785" s="11"/>
      <c r="B785" s="11"/>
      <c r="C785" s="11"/>
      <c r="Q785" s="36"/>
    </row>
    <row r="786">
      <c r="A786" s="11"/>
      <c r="B786" s="11"/>
      <c r="C786" s="11"/>
      <c r="Q786" s="36"/>
    </row>
    <row r="787">
      <c r="A787" s="11"/>
      <c r="B787" s="11"/>
      <c r="C787" s="11"/>
      <c r="Q787" s="36"/>
    </row>
    <row r="788">
      <c r="A788" s="11"/>
      <c r="B788" s="11"/>
      <c r="C788" s="11"/>
      <c r="Q788" s="36"/>
    </row>
    <row r="789">
      <c r="A789" s="11"/>
      <c r="B789" s="11"/>
      <c r="C789" s="11"/>
      <c r="Q789" s="36"/>
    </row>
    <row r="790">
      <c r="A790" s="11"/>
      <c r="B790" s="11"/>
      <c r="C790" s="11"/>
      <c r="Q790" s="36"/>
    </row>
    <row r="791">
      <c r="A791" s="11"/>
      <c r="B791" s="11"/>
      <c r="C791" s="11"/>
      <c r="Q791" s="36"/>
    </row>
    <row r="792">
      <c r="A792" s="11"/>
      <c r="B792" s="11"/>
      <c r="C792" s="11"/>
      <c r="Q792" s="36"/>
    </row>
    <row r="793">
      <c r="A793" s="11"/>
      <c r="B793" s="11"/>
      <c r="C793" s="11"/>
      <c r="Q793" s="36"/>
    </row>
    <row r="794">
      <c r="A794" s="11"/>
      <c r="B794" s="11"/>
      <c r="C794" s="11"/>
      <c r="Q794" s="36"/>
    </row>
    <row r="795">
      <c r="A795" s="11"/>
      <c r="B795" s="11"/>
      <c r="C795" s="11"/>
      <c r="Q795" s="36"/>
    </row>
    <row r="796">
      <c r="A796" s="11"/>
      <c r="B796" s="11"/>
      <c r="C796" s="11"/>
      <c r="Q796" s="36"/>
    </row>
    <row r="797">
      <c r="A797" s="11"/>
      <c r="B797" s="11"/>
      <c r="C797" s="11"/>
      <c r="Q797" s="36"/>
    </row>
    <row r="798">
      <c r="A798" s="11"/>
      <c r="B798" s="11"/>
      <c r="C798" s="11"/>
      <c r="Q798" s="36"/>
    </row>
    <row r="799">
      <c r="A799" s="11"/>
      <c r="B799" s="11"/>
      <c r="C799" s="11"/>
      <c r="Q799" s="36"/>
    </row>
    <row r="800">
      <c r="A800" s="11"/>
      <c r="B800" s="11"/>
      <c r="C800" s="11"/>
      <c r="Q800" s="36"/>
    </row>
    <row r="801">
      <c r="A801" s="11"/>
      <c r="B801" s="11"/>
      <c r="C801" s="11"/>
      <c r="Q801" s="36"/>
    </row>
    <row r="802">
      <c r="A802" s="11"/>
      <c r="B802" s="11"/>
      <c r="C802" s="11"/>
      <c r="Q802" s="36"/>
    </row>
    <row r="803">
      <c r="A803" s="11"/>
      <c r="B803" s="11"/>
      <c r="C803" s="11"/>
      <c r="Q803" s="36"/>
    </row>
    <row r="804">
      <c r="A804" s="11"/>
      <c r="B804" s="11"/>
      <c r="C804" s="11"/>
      <c r="Q804" s="36"/>
    </row>
    <row r="805">
      <c r="A805" s="11"/>
      <c r="B805" s="11"/>
      <c r="C805" s="11"/>
      <c r="Q805" s="36"/>
    </row>
    <row r="806">
      <c r="A806" s="11"/>
      <c r="B806" s="11"/>
      <c r="C806" s="11"/>
      <c r="Q806" s="36"/>
    </row>
    <row r="807">
      <c r="A807" s="11"/>
      <c r="B807" s="11"/>
      <c r="C807" s="11"/>
      <c r="Q807" s="36"/>
    </row>
    <row r="808">
      <c r="A808" s="11"/>
      <c r="B808" s="11"/>
      <c r="C808" s="11"/>
      <c r="Q808" s="36"/>
    </row>
    <row r="809">
      <c r="A809" s="11"/>
      <c r="B809" s="11"/>
      <c r="C809" s="11"/>
      <c r="Q809" s="36"/>
    </row>
    <row r="810">
      <c r="A810" s="11"/>
      <c r="B810" s="11"/>
      <c r="C810" s="11"/>
      <c r="Q810" s="36"/>
    </row>
    <row r="811">
      <c r="A811" s="11"/>
      <c r="B811" s="11"/>
      <c r="C811" s="11"/>
      <c r="Q811" s="36"/>
    </row>
    <row r="812">
      <c r="A812" s="11"/>
      <c r="B812" s="11"/>
      <c r="C812" s="11"/>
      <c r="Q812" s="36"/>
    </row>
    <row r="813">
      <c r="A813" s="11"/>
      <c r="B813" s="11"/>
      <c r="C813" s="11"/>
      <c r="Q813" s="36"/>
    </row>
    <row r="814">
      <c r="A814" s="11"/>
      <c r="B814" s="11"/>
      <c r="C814" s="11"/>
      <c r="Q814" s="36"/>
    </row>
    <row r="815">
      <c r="A815" s="11"/>
      <c r="B815" s="11"/>
      <c r="C815" s="11"/>
      <c r="Q815" s="36"/>
    </row>
    <row r="816">
      <c r="A816" s="11"/>
      <c r="B816" s="11"/>
      <c r="C816" s="11"/>
      <c r="Q816" s="36"/>
    </row>
    <row r="817">
      <c r="A817" s="11"/>
      <c r="B817" s="11"/>
      <c r="C817" s="11"/>
      <c r="Q817" s="36"/>
    </row>
    <row r="818">
      <c r="A818" s="11"/>
      <c r="B818" s="11"/>
      <c r="C818" s="11"/>
      <c r="Q818" s="36"/>
    </row>
    <row r="819">
      <c r="A819" s="11"/>
      <c r="B819" s="11"/>
      <c r="C819" s="11"/>
      <c r="Q819" s="36"/>
    </row>
    <row r="820">
      <c r="A820" s="11"/>
      <c r="B820" s="11"/>
      <c r="C820" s="11"/>
      <c r="Q820" s="36"/>
    </row>
    <row r="821">
      <c r="A821" s="11"/>
      <c r="B821" s="11"/>
      <c r="C821" s="11"/>
      <c r="Q821" s="36"/>
    </row>
    <row r="822">
      <c r="A822" s="11"/>
      <c r="B822" s="11"/>
      <c r="C822" s="11"/>
      <c r="Q822" s="36"/>
    </row>
    <row r="823">
      <c r="A823" s="11"/>
      <c r="B823" s="11"/>
      <c r="C823" s="11"/>
      <c r="Q823" s="36"/>
    </row>
    <row r="824">
      <c r="A824" s="11"/>
      <c r="B824" s="11"/>
      <c r="C824" s="11"/>
      <c r="Q824" s="36"/>
    </row>
    <row r="825">
      <c r="A825" s="11"/>
      <c r="B825" s="11"/>
      <c r="C825" s="11"/>
      <c r="Q825" s="36"/>
    </row>
    <row r="826">
      <c r="A826" s="11"/>
      <c r="B826" s="11"/>
      <c r="C826" s="11"/>
      <c r="Q826" s="36"/>
    </row>
    <row r="827">
      <c r="A827" s="11"/>
      <c r="B827" s="11"/>
      <c r="C827" s="11"/>
      <c r="Q827" s="36"/>
    </row>
    <row r="828">
      <c r="A828" s="11"/>
      <c r="B828" s="11"/>
      <c r="C828" s="11"/>
      <c r="Q828" s="36"/>
    </row>
    <row r="829">
      <c r="A829" s="11"/>
      <c r="B829" s="11"/>
      <c r="C829" s="11"/>
      <c r="Q829" s="36"/>
    </row>
    <row r="830">
      <c r="A830" s="11"/>
      <c r="B830" s="11"/>
      <c r="C830" s="11"/>
      <c r="Q830" s="36"/>
    </row>
    <row r="831">
      <c r="A831" s="11"/>
      <c r="B831" s="11"/>
      <c r="C831" s="11"/>
      <c r="Q831" s="36"/>
    </row>
    <row r="832">
      <c r="A832" s="11"/>
      <c r="B832" s="11"/>
      <c r="C832" s="11"/>
      <c r="Q832" s="36"/>
    </row>
    <row r="833">
      <c r="A833" s="11"/>
      <c r="B833" s="11"/>
      <c r="C833" s="11"/>
      <c r="Q833" s="36"/>
    </row>
    <row r="834">
      <c r="A834" s="11"/>
      <c r="B834" s="11"/>
      <c r="C834" s="11"/>
      <c r="Q834" s="36"/>
    </row>
    <row r="835">
      <c r="A835" s="11"/>
      <c r="B835" s="11"/>
      <c r="C835" s="11"/>
      <c r="Q835" s="36"/>
    </row>
    <row r="836">
      <c r="A836" s="11"/>
      <c r="B836" s="11"/>
      <c r="C836" s="11"/>
      <c r="Q836" s="36"/>
    </row>
    <row r="837">
      <c r="A837" s="11"/>
      <c r="B837" s="11"/>
      <c r="C837" s="11"/>
      <c r="Q837" s="36"/>
    </row>
    <row r="838">
      <c r="A838" s="11"/>
      <c r="B838" s="11"/>
      <c r="C838" s="11"/>
      <c r="Q838" s="36"/>
    </row>
    <row r="839">
      <c r="A839" s="11"/>
      <c r="B839" s="11"/>
      <c r="C839" s="11"/>
      <c r="Q839" s="36"/>
    </row>
    <row r="840">
      <c r="A840" s="11"/>
      <c r="B840" s="11"/>
      <c r="C840" s="11"/>
      <c r="Q840" s="36"/>
    </row>
    <row r="841">
      <c r="A841" s="11"/>
      <c r="B841" s="11"/>
      <c r="C841" s="11"/>
      <c r="Q841" s="36"/>
    </row>
    <row r="842">
      <c r="A842" s="11"/>
      <c r="B842" s="11"/>
      <c r="C842" s="11"/>
      <c r="Q842" s="36"/>
    </row>
    <row r="843">
      <c r="A843" s="11"/>
      <c r="B843" s="11"/>
      <c r="C843" s="11"/>
      <c r="Q843" s="36"/>
    </row>
    <row r="844">
      <c r="A844" s="11"/>
      <c r="B844" s="11"/>
      <c r="C844" s="11"/>
      <c r="Q844" s="36"/>
    </row>
    <row r="845">
      <c r="A845" s="11"/>
      <c r="B845" s="11"/>
      <c r="C845" s="11"/>
      <c r="Q845" s="36"/>
    </row>
    <row r="846">
      <c r="A846" s="11"/>
      <c r="B846" s="11"/>
      <c r="C846" s="11"/>
      <c r="Q846" s="36"/>
    </row>
    <row r="847">
      <c r="A847" s="11"/>
      <c r="B847" s="11"/>
      <c r="C847" s="11"/>
      <c r="Q847" s="36"/>
    </row>
    <row r="848">
      <c r="A848" s="11"/>
      <c r="B848" s="11"/>
      <c r="C848" s="11"/>
      <c r="Q848" s="36"/>
    </row>
    <row r="849">
      <c r="A849" s="11"/>
      <c r="B849" s="11"/>
      <c r="C849" s="11"/>
      <c r="Q849" s="36"/>
    </row>
    <row r="850">
      <c r="A850" s="11"/>
      <c r="B850" s="11"/>
      <c r="C850" s="11"/>
      <c r="Q850" s="36"/>
    </row>
    <row r="851">
      <c r="A851" s="11"/>
      <c r="B851" s="11"/>
      <c r="C851" s="11"/>
      <c r="Q851" s="36"/>
    </row>
    <row r="852">
      <c r="A852" s="11"/>
      <c r="B852" s="11"/>
      <c r="C852" s="11"/>
      <c r="Q852" s="36"/>
    </row>
    <row r="853">
      <c r="A853" s="11"/>
      <c r="B853" s="11"/>
      <c r="C853" s="11"/>
      <c r="Q853" s="36"/>
    </row>
    <row r="854">
      <c r="A854" s="11"/>
      <c r="B854" s="11"/>
      <c r="C854" s="11"/>
      <c r="Q854" s="36"/>
    </row>
    <row r="855">
      <c r="A855" s="11"/>
      <c r="B855" s="11"/>
      <c r="C855" s="11"/>
      <c r="Q855" s="36"/>
    </row>
    <row r="856">
      <c r="A856" s="11"/>
      <c r="B856" s="11"/>
      <c r="C856" s="11"/>
      <c r="Q856" s="36"/>
    </row>
    <row r="857">
      <c r="A857" s="11"/>
      <c r="B857" s="11"/>
      <c r="C857" s="11"/>
      <c r="Q857" s="36"/>
    </row>
    <row r="858">
      <c r="A858" s="11"/>
      <c r="B858" s="11"/>
      <c r="C858" s="11"/>
      <c r="Q858" s="36"/>
    </row>
    <row r="859">
      <c r="A859" s="11"/>
      <c r="B859" s="11"/>
      <c r="C859" s="11"/>
      <c r="Q859" s="36"/>
    </row>
    <row r="860">
      <c r="A860" s="11"/>
      <c r="B860" s="11"/>
      <c r="C860" s="11"/>
      <c r="Q860" s="36"/>
    </row>
    <row r="861">
      <c r="A861" s="11"/>
      <c r="B861" s="11"/>
      <c r="C861" s="11"/>
      <c r="Q861" s="36"/>
    </row>
    <row r="862">
      <c r="A862" s="11"/>
      <c r="B862" s="11"/>
      <c r="C862" s="11"/>
      <c r="Q862" s="36"/>
    </row>
    <row r="863">
      <c r="A863" s="11"/>
      <c r="B863" s="11"/>
      <c r="C863" s="11"/>
      <c r="Q863" s="36"/>
    </row>
    <row r="864">
      <c r="A864" s="11"/>
      <c r="B864" s="11"/>
      <c r="C864" s="11"/>
      <c r="Q864" s="36"/>
    </row>
    <row r="865">
      <c r="A865" s="11"/>
      <c r="B865" s="11"/>
      <c r="C865" s="11"/>
      <c r="Q865" s="36"/>
    </row>
    <row r="866">
      <c r="A866" s="11"/>
      <c r="B866" s="11"/>
      <c r="C866" s="11"/>
      <c r="Q866" s="36"/>
    </row>
    <row r="867">
      <c r="A867" s="11"/>
      <c r="B867" s="11"/>
      <c r="C867" s="11"/>
      <c r="Q867" s="36"/>
    </row>
    <row r="868">
      <c r="A868" s="11"/>
      <c r="B868" s="11"/>
      <c r="C868" s="11"/>
      <c r="Q868" s="36"/>
    </row>
    <row r="869">
      <c r="A869" s="11"/>
      <c r="B869" s="11"/>
      <c r="C869" s="11"/>
      <c r="Q869" s="36"/>
    </row>
    <row r="870">
      <c r="A870" s="11"/>
      <c r="B870" s="11"/>
      <c r="C870" s="11"/>
      <c r="Q870" s="36"/>
    </row>
    <row r="871">
      <c r="A871" s="11"/>
      <c r="B871" s="11"/>
      <c r="C871" s="11"/>
      <c r="Q871" s="36"/>
    </row>
    <row r="872">
      <c r="A872" s="11"/>
      <c r="B872" s="11"/>
      <c r="C872" s="11"/>
      <c r="Q872" s="36"/>
    </row>
    <row r="873">
      <c r="A873" s="11"/>
      <c r="B873" s="11"/>
      <c r="C873" s="11"/>
      <c r="Q873" s="36"/>
    </row>
    <row r="874">
      <c r="A874" s="11"/>
      <c r="B874" s="11"/>
      <c r="C874" s="11"/>
      <c r="Q874" s="36"/>
    </row>
    <row r="875">
      <c r="A875" s="11"/>
      <c r="B875" s="11"/>
      <c r="C875" s="11"/>
      <c r="Q875" s="36"/>
    </row>
    <row r="876">
      <c r="A876" s="11"/>
      <c r="B876" s="11"/>
      <c r="C876" s="11"/>
      <c r="Q876" s="36"/>
    </row>
    <row r="877">
      <c r="A877" s="11"/>
      <c r="B877" s="11"/>
      <c r="C877" s="11"/>
      <c r="Q877" s="36"/>
    </row>
    <row r="878">
      <c r="A878" s="11"/>
      <c r="B878" s="11"/>
      <c r="C878" s="11"/>
      <c r="Q878" s="36"/>
    </row>
    <row r="879">
      <c r="A879" s="11"/>
      <c r="B879" s="11"/>
      <c r="C879" s="11"/>
      <c r="Q879" s="36"/>
    </row>
    <row r="880">
      <c r="A880" s="11"/>
      <c r="B880" s="11"/>
      <c r="C880" s="11"/>
      <c r="Q880" s="36"/>
    </row>
    <row r="881">
      <c r="A881" s="11"/>
      <c r="B881" s="11"/>
      <c r="C881" s="11"/>
      <c r="Q881" s="36"/>
    </row>
    <row r="882">
      <c r="A882" s="11"/>
      <c r="B882" s="11"/>
      <c r="C882" s="11"/>
      <c r="Q882" s="36"/>
    </row>
    <row r="883">
      <c r="A883" s="11"/>
      <c r="B883" s="11"/>
      <c r="C883" s="11"/>
      <c r="Q883" s="36"/>
    </row>
    <row r="884">
      <c r="A884" s="11"/>
      <c r="B884" s="11"/>
      <c r="C884" s="11"/>
      <c r="Q884" s="36"/>
    </row>
    <row r="885">
      <c r="A885" s="11"/>
      <c r="B885" s="11"/>
      <c r="C885" s="11"/>
      <c r="Q885" s="36"/>
    </row>
    <row r="886">
      <c r="A886" s="11"/>
      <c r="B886" s="11"/>
      <c r="C886" s="11"/>
      <c r="Q886" s="36"/>
    </row>
    <row r="887">
      <c r="A887" s="11"/>
      <c r="B887" s="11"/>
      <c r="C887" s="11"/>
      <c r="Q887" s="36"/>
    </row>
    <row r="888">
      <c r="A888" s="11"/>
      <c r="B888" s="11"/>
      <c r="C888" s="11"/>
      <c r="Q888" s="36"/>
    </row>
    <row r="889">
      <c r="A889" s="11"/>
      <c r="B889" s="11"/>
      <c r="C889" s="11"/>
      <c r="Q889" s="36"/>
    </row>
    <row r="890">
      <c r="A890" s="11"/>
      <c r="B890" s="11"/>
      <c r="C890" s="11"/>
      <c r="Q890" s="36"/>
    </row>
    <row r="891">
      <c r="A891" s="11"/>
      <c r="B891" s="11"/>
      <c r="C891" s="11"/>
      <c r="Q891" s="36"/>
    </row>
    <row r="892">
      <c r="A892" s="11"/>
      <c r="B892" s="11"/>
      <c r="C892" s="11"/>
      <c r="Q892" s="36"/>
    </row>
    <row r="893">
      <c r="A893" s="11"/>
      <c r="B893" s="11"/>
      <c r="C893" s="11"/>
      <c r="Q893" s="36"/>
    </row>
    <row r="894">
      <c r="A894" s="11"/>
      <c r="B894" s="11"/>
      <c r="C894" s="11"/>
      <c r="Q894" s="36"/>
    </row>
    <row r="895">
      <c r="A895" s="11"/>
      <c r="B895" s="11"/>
      <c r="C895" s="11"/>
      <c r="Q895" s="36"/>
    </row>
    <row r="896">
      <c r="A896" s="11"/>
      <c r="B896" s="11"/>
      <c r="C896" s="11"/>
      <c r="Q896" s="36"/>
    </row>
    <row r="897">
      <c r="A897" s="11"/>
      <c r="B897" s="11"/>
      <c r="C897" s="11"/>
      <c r="Q897" s="36"/>
    </row>
    <row r="898">
      <c r="A898" s="11"/>
      <c r="B898" s="11"/>
      <c r="C898" s="11"/>
      <c r="Q898" s="36"/>
    </row>
    <row r="899">
      <c r="A899" s="11"/>
      <c r="B899" s="11"/>
      <c r="C899" s="11"/>
      <c r="Q899" s="36"/>
    </row>
    <row r="900">
      <c r="A900" s="11"/>
      <c r="B900" s="11"/>
      <c r="C900" s="11"/>
      <c r="Q900" s="36"/>
    </row>
    <row r="901">
      <c r="A901" s="11"/>
      <c r="B901" s="11"/>
      <c r="C901" s="11"/>
      <c r="Q901" s="36"/>
    </row>
    <row r="902">
      <c r="A902" s="11"/>
      <c r="B902" s="11"/>
      <c r="C902" s="11"/>
      <c r="Q902" s="36"/>
    </row>
    <row r="903">
      <c r="A903" s="11"/>
      <c r="B903" s="11"/>
      <c r="C903" s="11"/>
      <c r="Q903" s="36"/>
    </row>
    <row r="904">
      <c r="A904" s="11"/>
      <c r="B904" s="11"/>
      <c r="C904" s="11"/>
      <c r="Q904" s="36"/>
    </row>
    <row r="905">
      <c r="A905" s="11"/>
      <c r="B905" s="11"/>
      <c r="C905" s="11"/>
      <c r="Q905" s="36"/>
    </row>
    <row r="906">
      <c r="A906" s="11"/>
      <c r="B906" s="11"/>
      <c r="C906" s="11"/>
      <c r="Q906" s="36"/>
    </row>
    <row r="907">
      <c r="A907" s="11"/>
      <c r="B907" s="11"/>
      <c r="C907" s="11"/>
      <c r="Q907" s="36"/>
    </row>
    <row r="908">
      <c r="A908" s="11"/>
      <c r="B908" s="11"/>
      <c r="C908" s="11"/>
      <c r="Q908" s="36"/>
    </row>
    <row r="909">
      <c r="A909" s="11"/>
      <c r="B909" s="11"/>
      <c r="C909" s="11"/>
      <c r="Q909" s="36"/>
    </row>
    <row r="910">
      <c r="A910" s="11"/>
      <c r="B910" s="11"/>
      <c r="C910" s="11"/>
      <c r="Q910" s="36"/>
    </row>
    <row r="911">
      <c r="A911" s="11"/>
      <c r="B911" s="11"/>
      <c r="C911" s="11"/>
      <c r="Q911" s="36"/>
    </row>
    <row r="912">
      <c r="A912" s="11"/>
      <c r="B912" s="11"/>
      <c r="C912" s="11"/>
      <c r="Q912" s="36"/>
    </row>
    <row r="913">
      <c r="A913" s="11"/>
      <c r="B913" s="11"/>
      <c r="C913" s="11"/>
      <c r="Q913" s="36"/>
    </row>
    <row r="914">
      <c r="A914" s="11"/>
      <c r="B914" s="11"/>
      <c r="C914" s="11"/>
      <c r="Q914" s="36"/>
    </row>
    <row r="915">
      <c r="A915" s="11"/>
      <c r="B915" s="11"/>
      <c r="C915" s="11"/>
      <c r="Q915" s="36"/>
    </row>
    <row r="916">
      <c r="A916" s="11"/>
      <c r="B916" s="11"/>
      <c r="C916" s="11"/>
      <c r="Q916" s="36"/>
    </row>
    <row r="917">
      <c r="A917" s="11"/>
      <c r="B917" s="11"/>
      <c r="C917" s="11"/>
      <c r="Q917" s="36"/>
    </row>
    <row r="918">
      <c r="A918" s="11"/>
      <c r="B918" s="11"/>
      <c r="C918" s="11"/>
      <c r="Q918" s="36"/>
    </row>
    <row r="919">
      <c r="A919" s="11"/>
      <c r="B919" s="11"/>
      <c r="C919" s="11"/>
      <c r="Q919" s="36"/>
    </row>
    <row r="920">
      <c r="A920" s="11"/>
      <c r="B920" s="11"/>
      <c r="C920" s="11"/>
      <c r="Q920" s="36"/>
    </row>
    <row r="921">
      <c r="A921" s="11"/>
      <c r="B921" s="11"/>
      <c r="C921" s="11"/>
      <c r="Q921" s="36"/>
    </row>
    <row r="922">
      <c r="A922" s="11"/>
      <c r="B922" s="11"/>
      <c r="C922" s="11"/>
      <c r="Q922" s="36"/>
    </row>
    <row r="923">
      <c r="A923" s="11"/>
      <c r="B923" s="11"/>
      <c r="C923" s="11"/>
      <c r="Q923" s="36"/>
    </row>
    <row r="924">
      <c r="A924" s="11"/>
      <c r="B924" s="11"/>
      <c r="C924" s="11"/>
      <c r="Q924" s="36"/>
    </row>
    <row r="925">
      <c r="A925" s="11"/>
      <c r="B925" s="11"/>
      <c r="C925" s="11"/>
      <c r="Q925" s="36"/>
    </row>
    <row r="926">
      <c r="A926" s="11"/>
      <c r="B926" s="11"/>
      <c r="C926" s="11"/>
      <c r="Q926" s="36"/>
    </row>
    <row r="927">
      <c r="A927" s="11"/>
      <c r="B927" s="11"/>
      <c r="C927" s="11"/>
      <c r="Q927" s="36"/>
    </row>
    <row r="928">
      <c r="A928" s="11"/>
      <c r="B928" s="11"/>
      <c r="C928" s="11"/>
      <c r="Q928" s="36"/>
    </row>
    <row r="929">
      <c r="A929" s="11"/>
      <c r="B929" s="11"/>
      <c r="C929" s="11"/>
      <c r="Q929" s="36"/>
    </row>
    <row r="930">
      <c r="A930" s="11"/>
      <c r="B930" s="11"/>
      <c r="C930" s="11"/>
      <c r="Q930" s="36"/>
    </row>
    <row r="931">
      <c r="A931" s="11"/>
      <c r="B931" s="11"/>
      <c r="C931" s="11"/>
      <c r="Q931" s="36"/>
    </row>
    <row r="932">
      <c r="A932" s="11"/>
      <c r="B932" s="11"/>
      <c r="C932" s="11"/>
      <c r="Q932" s="36"/>
    </row>
    <row r="933">
      <c r="A933" s="11"/>
      <c r="B933" s="11"/>
      <c r="C933" s="11"/>
      <c r="Q933" s="36"/>
    </row>
    <row r="934">
      <c r="A934" s="11"/>
      <c r="B934" s="11"/>
      <c r="C934" s="11"/>
      <c r="Q934" s="36"/>
    </row>
    <row r="935">
      <c r="A935" s="11"/>
      <c r="B935" s="11"/>
      <c r="C935" s="11"/>
      <c r="Q935" s="36"/>
    </row>
    <row r="936">
      <c r="A936" s="11"/>
      <c r="B936" s="11"/>
      <c r="C936" s="11"/>
      <c r="Q936" s="36"/>
    </row>
    <row r="937">
      <c r="A937" s="11"/>
      <c r="B937" s="11"/>
      <c r="C937" s="11"/>
      <c r="Q937" s="36"/>
    </row>
    <row r="938">
      <c r="A938" s="11"/>
      <c r="B938" s="11"/>
      <c r="C938" s="11"/>
      <c r="Q938" s="36"/>
    </row>
    <row r="939">
      <c r="A939" s="11"/>
      <c r="B939" s="11"/>
      <c r="C939" s="11"/>
      <c r="Q939" s="36"/>
    </row>
    <row r="940">
      <c r="A940" s="11"/>
      <c r="B940" s="11"/>
      <c r="C940" s="11"/>
      <c r="Q940" s="36"/>
    </row>
    <row r="941">
      <c r="A941" s="11"/>
      <c r="B941" s="11"/>
      <c r="C941" s="11"/>
      <c r="Q941" s="36"/>
    </row>
    <row r="942">
      <c r="A942" s="11"/>
      <c r="B942" s="11"/>
      <c r="C942" s="11"/>
      <c r="Q942" s="36"/>
    </row>
    <row r="943">
      <c r="A943" s="11"/>
      <c r="B943" s="11"/>
      <c r="C943" s="11"/>
      <c r="Q943" s="36"/>
    </row>
    <row r="944">
      <c r="A944" s="11"/>
      <c r="B944" s="11"/>
      <c r="C944" s="11"/>
      <c r="Q944" s="36"/>
    </row>
    <row r="945">
      <c r="A945" s="11"/>
      <c r="B945" s="11"/>
      <c r="C945" s="11"/>
      <c r="Q945" s="36"/>
    </row>
    <row r="946">
      <c r="A946" s="11"/>
      <c r="B946" s="11"/>
      <c r="C946" s="11"/>
      <c r="Q946" s="36"/>
    </row>
    <row r="947">
      <c r="A947" s="11"/>
      <c r="B947" s="11"/>
      <c r="C947" s="11"/>
      <c r="Q947" s="36"/>
    </row>
    <row r="948">
      <c r="A948" s="11"/>
      <c r="B948" s="11"/>
      <c r="C948" s="11"/>
      <c r="Q948" s="36"/>
    </row>
    <row r="949">
      <c r="A949" s="11"/>
      <c r="B949" s="11"/>
      <c r="C949" s="11"/>
      <c r="Q949" s="36"/>
    </row>
    <row r="950">
      <c r="A950" s="11"/>
      <c r="B950" s="11"/>
      <c r="C950" s="11"/>
      <c r="Q950" s="36"/>
    </row>
    <row r="951">
      <c r="A951" s="11"/>
      <c r="B951" s="11"/>
      <c r="C951" s="11"/>
      <c r="Q951" s="36"/>
    </row>
    <row r="952">
      <c r="A952" s="11"/>
      <c r="B952" s="11"/>
      <c r="C952" s="11"/>
      <c r="Q952" s="36"/>
    </row>
    <row r="953">
      <c r="A953" s="11"/>
      <c r="B953" s="11"/>
      <c r="C953" s="11"/>
      <c r="Q953" s="36"/>
    </row>
    <row r="954">
      <c r="A954" s="11"/>
      <c r="B954" s="11"/>
      <c r="C954" s="11"/>
      <c r="Q954" s="36"/>
    </row>
    <row r="955">
      <c r="A955" s="11"/>
      <c r="B955" s="11"/>
      <c r="C955" s="11"/>
      <c r="Q955" s="36"/>
    </row>
    <row r="956">
      <c r="A956" s="11"/>
      <c r="B956" s="11"/>
      <c r="C956" s="11"/>
      <c r="Q956" s="36"/>
    </row>
    <row r="957">
      <c r="A957" s="11"/>
      <c r="B957" s="11"/>
      <c r="C957" s="11"/>
      <c r="Q957" s="36"/>
    </row>
    <row r="958">
      <c r="A958" s="11"/>
      <c r="B958" s="11"/>
      <c r="C958" s="11"/>
      <c r="Q958" s="36"/>
    </row>
    <row r="959">
      <c r="A959" s="11"/>
      <c r="B959" s="11"/>
      <c r="C959" s="11"/>
      <c r="Q959" s="36"/>
    </row>
    <row r="960">
      <c r="A960" s="11"/>
      <c r="B960" s="11"/>
      <c r="C960" s="11"/>
      <c r="Q960" s="36"/>
    </row>
    <row r="961">
      <c r="A961" s="11"/>
      <c r="B961" s="11"/>
      <c r="C961" s="11"/>
      <c r="Q961" s="36"/>
    </row>
    <row r="962">
      <c r="A962" s="11"/>
      <c r="B962" s="11"/>
      <c r="C962" s="11"/>
      <c r="Q962" s="36"/>
    </row>
    <row r="963">
      <c r="A963" s="11"/>
      <c r="B963" s="11"/>
      <c r="C963" s="11"/>
      <c r="Q963" s="36"/>
    </row>
    <row r="964">
      <c r="A964" s="11"/>
      <c r="B964" s="11"/>
      <c r="C964" s="11"/>
      <c r="Q964" s="36"/>
    </row>
    <row r="965">
      <c r="A965" s="11"/>
      <c r="B965" s="11"/>
      <c r="C965" s="11"/>
      <c r="Q965" s="36"/>
    </row>
    <row r="966">
      <c r="A966" s="11"/>
      <c r="B966" s="11"/>
      <c r="C966" s="11"/>
      <c r="Q966" s="36"/>
    </row>
    <row r="967">
      <c r="A967" s="11"/>
      <c r="B967" s="11"/>
      <c r="C967" s="11"/>
      <c r="Q967" s="36"/>
    </row>
    <row r="968">
      <c r="A968" s="11"/>
      <c r="B968" s="11"/>
      <c r="C968" s="11"/>
      <c r="Q968" s="36"/>
    </row>
    <row r="969">
      <c r="A969" s="11"/>
      <c r="B969" s="11"/>
      <c r="C969" s="11"/>
      <c r="Q969" s="36"/>
    </row>
    <row r="970">
      <c r="A970" s="11"/>
      <c r="B970" s="11"/>
      <c r="C970" s="11"/>
      <c r="Q970" s="36"/>
    </row>
    <row r="971">
      <c r="A971" s="11"/>
      <c r="B971" s="11"/>
      <c r="C971" s="11"/>
      <c r="Q971" s="36"/>
    </row>
    <row r="972">
      <c r="A972" s="11"/>
      <c r="B972" s="11"/>
      <c r="C972" s="11"/>
      <c r="Q972" s="36"/>
    </row>
    <row r="973">
      <c r="A973" s="11"/>
      <c r="B973" s="11"/>
      <c r="C973" s="11"/>
      <c r="Q973" s="36"/>
    </row>
    <row r="974">
      <c r="A974" s="11"/>
      <c r="B974" s="11"/>
      <c r="C974" s="11"/>
      <c r="Q974" s="36"/>
    </row>
    <row r="975">
      <c r="A975" s="11"/>
      <c r="B975" s="11"/>
      <c r="C975" s="11"/>
      <c r="Q975" s="36"/>
    </row>
    <row r="976">
      <c r="A976" s="11"/>
      <c r="B976" s="11"/>
      <c r="C976" s="11"/>
      <c r="Q976" s="36"/>
    </row>
    <row r="977">
      <c r="A977" s="11"/>
      <c r="B977" s="11"/>
      <c r="C977" s="11"/>
      <c r="Q977" s="36"/>
    </row>
    <row r="978">
      <c r="A978" s="11"/>
      <c r="B978" s="11"/>
      <c r="C978" s="11"/>
      <c r="Q978" s="36"/>
    </row>
    <row r="979">
      <c r="A979" s="11"/>
      <c r="B979" s="11"/>
      <c r="C979" s="11"/>
      <c r="Q979" s="36"/>
    </row>
    <row r="980">
      <c r="A980" s="11"/>
      <c r="B980" s="11"/>
      <c r="C980" s="11"/>
      <c r="Q980" s="36"/>
    </row>
    <row r="981">
      <c r="A981" s="11"/>
      <c r="B981" s="11"/>
      <c r="C981" s="11"/>
      <c r="Q981" s="36"/>
    </row>
    <row r="982">
      <c r="A982" s="11"/>
      <c r="B982" s="11"/>
      <c r="C982" s="11"/>
      <c r="Q982" s="36"/>
    </row>
    <row r="983">
      <c r="A983" s="11"/>
      <c r="B983" s="11"/>
      <c r="C983" s="11"/>
      <c r="Q983" s="36"/>
    </row>
    <row r="984">
      <c r="A984" s="11"/>
      <c r="B984" s="11"/>
      <c r="C984" s="11"/>
      <c r="Q984" s="36"/>
    </row>
    <row r="985">
      <c r="A985" s="11"/>
      <c r="B985" s="11"/>
      <c r="C985" s="11"/>
      <c r="Q985" s="36"/>
    </row>
    <row r="986">
      <c r="A986" s="11"/>
      <c r="B986" s="11"/>
      <c r="C986" s="11"/>
      <c r="Q986" s="36"/>
    </row>
    <row r="987">
      <c r="A987" s="11"/>
      <c r="B987" s="11"/>
      <c r="C987" s="11"/>
      <c r="Q987" s="36"/>
    </row>
    <row r="988">
      <c r="A988" s="11"/>
      <c r="B988" s="11"/>
      <c r="C988" s="11"/>
      <c r="Q988" s="36"/>
    </row>
    <row r="989">
      <c r="A989" s="11"/>
      <c r="B989" s="11"/>
      <c r="C989" s="11"/>
      <c r="Q989" s="36"/>
    </row>
    <row r="990">
      <c r="A990" s="11"/>
      <c r="B990" s="11"/>
      <c r="C990" s="11"/>
      <c r="Q990" s="36"/>
    </row>
    <row r="991">
      <c r="A991" s="11"/>
      <c r="B991" s="11"/>
      <c r="C991" s="11"/>
      <c r="Q991" s="36"/>
    </row>
    <row r="992">
      <c r="A992" s="11"/>
      <c r="B992" s="11"/>
      <c r="C992" s="11"/>
      <c r="Q992" s="36"/>
    </row>
    <row r="993">
      <c r="A993" s="11"/>
      <c r="B993" s="11"/>
      <c r="C993" s="11"/>
      <c r="Q993" s="36"/>
    </row>
    <row r="994">
      <c r="A994" s="11"/>
      <c r="B994" s="11"/>
      <c r="C994" s="11"/>
      <c r="Q994" s="36"/>
    </row>
    <row r="995">
      <c r="A995" s="11"/>
      <c r="B995" s="11"/>
      <c r="C995" s="11"/>
      <c r="Q995" s="36"/>
    </row>
    <row r="996">
      <c r="A996" s="11"/>
      <c r="B996" s="11"/>
      <c r="C996" s="11"/>
      <c r="Q996" s="36"/>
    </row>
    <row r="997">
      <c r="A997" s="11"/>
      <c r="B997" s="11"/>
      <c r="C997" s="11"/>
      <c r="Q997" s="36"/>
    </row>
    <row r="998">
      <c r="A998" s="11"/>
      <c r="B998" s="11"/>
      <c r="C998" s="11"/>
      <c r="Q998" s="36"/>
    </row>
    <row r="999">
      <c r="A999" s="11"/>
      <c r="B999" s="11"/>
      <c r="C999" s="11"/>
      <c r="Q999" s="36"/>
    </row>
    <row r="1000">
      <c r="A1000" s="11"/>
      <c r="B1000" s="11"/>
      <c r="C1000" s="11"/>
      <c r="Q1000" s="36"/>
    </row>
    <row r="1001">
      <c r="A1001" s="11"/>
      <c r="B1001" s="11"/>
      <c r="C1001" s="11"/>
      <c r="Q1001" s="36"/>
    </row>
    <row r="1002">
      <c r="A1002" s="11"/>
      <c r="B1002" s="11"/>
      <c r="C1002" s="11"/>
      <c r="Q1002" s="36"/>
    </row>
    <row r="1003">
      <c r="A1003" s="11"/>
      <c r="B1003" s="11"/>
      <c r="C1003" s="11"/>
      <c r="Q1003" s="36"/>
    </row>
    <row r="1004">
      <c r="A1004" s="11"/>
      <c r="B1004" s="11"/>
      <c r="C1004" s="11"/>
      <c r="Q1004" s="36"/>
    </row>
    <row r="1005">
      <c r="A1005" s="11"/>
      <c r="B1005" s="11"/>
      <c r="C1005" s="11"/>
      <c r="Q1005" s="36"/>
    </row>
    <row r="1006">
      <c r="A1006" s="11"/>
      <c r="B1006" s="11"/>
      <c r="C1006" s="11"/>
      <c r="Q1006" s="36"/>
    </row>
    <row r="1007">
      <c r="A1007" s="11"/>
      <c r="B1007" s="11"/>
      <c r="C1007" s="11"/>
      <c r="Q1007" s="36"/>
    </row>
    <row r="1008">
      <c r="A1008" s="11"/>
      <c r="B1008" s="11"/>
      <c r="C1008" s="11"/>
      <c r="Q1008" s="36"/>
    </row>
    <row r="1009">
      <c r="A1009" s="11"/>
      <c r="B1009" s="11"/>
      <c r="C1009" s="11"/>
      <c r="Q1009" s="36"/>
    </row>
    <row r="1010">
      <c r="A1010" s="11"/>
      <c r="B1010" s="11"/>
      <c r="C1010" s="11"/>
      <c r="Q1010" s="36"/>
    </row>
    <row r="1011">
      <c r="A1011" s="11"/>
      <c r="B1011" s="11"/>
      <c r="C1011" s="11"/>
      <c r="Q1011" s="36"/>
    </row>
    <row r="1012">
      <c r="A1012" s="11"/>
      <c r="B1012" s="11"/>
      <c r="C1012" s="11"/>
      <c r="Q1012" s="36"/>
    </row>
    <row r="1013">
      <c r="A1013" s="11"/>
      <c r="B1013" s="11"/>
      <c r="C1013" s="11"/>
      <c r="Q1013" s="36"/>
    </row>
    <row r="1014">
      <c r="A1014" s="11"/>
      <c r="B1014" s="11"/>
      <c r="C1014" s="11"/>
      <c r="Q1014" s="36"/>
    </row>
    <row r="1015">
      <c r="A1015" s="11"/>
      <c r="B1015" s="11"/>
      <c r="C1015" s="11"/>
      <c r="Q1015" s="36"/>
    </row>
    <row r="1016">
      <c r="A1016" s="11"/>
      <c r="B1016" s="11"/>
      <c r="C1016" s="11"/>
      <c r="Q1016" s="36"/>
    </row>
    <row r="1017">
      <c r="A1017" s="11"/>
      <c r="B1017" s="11"/>
      <c r="C1017" s="11"/>
      <c r="Q1017" s="36"/>
    </row>
    <row r="1018">
      <c r="A1018" s="11"/>
      <c r="B1018" s="11"/>
      <c r="C1018" s="11"/>
      <c r="Q1018" s="36"/>
    </row>
    <row r="1019">
      <c r="A1019" s="11"/>
      <c r="B1019" s="11"/>
      <c r="C1019" s="11"/>
      <c r="Q1019" s="36"/>
    </row>
    <row r="1020">
      <c r="A1020" s="11"/>
      <c r="B1020" s="11"/>
      <c r="C1020" s="11"/>
      <c r="Q1020" s="36"/>
    </row>
    <row r="1021">
      <c r="A1021" s="11"/>
      <c r="B1021" s="11"/>
      <c r="C1021" s="11"/>
      <c r="Q1021" s="36"/>
    </row>
    <row r="1022">
      <c r="A1022" s="11"/>
      <c r="B1022" s="11"/>
      <c r="C1022" s="11"/>
      <c r="Q1022" s="36"/>
    </row>
    <row r="1023">
      <c r="A1023" s="11"/>
      <c r="B1023" s="11"/>
      <c r="C1023" s="11"/>
      <c r="Q1023" s="36"/>
    </row>
    <row r="1024">
      <c r="A1024" s="11"/>
      <c r="B1024" s="11"/>
      <c r="C1024" s="11"/>
      <c r="Q1024" s="36"/>
    </row>
    <row r="1025">
      <c r="A1025" s="11"/>
      <c r="B1025" s="11"/>
      <c r="C1025" s="11"/>
      <c r="Q1025" s="36"/>
    </row>
    <row r="1026">
      <c r="A1026" s="11"/>
      <c r="B1026" s="11"/>
      <c r="C1026" s="11"/>
      <c r="Q1026" s="36"/>
    </row>
    <row r="1027">
      <c r="A1027" s="11"/>
      <c r="B1027" s="11"/>
      <c r="C1027" s="11"/>
      <c r="Q1027" s="36"/>
    </row>
    <row r="1028">
      <c r="A1028" s="11"/>
      <c r="B1028" s="11"/>
      <c r="C1028" s="11"/>
      <c r="Q1028" s="36"/>
    </row>
    <row r="1029">
      <c r="A1029" s="11"/>
      <c r="B1029" s="11"/>
      <c r="C1029" s="11"/>
      <c r="Q1029" s="36"/>
    </row>
    <row r="1030">
      <c r="A1030" s="11"/>
      <c r="B1030" s="11"/>
      <c r="C1030" s="11"/>
      <c r="Q1030" s="36"/>
    </row>
    <row r="1031">
      <c r="A1031" s="11"/>
      <c r="B1031" s="11"/>
      <c r="C1031" s="11"/>
      <c r="Q1031" s="36"/>
    </row>
    <row r="1032">
      <c r="A1032" s="11"/>
      <c r="B1032" s="11"/>
      <c r="C1032" s="11"/>
      <c r="Q1032" s="36"/>
    </row>
    <row r="1033">
      <c r="A1033" s="11"/>
      <c r="B1033" s="11"/>
      <c r="C1033" s="11"/>
      <c r="Q1033" s="36"/>
    </row>
    <row r="1034">
      <c r="A1034" s="11"/>
      <c r="B1034" s="11"/>
      <c r="C1034" s="11"/>
      <c r="Q1034" s="36"/>
    </row>
    <row r="1035">
      <c r="A1035" s="11"/>
      <c r="B1035" s="11"/>
      <c r="C1035" s="11"/>
      <c r="Q1035" s="36"/>
    </row>
    <row r="1036">
      <c r="A1036" s="11"/>
      <c r="B1036" s="11"/>
      <c r="C1036" s="11"/>
      <c r="Q1036" s="36"/>
    </row>
    <row r="1037">
      <c r="A1037" s="11"/>
      <c r="B1037" s="11"/>
      <c r="C1037" s="11"/>
      <c r="Q1037" s="36"/>
    </row>
    <row r="1038">
      <c r="A1038" s="11"/>
      <c r="B1038" s="11"/>
      <c r="C1038" s="11"/>
      <c r="Q1038" s="36"/>
    </row>
    <row r="1039">
      <c r="A1039" s="11"/>
      <c r="B1039" s="11"/>
      <c r="C1039" s="11"/>
      <c r="Q1039" s="36"/>
    </row>
    <row r="1040">
      <c r="A1040" s="11"/>
      <c r="B1040" s="11"/>
      <c r="C1040" s="11"/>
      <c r="Q1040" s="36"/>
    </row>
    <row r="1041">
      <c r="A1041" s="11"/>
      <c r="B1041" s="11"/>
      <c r="C1041" s="11"/>
      <c r="Q1041" s="36"/>
    </row>
    <row r="1042">
      <c r="A1042" s="11"/>
      <c r="B1042" s="11"/>
      <c r="C1042" s="11"/>
      <c r="Q1042" s="36"/>
    </row>
    <row r="1043">
      <c r="A1043" s="11"/>
      <c r="B1043" s="11"/>
      <c r="C1043" s="11"/>
      <c r="Q1043" s="36"/>
    </row>
    <row r="1044">
      <c r="A1044" s="11"/>
      <c r="B1044" s="11"/>
      <c r="C1044" s="11"/>
      <c r="Q1044" s="36"/>
    </row>
    <row r="1045">
      <c r="A1045" s="11"/>
      <c r="B1045" s="11"/>
      <c r="C1045" s="11"/>
      <c r="Q1045" s="36"/>
    </row>
    <row r="1046">
      <c r="A1046" s="11"/>
      <c r="B1046" s="11"/>
      <c r="C1046" s="11"/>
      <c r="Q1046" s="36"/>
    </row>
    <row r="1047">
      <c r="A1047" s="11"/>
      <c r="B1047" s="11"/>
      <c r="C1047" s="11"/>
      <c r="Q1047" s="36"/>
    </row>
    <row r="1048">
      <c r="A1048" s="11"/>
      <c r="B1048" s="11"/>
      <c r="C1048" s="11"/>
      <c r="Q1048" s="36"/>
    </row>
    <row r="1049">
      <c r="A1049" s="11"/>
      <c r="B1049" s="11"/>
      <c r="C1049" s="11"/>
      <c r="Q1049" s="36"/>
    </row>
    <row r="1050">
      <c r="A1050" s="11"/>
      <c r="B1050" s="11"/>
      <c r="C1050" s="11"/>
      <c r="Q1050" s="36"/>
    </row>
    <row r="1051">
      <c r="A1051" s="11"/>
      <c r="B1051" s="11"/>
      <c r="C1051" s="11"/>
      <c r="Q1051" s="36"/>
    </row>
    <row r="1052">
      <c r="A1052" s="11"/>
      <c r="B1052" s="11"/>
      <c r="C1052" s="11"/>
      <c r="Q1052" s="36"/>
    </row>
    <row r="1053">
      <c r="A1053" s="11"/>
      <c r="B1053" s="11"/>
      <c r="C1053" s="11"/>
      <c r="Q1053" s="36"/>
    </row>
    <row r="1054">
      <c r="A1054" s="11"/>
      <c r="B1054" s="11"/>
      <c r="C1054" s="11"/>
      <c r="Q1054" s="36"/>
    </row>
    <row r="1055">
      <c r="A1055" s="11"/>
      <c r="B1055" s="11"/>
      <c r="C1055" s="11"/>
      <c r="Q1055" s="36"/>
    </row>
    <row r="1056">
      <c r="A1056" s="11"/>
      <c r="B1056" s="11"/>
      <c r="C1056" s="11"/>
      <c r="Q1056" s="36"/>
    </row>
    <row r="1057">
      <c r="A1057" s="11"/>
      <c r="B1057" s="11"/>
      <c r="C1057" s="11"/>
      <c r="Q1057" s="36"/>
    </row>
    <row r="1058">
      <c r="A1058" s="11"/>
      <c r="B1058" s="11"/>
      <c r="C1058" s="11"/>
      <c r="Q1058" s="36"/>
    </row>
    <row r="1059">
      <c r="A1059" s="11"/>
      <c r="B1059" s="11"/>
      <c r="C1059" s="11"/>
      <c r="Q1059" s="36"/>
    </row>
    <row r="1060">
      <c r="A1060" s="11"/>
      <c r="B1060" s="11"/>
      <c r="C1060" s="11"/>
      <c r="Q1060" s="36"/>
    </row>
    <row r="1061">
      <c r="A1061" s="11"/>
      <c r="B1061" s="11"/>
      <c r="C1061" s="11"/>
      <c r="Q1061" s="36"/>
    </row>
    <row r="1062">
      <c r="A1062" s="11"/>
      <c r="B1062" s="11"/>
      <c r="C1062" s="11"/>
      <c r="Q1062" s="36"/>
    </row>
    <row r="1063">
      <c r="A1063" s="11"/>
      <c r="B1063" s="11"/>
      <c r="C1063" s="11"/>
      <c r="Q1063" s="36"/>
    </row>
    <row r="1064">
      <c r="A1064" s="11"/>
      <c r="B1064" s="11"/>
      <c r="C1064" s="11"/>
      <c r="Q1064" s="36"/>
    </row>
    <row r="1065">
      <c r="A1065" s="11"/>
      <c r="B1065" s="11"/>
      <c r="C1065" s="11"/>
      <c r="Q1065" s="36"/>
    </row>
    <row r="1066">
      <c r="A1066" s="11"/>
      <c r="B1066" s="11"/>
      <c r="C1066" s="11"/>
      <c r="Q1066" s="36"/>
    </row>
    <row r="1067">
      <c r="A1067" s="11"/>
      <c r="B1067" s="11"/>
      <c r="C1067" s="11"/>
      <c r="Q1067" s="36"/>
    </row>
    <row r="1068">
      <c r="A1068" s="11"/>
      <c r="B1068" s="11"/>
      <c r="C1068" s="11"/>
      <c r="Q1068" s="36"/>
    </row>
    <row r="1069">
      <c r="A1069" s="11"/>
      <c r="B1069" s="11"/>
      <c r="C1069" s="11"/>
      <c r="Q1069" s="36"/>
    </row>
    <row r="1070">
      <c r="A1070" s="11"/>
      <c r="B1070" s="11"/>
      <c r="C1070" s="11"/>
      <c r="Q1070" s="36"/>
    </row>
    <row r="1071">
      <c r="A1071" s="11"/>
      <c r="B1071" s="11"/>
      <c r="C1071" s="11"/>
      <c r="Q1071" s="36"/>
    </row>
    <row r="1072">
      <c r="A1072" s="11"/>
      <c r="B1072" s="11"/>
      <c r="C1072" s="11"/>
      <c r="Q1072" s="36"/>
    </row>
    <row r="1073">
      <c r="A1073" s="11"/>
      <c r="B1073" s="11"/>
      <c r="C1073" s="11"/>
      <c r="Q1073" s="36"/>
    </row>
    <row r="1074">
      <c r="A1074" s="11"/>
      <c r="B1074" s="11"/>
      <c r="C1074" s="11"/>
      <c r="Q1074" s="36"/>
    </row>
    <row r="1075">
      <c r="A1075" s="11"/>
      <c r="B1075" s="11"/>
      <c r="C1075" s="11"/>
      <c r="Q1075" s="36"/>
    </row>
    <row r="1076">
      <c r="A1076" s="11"/>
      <c r="B1076" s="11"/>
      <c r="C1076" s="11"/>
      <c r="Q1076" s="36"/>
    </row>
    <row r="1077">
      <c r="A1077" s="11"/>
      <c r="B1077" s="11"/>
      <c r="C1077" s="11"/>
      <c r="Q1077" s="36"/>
    </row>
    <row r="1078">
      <c r="A1078" s="11"/>
      <c r="B1078" s="11"/>
      <c r="C1078" s="11"/>
      <c r="Q1078" s="36"/>
    </row>
    <row r="1079">
      <c r="A1079" s="11"/>
      <c r="B1079" s="11"/>
      <c r="C1079" s="11"/>
      <c r="Q1079" s="36"/>
    </row>
    <row r="1080">
      <c r="A1080" s="11"/>
      <c r="B1080" s="11"/>
      <c r="C1080" s="11"/>
      <c r="Q1080" s="36"/>
    </row>
    <row r="1081">
      <c r="A1081" s="11"/>
      <c r="B1081" s="11"/>
      <c r="C1081" s="11"/>
      <c r="Q1081" s="36"/>
    </row>
    <row r="1082">
      <c r="A1082" s="11"/>
      <c r="B1082" s="11"/>
      <c r="C1082" s="11"/>
      <c r="Q1082" s="36"/>
    </row>
    <row r="1083">
      <c r="A1083" s="11"/>
      <c r="B1083" s="11"/>
      <c r="C1083" s="11"/>
      <c r="Q1083" s="36"/>
    </row>
    <row r="1084">
      <c r="A1084" s="11"/>
      <c r="B1084" s="11"/>
      <c r="C1084" s="11"/>
      <c r="Q1084" s="36"/>
    </row>
    <row r="1085">
      <c r="A1085" s="11"/>
      <c r="B1085" s="11"/>
      <c r="C1085" s="11"/>
      <c r="Q1085" s="36"/>
    </row>
    <row r="1086">
      <c r="A1086" s="11"/>
      <c r="B1086" s="11"/>
      <c r="C1086" s="11"/>
      <c r="Q1086" s="36"/>
    </row>
    <row r="1087">
      <c r="A1087" s="11"/>
      <c r="B1087" s="11"/>
      <c r="C1087" s="11"/>
      <c r="Q1087" s="36"/>
    </row>
    <row r="1088">
      <c r="A1088" s="11"/>
      <c r="B1088" s="11"/>
      <c r="C1088" s="11"/>
      <c r="Q1088" s="36"/>
    </row>
    <row r="1089">
      <c r="A1089" s="11"/>
      <c r="B1089" s="11"/>
      <c r="C1089" s="11"/>
      <c r="Q1089" s="36"/>
    </row>
    <row r="1090">
      <c r="A1090" s="11"/>
      <c r="B1090" s="11"/>
      <c r="C1090" s="11"/>
      <c r="Q1090" s="36"/>
    </row>
    <row r="1091">
      <c r="A1091" s="11"/>
      <c r="B1091" s="11"/>
      <c r="C1091" s="11"/>
      <c r="Q1091" s="36"/>
    </row>
    <row r="1092">
      <c r="A1092" s="11"/>
      <c r="B1092" s="11"/>
      <c r="C1092" s="11"/>
      <c r="Q1092" s="36"/>
    </row>
    <row r="1093">
      <c r="A1093" s="11"/>
      <c r="B1093" s="11"/>
      <c r="C1093" s="11"/>
      <c r="Q1093" s="36"/>
    </row>
    <row r="1094">
      <c r="A1094" s="11"/>
      <c r="B1094" s="11"/>
      <c r="C1094" s="11"/>
      <c r="Q1094" s="36"/>
    </row>
    <row r="1095">
      <c r="A1095" s="11"/>
      <c r="B1095" s="11"/>
      <c r="C1095" s="11"/>
      <c r="Q1095" s="36"/>
    </row>
    <row r="1096">
      <c r="A1096" s="11"/>
      <c r="B1096" s="11"/>
      <c r="C1096" s="11"/>
      <c r="Q1096" s="36"/>
    </row>
    <row r="1097">
      <c r="A1097" s="11"/>
      <c r="B1097" s="11"/>
      <c r="C1097" s="11"/>
      <c r="Q1097" s="36"/>
    </row>
    <row r="1098">
      <c r="A1098" s="11"/>
      <c r="B1098" s="11"/>
      <c r="C1098" s="11"/>
      <c r="Q1098" s="36"/>
    </row>
    <row r="1099">
      <c r="A1099" s="11"/>
      <c r="B1099" s="11"/>
      <c r="C1099" s="11"/>
      <c r="Q1099" s="36"/>
    </row>
    <row r="1100">
      <c r="A1100" s="11"/>
      <c r="B1100" s="11"/>
      <c r="C1100" s="11"/>
      <c r="Q1100" s="36"/>
    </row>
    <row r="1101">
      <c r="A1101" s="11"/>
      <c r="B1101" s="11"/>
      <c r="C1101" s="11"/>
      <c r="Q1101" s="36"/>
    </row>
    <row r="1102">
      <c r="A1102" s="11"/>
      <c r="B1102" s="11"/>
      <c r="C1102" s="11"/>
      <c r="Q1102" s="36"/>
    </row>
    <row r="1103">
      <c r="A1103" s="11"/>
      <c r="B1103" s="11"/>
      <c r="C1103" s="11"/>
      <c r="Q1103" s="36"/>
    </row>
    <row r="1104">
      <c r="A1104" s="11"/>
      <c r="B1104" s="11"/>
      <c r="C1104" s="11"/>
      <c r="Q1104" s="36"/>
    </row>
    <row r="1105">
      <c r="A1105" s="11"/>
      <c r="B1105" s="11"/>
      <c r="C1105" s="11"/>
      <c r="Q1105" s="36"/>
    </row>
    <row r="1106">
      <c r="A1106" s="11"/>
      <c r="B1106" s="11"/>
      <c r="C1106" s="11"/>
      <c r="Q1106" s="36"/>
    </row>
    <row r="1107">
      <c r="A1107" s="11"/>
      <c r="B1107" s="11"/>
      <c r="C1107" s="11"/>
      <c r="Q1107" s="36"/>
    </row>
    <row r="1108">
      <c r="A1108" s="11"/>
      <c r="B1108" s="11"/>
      <c r="C1108" s="11"/>
      <c r="Q1108" s="36"/>
    </row>
    <row r="1109">
      <c r="A1109" s="11"/>
      <c r="B1109" s="11"/>
      <c r="C1109" s="11"/>
      <c r="Q1109" s="36"/>
    </row>
    <row r="1110">
      <c r="A1110" s="11"/>
      <c r="B1110" s="11"/>
      <c r="C1110" s="11"/>
      <c r="Q1110" s="36"/>
    </row>
    <row r="1111">
      <c r="A1111" s="11"/>
      <c r="B1111" s="11"/>
      <c r="C1111" s="11"/>
      <c r="Q1111" s="36"/>
    </row>
    <row r="1112">
      <c r="A1112" s="11"/>
      <c r="B1112" s="11"/>
      <c r="C1112" s="11"/>
      <c r="Q1112" s="36"/>
    </row>
    <row r="1113">
      <c r="A1113" s="11"/>
      <c r="B1113" s="11"/>
      <c r="C1113" s="11"/>
      <c r="Q1113" s="36"/>
    </row>
    <row r="1114">
      <c r="A1114" s="11"/>
      <c r="B1114" s="11"/>
      <c r="C1114" s="11"/>
      <c r="Q1114" s="36"/>
    </row>
    <row r="1115">
      <c r="A1115" s="11"/>
      <c r="B1115" s="11"/>
      <c r="C1115" s="11"/>
      <c r="Q1115" s="36"/>
    </row>
    <row r="1116">
      <c r="A1116" s="11"/>
      <c r="B1116" s="11"/>
      <c r="C1116" s="11"/>
      <c r="Q1116" s="36"/>
    </row>
    <row r="1117">
      <c r="A1117" s="11"/>
      <c r="B1117" s="11"/>
      <c r="C1117" s="11"/>
      <c r="Q1117" s="36"/>
    </row>
    <row r="1118">
      <c r="A1118" s="11"/>
      <c r="B1118" s="11"/>
      <c r="C1118" s="11"/>
      <c r="Q1118" s="36"/>
    </row>
    <row r="1119">
      <c r="A1119" s="11"/>
      <c r="B1119" s="11"/>
      <c r="C1119" s="11"/>
      <c r="Q1119" s="36"/>
    </row>
    <row r="1120">
      <c r="A1120" s="11"/>
      <c r="B1120" s="11"/>
      <c r="C1120" s="11"/>
      <c r="Q1120" s="36"/>
    </row>
    <row r="1121">
      <c r="A1121" s="11"/>
      <c r="B1121" s="11"/>
      <c r="C1121" s="11"/>
      <c r="Q1121" s="36"/>
    </row>
    <row r="1122">
      <c r="A1122" s="11"/>
      <c r="B1122" s="11"/>
      <c r="C1122" s="11"/>
      <c r="Q1122" s="36"/>
    </row>
    <row r="1123">
      <c r="A1123" s="11"/>
      <c r="B1123" s="11"/>
      <c r="C1123" s="11"/>
      <c r="Q1123" s="36"/>
    </row>
    <row r="1124">
      <c r="A1124" s="11"/>
      <c r="B1124" s="11"/>
      <c r="C1124" s="11"/>
      <c r="Q1124" s="36"/>
    </row>
    <row r="1125">
      <c r="A1125" s="11"/>
      <c r="B1125" s="11"/>
      <c r="C1125" s="11"/>
      <c r="Q1125" s="36"/>
    </row>
    <row r="1126">
      <c r="A1126" s="11"/>
      <c r="B1126" s="11"/>
      <c r="C1126" s="11"/>
      <c r="Q1126" s="36"/>
    </row>
    <row r="1127">
      <c r="A1127" s="11"/>
      <c r="B1127" s="11"/>
      <c r="C1127" s="11"/>
      <c r="Q1127" s="36"/>
    </row>
    <row r="1128">
      <c r="A1128" s="11"/>
      <c r="B1128" s="11"/>
      <c r="C1128" s="11"/>
      <c r="Q1128" s="36"/>
    </row>
    <row r="1129">
      <c r="A1129" s="11"/>
      <c r="B1129" s="11"/>
      <c r="C1129" s="11"/>
      <c r="Q1129" s="36"/>
    </row>
    <row r="1130">
      <c r="A1130" s="11"/>
      <c r="B1130" s="11"/>
      <c r="C1130" s="11"/>
      <c r="Q1130" s="36"/>
    </row>
    <row r="1131">
      <c r="A1131" s="11"/>
      <c r="B1131" s="11"/>
      <c r="C1131" s="11"/>
      <c r="Q1131" s="36"/>
    </row>
    <row r="1132">
      <c r="A1132" s="11"/>
      <c r="B1132" s="11"/>
      <c r="C1132" s="11"/>
      <c r="Q1132" s="36"/>
    </row>
    <row r="1133">
      <c r="A1133" s="11"/>
      <c r="B1133" s="11"/>
      <c r="C1133" s="11"/>
      <c r="Q1133" s="36"/>
    </row>
    <row r="1134">
      <c r="A1134" s="11"/>
      <c r="B1134" s="11"/>
      <c r="C1134" s="11"/>
      <c r="Q1134" s="36"/>
    </row>
    <row r="1135">
      <c r="A1135" s="11"/>
      <c r="B1135" s="11"/>
      <c r="C1135" s="11"/>
      <c r="Q1135" s="36"/>
    </row>
    <row r="1136">
      <c r="A1136" s="11"/>
      <c r="B1136" s="11"/>
      <c r="C1136" s="11"/>
      <c r="Q1136" s="36"/>
    </row>
    <row r="1137">
      <c r="A1137" s="11"/>
      <c r="B1137" s="11"/>
      <c r="C1137" s="11"/>
      <c r="Q1137" s="36"/>
    </row>
    <row r="1138">
      <c r="A1138" s="11"/>
      <c r="B1138" s="11"/>
      <c r="C1138" s="11"/>
      <c r="Q1138" s="36"/>
    </row>
    <row r="1139">
      <c r="A1139" s="11"/>
      <c r="B1139" s="11"/>
      <c r="C1139" s="11"/>
      <c r="Q1139" s="36"/>
    </row>
    <row r="1140">
      <c r="A1140" s="11"/>
      <c r="B1140" s="11"/>
      <c r="C1140" s="11"/>
      <c r="Q1140" s="36"/>
    </row>
    <row r="1141">
      <c r="A1141" s="11"/>
      <c r="B1141" s="11"/>
      <c r="C1141" s="11"/>
      <c r="Q1141" s="36"/>
    </row>
    <row r="1142">
      <c r="A1142" s="11"/>
      <c r="B1142" s="11"/>
      <c r="C1142" s="11"/>
      <c r="Q1142" s="36"/>
    </row>
    <row r="1143">
      <c r="A1143" s="11"/>
      <c r="B1143" s="11"/>
      <c r="C1143" s="11"/>
      <c r="Q1143" s="36"/>
    </row>
    <row r="1144">
      <c r="A1144" s="11"/>
      <c r="B1144" s="11"/>
      <c r="C1144" s="11"/>
      <c r="Q1144" s="36"/>
    </row>
    <row r="1145">
      <c r="A1145" s="11"/>
      <c r="B1145" s="11"/>
      <c r="C1145" s="11"/>
      <c r="Q1145" s="36"/>
    </row>
    <row r="1146">
      <c r="A1146" s="11"/>
      <c r="B1146" s="11"/>
      <c r="C1146" s="11"/>
      <c r="Q1146" s="36"/>
    </row>
    <row r="1147">
      <c r="A1147" s="11"/>
      <c r="B1147" s="11"/>
      <c r="C1147" s="11"/>
      <c r="Q1147" s="36"/>
    </row>
    <row r="1148">
      <c r="A1148" s="11"/>
      <c r="B1148" s="11"/>
      <c r="C1148" s="11"/>
      <c r="Q1148" s="36"/>
    </row>
    <row r="1149">
      <c r="A1149" s="11"/>
      <c r="B1149" s="11"/>
      <c r="C1149" s="11"/>
      <c r="Q1149" s="36"/>
    </row>
    <row r="1150">
      <c r="A1150" s="11"/>
      <c r="B1150" s="11"/>
      <c r="C1150" s="11"/>
      <c r="Q1150" s="36"/>
    </row>
    <row r="1151">
      <c r="A1151" s="11"/>
      <c r="B1151" s="11"/>
      <c r="C1151" s="11"/>
      <c r="Q1151" s="36"/>
    </row>
    <row r="1152">
      <c r="A1152" s="11"/>
      <c r="B1152" s="11"/>
      <c r="C1152" s="11"/>
      <c r="Q1152" s="36"/>
    </row>
    <row r="1153">
      <c r="A1153" s="11"/>
      <c r="B1153" s="11"/>
      <c r="C1153" s="11"/>
      <c r="Q1153" s="36"/>
    </row>
    <row r="1154">
      <c r="A1154" s="11"/>
      <c r="B1154" s="11"/>
      <c r="C1154" s="11"/>
      <c r="Q1154" s="36"/>
    </row>
    <row r="1155">
      <c r="A1155" s="11"/>
      <c r="B1155" s="11"/>
      <c r="C1155" s="11"/>
      <c r="Q1155" s="36"/>
    </row>
    <row r="1156">
      <c r="A1156" s="11"/>
      <c r="B1156" s="11"/>
      <c r="C1156" s="11"/>
      <c r="Q1156" s="36"/>
    </row>
    <row r="1157">
      <c r="A1157" s="11"/>
      <c r="B1157" s="11"/>
      <c r="C1157" s="11"/>
      <c r="Q1157" s="36"/>
    </row>
    <row r="1158">
      <c r="A1158" s="11"/>
      <c r="B1158" s="11"/>
      <c r="C1158" s="11"/>
      <c r="Q1158" s="36"/>
    </row>
    <row r="1159">
      <c r="A1159" s="11"/>
      <c r="B1159" s="11"/>
      <c r="C1159" s="11"/>
      <c r="Q1159" s="36"/>
    </row>
    <row r="1160">
      <c r="A1160" s="11"/>
      <c r="B1160" s="11"/>
      <c r="C1160" s="11"/>
      <c r="Q1160" s="36"/>
    </row>
    <row r="1161">
      <c r="A1161" s="11"/>
      <c r="B1161" s="11"/>
      <c r="C1161" s="11"/>
      <c r="Q1161" s="36"/>
    </row>
    <row r="1162">
      <c r="A1162" s="11"/>
      <c r="B1162" s="11"/>
      <c r="C1162" s="11"/>
      <c r="Q1162" s="36"/>
    </row>
    <row r="1163">
      <c r="A1163" s="11"/>
      <c r="B1163" s="11"/>
      <c r="C1163" s="11"/>
      <c r="Q1163" s="36"/>
    </row>
    <row r="1164">
      <c r="A1164" s="11"/>
      <c r="B1164" s="11"/>
      <c r="C1164" s="11"/>
      <c r="Q1164" s="36"/>
    </row>
    <row r="1165">
      <c r="A1165" s="11"/>
      <c r="B1165" s="11"/>
      <c r="C1165" s="11"/>
      <c r="Q1165" s="36"/>
    </row>
    <row r="1166">
      <c r="A1166" s="11"/>
      <c r="B1166" s="11"/>
      <c r="C1166" s="11"/>
      <c r="Q1166" s="36"/>
    </row>
    <row r="1167">
      <c r="A1167" s="11"/>
      <c r="B1167" s="11"/>
      <c r="C1167" s="11"/>
      <c r="Q1167" s="36"/>
    </row>
    <row r="1168">
      <c r="A1168" s="11"/>
      <c r="B1168" s="11"/>
      <c r="C1168" s="11"/>
      <c r="Q1168" s="36"/>
    </row>
    <row r="1169">
      <c r="A1169" s="11"/>
      <c r="B1169" s="11"/>
      <c r="C1169" s="11"/>
      <c r="Q1169" s="36"/>
    </row>
    <row r="1170">
      <c r="A1170" s="11"/>
      <c r="B1170" s="11"/>
      <c r="C1170" s="11"/>
      <c r="Q1170" s="36"/>
    </row>
    <row r="1171">
      <c r="A1171" s="11"/>
      <c r="B1171" s="11"/>
      <c r="C1171" s="11"/>
      <c r="Q1171" s="36"/>
    </row>
    <row r="1172">
      <c r="A1172" s="11"/>
      <c r="B1172" s="11"/>
      <c r="C1172" s="11"/>
      <c r="Q1172" s="36"/>
    </row>
    <row r="1173">
      <c r="A1173" s="11"/>
      <c r="B1173" s="11"/>
      <c r="C1173" s="11"/>
      <c r="Q1173" s="36"/>
    </row>
    <row r="1174">
      <c r="A1174" s="11"/>
      <c r="B1174" s="11"/>
      <c r="C1174" s="11"/>
      <c r="Q1174" s="36"/>
    </row>
    <row r="1175">
      <c r="A1175" s="11"/>
      <c r="B1175" s="11"/>
      <c r="C1175" s="11"/>
      <c r="Q1175" s="36"/>
    </row>
    <row r="1176">
      <c r="A1176" s="11"/>
      <c r="B1176" s="11"/>
      <c r="C1176" s="11"/>
      <c r="Q1176" s="36"/>
    </row>
    <row r="1177">
      <c r="A1177" s="11"/>
      <c r="B1177" s="11"/>
      <c r="C1177" s="11"/>
      <c r="Q1177" s="36"/>
    </row>
    <row r="1178">
      <c r="A1178" s="11"/>
      <c r="B1178" s="11"/>
      <c r="C1178" s="11"/>
      <c r="Q1178" s="36"/>
    </row>
    <row r="1179">
      <c r="A1179" s="11"/>
      <c r="B1179" s="11"/>
      <c r="C1179" s="11"/>
      <c r="Q1179" s="36"/>
    </row>
    <row r="1180">
      <c r="A1180" s="11"/>
      <c r="B1180" s="11"/>
      <c r="C1180" s="11"/>
      <c r="Q1180" s="36"/>
    </row>
    <row r="1181">
      <c r="A1181" s="11"/>
      <c r="B1181" s="11"/>
      <c r="C1181" s="11"/>
      <c r="Q1181" s="36"/>
    </row>
    <row r="1182">
      <c r="A1182" s="11"/>
      <c r="B1182" s="11"/>
      <c r="C1182" s="11"/>
      <c r="Q1182" s="36"/>
    </row>
    <row r="1183">
      <c r="A1183" s="11"/>
      <c r="B1183" s="11"/>
      <c r="C1183" s="11"/>
      <c r="Q1183" s="36"/>
    </row>
    <row r="1184">
      <c r="A1184" s="11"/>
      <c r="B1184" s="11"/>
      <c r="C1184" s="11"/>
      <c r="Q1184" s="36"/>
    </row>
    <row r="1185">
      <c r="A1185" s="11"/>
      <c r="B1185" s="11"/>
      <c r="C1185" s="11"/>
      <c r="Q1185" s="36"/>
    </row>
    <row r="1186">
      <c r="A1186" s="11"/>
      <c r="B1186" s="11"/>
      <c r="C1186" s="11"/>
      <c r="Q1186" s="36"/>
    </row>
    <row r="1187">
      <c r="A1187" s="11"/>
      <c r="B1187" s="11"/>
      <c r="C1187" s="11"/>
      <c r="Q1187" s="36"/>
    </row>
    <row r="1188">
      <c r="A1188" s="11"/>
      <c r="B1188" s="11"/>
      <c r="C1188" s="11"/>
      <c r="Q1188" s="36"/>
    </row>
    <row r="1189">
      <c r="A1189" s="11"/>
      <c r="B1189" s="11"/>
      <c r="C1189" s="11"/>
      <c r="Q1189" s="36"/>
    </row>
    <row r="1190">
      <c r="A1190" s="11"/>
      <c r="B1190" s="11"/>
      <c r="C1190" s="11"/>
      <c r="Q1190" s="36"/>
    </row>
    <row r="1191">
      <c r="A1191" s="11"/>
      <c r="B1191" s="11"/>
      <c r="C1191" s="11"/>
      <c r="Q1191" s="36"/>
    </row>
    <row r="1192">
      <c r="A1192" s="11"/>
      <c r="B1192" s="11"/>
      <c r="C1192" s="11"/>
      <c r="Q1192" s="36"/>
    </row>
    <row r="1193">
      <c r="A1193" s="11"/>
      <c r="B1193" s="11"/>
      <c r="C1193" s="11"/>
      <c r="Q1193" s="36"/>
    </row>
    <row r="1194">
      <c r="A1194" s="11"/>
      <c r="B1194" s="11"/>
      <c r="C1194" s="11"/>
      <c r="Q1194" s="36"/>
    </row>
    <row r="1195">
      <c r="A1195" s="11"/>
      <c r="B1195" s="11"/>
      <c r="C1195" s="11"/>
      <c r="Q1195" s="36"/>
    </row>
    <row r="1196">
      <c r="A1196" s="11"/>
      <c r="B1196" s="11"/>
      <c r="C1196" s="11"/>
      <c r="Q1196" s="36"/>
    </row>
    <row r="1197">
      <c r="A1197" s="11"/>
      <c r="B1197" s="11"/>
      <c r="C1197" s="11"/>
      <c r="Q1197" s="36"/>
    </row>
    <row r="1198">
      <c r="A1198" s="11"/>
      <c r="B1198" s="11"/>
      <c r="C1198" s="11"/>
      <c r="Q1198" s="36"/>
    </row>
    <row r="1199">
      <c r="A1199" s="11"/>
      <c r="B1199" s="11"/>
      <c r="C1199" s="11"/>
      <c r="Q1199" s="36"/>
    </row>
    <row r="1200">
      <c r="A1200" s="11"/>
      <c r="B1200" s="11"/>
      <c r="C1200" s="11"/>
      <c r="Q1200" s="36"/>
    </row>
    <row r="1201">
      <c r="A1201" s="11"/>
      <c r="B1201" s="11"/>
      <c r="C1201" s="11"/>
      <c r="Q1201" s="36"/>
    </row>
    <row r="1202">
      <c r="A1202" s="11"/>
      <c r="B1202" s="11"/>
      <c r="C1202" s="11"/>
      <c r="Q1202" s="36"/>
    </row>
    <row r="1203">
      <c r="A1203" s="11"/>
      <c r="B1203" s="11"/>
      <c r="C1203" s="11"/>
      <c r="Q1203" s="36"/>
    </row>
    <row r="1204">
      <c r="A1204" s="11"/>
      <c r="B1204" s="11"/>
      <c r="C1204" s="11"/>
      <c r="Q1204" s="36"/>
    </row>
    <row r="1205">
      <c r="A1205" s="11"/>
      <c r="B1205" s="11"/>
      <c r="C1205" s="11"/>
      <c r="Q1205" s="36"/>
    </row>
    <row r="1206">
      <c r="A1206" s="11"/>
      <c r="B1206" s="11"/>
      <c r="C1206" s="11"/>
      <c r="Q1206" s="36"/>
    </row>
    <row r="1207">
      <c r="A1207" s="11"/>
      <c r="B1207" s="11"/>
      <c r="C1207" s="11"/>
      <c r="Q1207" s="36"/>
    </row>
    <row r="1208">
      <c r="A1208" s="11"/>
      <c r="B1208" s="11"/>
      <c r="C1208" s="11"/>
      <c r="Q1208" s="36"/>
    </row>
    <row r="1209">
      <c r="A1209" s="11"/>
      <c r="B1209" s="11"/>
      <c r="C1209" s="11"/>
      <c r="Q1209" s="36"/>
    </row>
    <row r="1210">
      <c r="A1210" s="11"/>
      <c r="B1210" s="11"/>
      <c r="C1210" s="11"/>
      <c r="Q1210" s="36"/>
    </row>
    <row r="1211">
      <c r="A1211" s="11"/>
      <c r="B1211" s="11"/>
      <c r="C1211" s="11"/>
      <c r="Q1211" s="36"/>
    </row>
    <row r="1212">
      <c r="A1212" s="11"/>
      <c r="B1212" s="11"/>
      <c r="C1212" s="11"/>
      <c r="Q1212" s="36"/>
    </row>
    <row r="1213">
      <c r="A1213" s="11"/>
      <c r="B1213" s="11"/>
      <c r="C1213" s="11"/>
      <c r="Q1213" s="36"/>
    </row>
    <row r="1214">
      <c r="A1214" s="11"/>
      <c r="B1214" s="11"/>
      <c r="C1214" s="11"/>
      <c r="Q1214" s="36"/>
    </row>
    <row r="1215">
      <c r="A1215" s="11"/>
      <c r="B1215" s="11"/>
      <c r="C1215" s="11"/>
      <c r="Q1215" s="36"/>
    </row>
    <row r="1216">
      <c r="A1216" s="11"/>
      <c r="B1216" s="11"/>
      <c r="C1216" s="11"/>
      <c r="Q1216" s="36"/>
    </row>
    <row r="1217">
      <c r="A1217" s="11"/>
      <c r="B1217" s="11"/>
      <c r="C1217" s="11"/>
      <c r="Q1217" s="36"/>
    </row>
    <row r="1218">
      <c r="A1218" s="11"/>
      <c r="B1218" s="11"/>
      <c r="C1218" s="11"/>
      <c r="Q1218" s="36"/>
    </row>
    <row r="1219">
      <c r="A1219" s="11"/>
      <c r="B1219" s="11"/>
      <c r="C1219" s="11"/>
      <c r="Q1219" s="36"/>
    </row>
    <row r="1220">
      <c r="A1220" s="11"/>
      <c r="B1220" s="11"/>
      <c r="C1220" s="11"/>
      <c r="Q1220" s="36"/>
    </row>
    <row r="1221">
      <c r="A1221" s="11"/>
      <c r="B1221" s="11"/>
      <c r="C1221" s="11"/>
      <c r="Q1221" s="36"/>
    </row>
    <row r="1222">
      <c r="A1222" s="11"/>
      <c r="B1222" s="11"/>
      <c r="C1222" s="11"/>
      <c r="Q1222" s="36"/>
    </row>
    <row r="1223">
      <c r="A1223" s="11"/>
      <c r="B1223" s="11"/>
      <c r="C1223" s="11"/>
      <c r="Q1223" s="36"/>
    </row>
    <row r="1224">
      <c r="A1224" s="11"/>
      <c r="B1224" s="11"/>
      <c r="C1224" s="11"/>
      <c r="Q1224" s="36"/>
    </row>
    <row r="1225">
      <c r="A1225" s="11"/>
      <c r="B1225" s="11"/>
      <c r="C1225" s="11"/>
      <c r="Q1225" s="36"/>
    </row>
    <row r="1226">
      <c r="A1226" s="11"/>
      <c r="B1226" s="11"/>
      <c r="C1226" s="11"/>
      <c r="Q1226" s="36"/>
    </row>
    <row r="1227">
      <c r="A1227" s="11"/>
      <c r="B1227" s="11"/>
      <c r="C1227" s="11"/>
      <c r="Q1227" s="36"/>
    </row>
    <row r="1228">
      <c r="A1228" s="11"/>
      <c r="B1228" s="11"/>
      <c r="C1228" s="11"/>
      <c r="Q1228" s="36"/>
    </row>
    <row r="1229">
      <c r="A1229" s="11"/>
      <c r="B1229" s="11"/>
      <c r="C1229" s="11"/>
      <c r="Q1229" s="36"/>
    </row>
    <row r="1230">
      <c r="A1230" s="11"/>
      <c r="B1230" s="11"/>
      <c r="C1230" s="11"/>
      <c r="Q1230" s="36"/>
    </row>
    <row r="1231">
      <c r="A1231" s="11"/>
      <c r="B1231" s="11"/>
      <c r="C1231" s="11"/>
      <c r="Q1231" s="36"/>
    </row>
    <row r="1232">
      <c r="A1232" s="11"/>
      <c r="B1232" s="11"/>
      <c r="C1232" s="11"/>
      <c r="Q1232" s="36"/>
    </row>
    <row r="1233">
      <c r="A1233" s="11"/>
      <c r="B1233" s="11"/>
      <c r="C1233" s="11"/>
      <c r="Q1233" s="36"/>
    </row>
    <row r="1234">
      <c r="A1234" s="11"/>
      <c r="B1234" s="11"/>
      <c r="C1234" s="11"/>
      <c r="Q1234" s="36"/>
    </row>
    <row r="1235">
      <c r="A1235" s="11"/>
      <c r="B1235" s="11"/>
      <c r="C1235" s="11"/>
      <c r="Q1235" s="36"/>
    </row>
    <row r="1236">
      <c r="A1236" s="11"/>
      <c r="B1236" s="11"/>
      <c r="C1236" s="11"/>
      <c r="Q1236" s="36"/>
    </row>
    <row r="1237">
      <c r="A1237" s="11"/>
      <c r="B1237" s="11"/>
      <c r="C1237" s="11"/>
      <c r="Q1237" s="36"/>
    </row>
    <row r="1238">
      <c r="A1238" s="11"/>
      <c r="B1238" s="11"/>
      <c r="C1238" s="11"/>
      <c r="Q1238" s="36"/>
    </row>
    <row r="1239">
      <c r="A1239" s="11"/>
      <c r="B1239" s="11"/>
      <c r="C1239" s="11"/>
      <c r="Q1239" s="36"/>
    </row>
    <row r="1240">
      <c r="A1240" s="11"/>
      <c r="B1240" s="11"/>
      <c r="C1240" s="11"/>
      <c r="Q1240" s="36"/>
    </row>
    <row r="1241">
      <c r="A1241" s="11"/>
      <c r="B1241" s="11"/>
      <c r="C1241" s="11"/>
      <c r="Q1241" s="36"/>
    </row>
    <row r="1242">
      <c r="A1242" s="11"/>
      <c r="B1242" s="11"/>
      <c r="C1242" s="11"/>
      <c r="Q1242" s="36"/>
    </row>
    <row r="1243">
      <c r="A1243" s="11"/>
      <c r="B1243" s="11"/>
      <c r="C1243" s="11"/>
      <c r="Q1243" s="36"/>
    </row>
    <row r="1244">
      <c r="A1244" s="11"/>
      <c r="B1244" s="11"/>
      <c r="C1244" s="11"/>
      <c r="Q1244" s="36"/>
    </row>
    <row r="1245">
      <c r="A1245" s="11"/>
      <c r="B1245" s="11"/>
      <c r="C1245" s="11"/>
      <c r="Q1245" s="36"/>
    </row>
    <row r="1246">
      <c r="A1246" s="11"/>
      <c r="B1246" s="11"/>
      <c r="C1246" s="11"/>
      <c r="Q1246" s="36"/>
    </row>
    <row r="1247">
      <c r="A1247" s="11"/>
      <c r="B1247" s="11"/>
      <c r="C1247" s="11"/>
      <c r="Q1247" s="36"/>
    </row>
    <row r="1248">
      <c r="A1248" s="11"/>
      <c r="B1248" s="11"/>
      <c r="C1248" s="11"/>
      <c r="Q1248" s="36"/>
    </row>
    <row r="1249">
      <c r="A1249" s="11"/>
      <c r="B1249" s="11"/>
      <c r="C1249" s="11"/>
      <c r="Q1249" s="36"/>
    </row>
    <row r="1250">
      <c r="A1250" s="11"/>
      <c r="B1250" s="11"/>
      <c r="C1250" s="11"/>
      <c r="Q1250" s="36"/>
    </row>
    <row r="1251">
      <c r="A1251" s="11"/>
      <c r="B1251" s="11"/>
      <c r="C1251" s="11"/>
      <c r="Q1251" s="36"/>
    </row>
    <row r="1252">
      <c r="A1252" s="11"/>
      <c r="B1252" s="11"/>
      <c r="C1252" s="11"/>
      <c r="Q1252" s="36"/>
    </row>
    <row r="1253">
      <c r="A1253" s="11"/>
      <c r="B1253" s="11"/>
      <c r="C1253" s="11"/>
      <c r="Q1253" s="36"/>
    </row>
    <row r="1254">
      <c r="A1254" s="11"/>
      <c r="B1254" s="11"/>
      <c r="C1254" s="11"/>
      <c r="Q1254" s="36"/>
    </row>
    <row r="1255">
      <c r="A1255" s="11"/>
      <c r="B1255" s="11"/>
      <c r="C1255" s="11"/>
      <c r="Q1255" s="36"/>
    </row>
    <row r="1256">
      <c r="A1256" s="11"/>
      <c r="B1256" s="11"/>
      <c r="C1256" s="11"/>
      <c r="Q1256" s="36"/>
    </row>
    <row r="1257">
      <c r="A1257" s="11"/>
      <c r="B1257" s="11"/>
      <c r="C1257" s="11"/>
      <c r="Q1257" s="36"/>
    </row>
    <row r="1258">
      <c r="A1258" s="11"/>
      <c r="B1258" s="11"/>
      <c r="C1258" s="11"/>
      <c r="Q1258" s="36"/>
    </row>
    <row r="1259">
      <c r="A1259" s="11"/>
      <c r="B1259" s="11"/>
      <c r="C1259" s="11"/>
      <c r="Q1259" s="36"/>
    </row>
    <row r="1260">
      <c r="A1260" s="11"/>
      <c r="B1260" s="11"/>
      <c r="C1260" s="11"/>
      <c r="Q1260" s="36"/>
    </row>
    <row r="1261">
      <c r="A1261" s="11"/>
      <c r="B1261" s="11"/>
      <c r="C1261" s="11"/>
      <c r="Q1261" s="36"/>
    </row>
    <row r="1262">
      <c r="A1262" s="11"/>
      <c r="B1262" s="11"/>
      <c r="C1262" s="11"/>
      <c r="Q1262" s="36"/>
    </row>
    <row r="1263">
      <c r="A1263" s="11"/>
      <c r="B1263" s="11"/>
      <c r="C1263" s="11"/>
      <c r="Q1263" s="36"/>
    </row>
    <row r="1264">
      <c r="A1264" s="11"/>
      <c r="B1264" s="11"/>
      <c r="C1264" s="11"/>
      <c r="Q1264" s="36"/>
    </row>
    <row r="1265">
      <c r="A1265" s="11"/>
      <c r="B1265" s="11"/>
      <c r="C1265" s="11"/>
      <c r="Q1265" s="36"/>
    </row>
    <row r="1266">
      <c r="A1266" s="11"/>
      <c r="B1266" s="11"/>
      <c r="C1266" s="11"/>
      <c r="Q1266" s="36"/>
    </row>
    <row r="1267">
      <c r="A1267" s="11"/>
      <c r="B1267" s="11"/>
      <c r="C1267" s="11"/>
      <c r="Q1267" s="36"/>
    </row>
    <row r="1268">
      <c r="A1268" s="11"/>
      <c r="B1268" s="11"/>
      <c r="C1268" s="11"/>
      <c r="Q1268" s="36"/>
    </row>
    <row r="1269">
      <c r="A1269" s="11"/>
      <c r="B1269" s="11"/>
      <c r="C1269" s="11"/>
      <c r="Q1269" s="36"/>
    </row>
    <row r="1270">
      <c r="A1270" s="11"/>
      <c r="B1270" s="11"/>
      <c r="C1270" s="11"/>
      <c r="Q1270" s="36"/>
    </row>
    <row r="1271">
      <c r="A1271" s="11"/>
      <c r="B1271" s="11"/>
      <c r="C1271" s="11"/>
      <c r="Q1271" s="36"/>
    </row>
    <row r="1272">
      <c r="A1272" s="11"/>
      <c r="B1272" s="11"/>
      <c r="C1272" s="11"/>
      <c r="Q1272" s="36"/>
    </row>
    <row r="1273">
      <c r="A1273" s="11"/>
      <c r="B1273" s="11"/>
      <c r="C1273" s="11"/>
      <c r="Q1273" s="36"/>
    </row>
    <row r="1274">
      <c r="A1274" s="11"/>
      <c r="B1274" s="11"/>
      <c r="C1274" s="11"/>
      <c r="Q1274" s="36"/>
    </row>
    <row r="1275">
      <c r="A1275" s="11"/>
      <c r="B1275" s="11"/>
      <c r="C1275" s="11"/>
      <c r="Q1275" s="36"/>
    </row>
    <row r="1276">
      <c r="A1276" s="11"/>
      <c r="B1276" s="11"/>
      <c r="C1276" s="11"/>
      <c r="Q1276" s="36"/>
    </row>
    <row r="1277">
      <c r="A1277" s="11"/>
      <c r="B1277" s="11"/>
      <c r="C1277" s="11"/>
      <c r="Q1277" s="36"/>
    </row>
    <row r="1278">
      <c r="A1278" s="11"/>
      <c r="B1278" s="11"/>
      <c r="C1278" s="11"/>
      <c r="Q1278" s="36"/>
    </row>
    <row r="1279">
      <c r="A1279" s="11"/>
      <c r="B1279" s="11"/>
      <c r="C1279" s="11"/>
      <c r="Q1279" s="36"/>
    </row>
    <row r="1280">
      <c r="A1280" s="11"/>
      <c r="B1280" s="11"/>
      <c r="C1280" s="11"/>
      <c r="Q1280" s="36"/>
    </row>
    <row r="1281">
      <c r="A1281" s="11"/>
      <c r="B1281" s="11"/>
      <c r="C1281" s="11"/>
      <c r="Q1281" s="36"/>
    </row>
    <row r="1282">
      <c r="A1282" s="11"/>
      <c r="B1282" s="11"/>
      <c r="C1282" s="11"/>
      <c r="Q1282" s="36"/>
    </row>
    <row r="1283">
      <c r="A1283" s="11"/>
      <c r="B1283" s="11"/>
      <c r="C1283" s="11"/>
      <c r="Q1283" s="36"/>
    </row>
    <row r="1284">
      <c r="A1284" s="11"/>
      <c r="B1284" s="11"/>
      <c r="C1284" s="11"/>
      <c r="Q1284" s="36"/>
    </row>
    <row r="1285">
      <c r="A1285" s="11"/>
      <c r="B1285" s="11"/>
      <c r="C1285" s="11"/>
      <c r="Q1285" s="36"/>
    </row>
    <row r="1286">
      <c r="A1286" s="11"/>
      <c r="B1286" s="11"/>
      <c r="C1286" s="11"/>
      <c r="Q1286" s="36"/>
    </row>
    <row r="1287">
      <c r="A1287" s="11"/>
      <c r="B1287" s="11"/>
      <c r="C1287" s="11"/>
      <c r="Q1287" s="36"/>
    </row>
    <row r="1288">
      <c r="A1288" s="11"/>
      <c r="B1288" s="11"/>
      <c r="C1288" s="11"/>
      <c r="Q1288" s="36"/>
    </row>
    <row r="1289">
      <c r="A1289" s="11"/>
      <c r="B1289" s="11"/>
      <c r="C1289" s="11"/>
      <c r="Q1289" s="36"/>
    </row>
    <row r="1290">
      <c r="A1290" s="11"/>
      <c r="B1290" s="11"/>
      <c r="C1290" s="11"/>
      <c r="Q1290" s="36"/>
    </row>
    <row r="1291">
      <c r="A1291" s="11"/>
      <c r="B1291" s="11"/>
      <c r="C1291" s="11"/>
      <c r="Q1291" s="36"/>
    </row>
    <row r="1292">
      <c r="A1292" s="11"/>
      <c r="B1292" s="11"/>
      <c r="C1292" s="11"/>
      <c r="Q1292" s="36"/>
    </row>
    <row r="1293">
      <c r="A1293" s="11"/>
      <c r="B1293" s="11"/>
      <c r="C1293" s="11"/>
      <c r="Q1293" s="36"/>
    </row>
    <row r="1294">
      <c r="A1294" s="11"/>
      <c r="B1294" s="11"/>
      <c r="C1294" s="11"/>
      <c r="Q1294" s="36"/>
    </row>
    <row r="1295">
      <c r="A1295" s="11"/>
      <c r="B1295" s="11"/>
      <c r="C1295" s="11"/>
      <c r="Q1295" s="36"/>
    </row>
    <row r="1296">
      <c r="A1296" s="11"/>
      <c r="B1296" s="11"/>
      <c r="C1296" s="11"/>
      <c r="Q1296" s="36"/>
    </row>
    <row r="1297">
      <c r="A1297" s="11"/>
      <c r="B1297" s="11"/>
      <c r="C1297" s="11"/>
      <c r="Q1297" s="36"/>
    </row>
    <row r="1298">
      <c r="A1298" s="11"/>
      <c r="B1298" s="11"/>
      <c r="C1298" s="11"/>
      <c r="Q1298" s="36"/>
    </row>
    <row r="1299">
      <c r="A1299" s="11"/>
      <c r="B1299" s="11"/>
      <c r="C1299" s="11"/>
      <c r="Q1299" s="36"/>
    </row>
    <row r="1300">
      <c r="A1300" s="11"/>
      <c r="B1300" s="11"/>
      <c r="C1300" s="11"/>
      <c r="Q1300" s="36"/>
    </row>
    <row r="1301">
      <c r="A1301" s="11"/>
      <c r="B1301" s="11"/>
      <c r="C1301" s="11"/>
      <c r="Q1301" s="36"/>
    </row>
    <row r="1302">
      <c r="A1302" s="11"/>
      <c r="B1302" s="11"/>
      <c r="C1302" s="11"/>
      <c r="Q1302" s="36"/>
    </row>
    <row r="1303">
      <c r="A1303" s="11"/>
      <c r="B1303" s="11"/>
      <c r="C1303" s="11"/>
      <c r="Q1303" s="36"/>
    </row>
    <row r="1304">
      <c r="A1304" s="11"/>
      <c r="B1304" s="11"/>
      <c r="C1304" s="11"/>
      <c r="Q1304" s="36"/>
    </row>
    <row r="1305">
      <c r="A1305" s="11"/>
      <c r="B1305" s="11"/>
      <c r="C1305" s="11"/>
      <c r="Q1305" s="36"/>
    </row>
    <row r="1306">
      <c r="A1306" s="11"/>
      <c r="B1306" s="11"/>
      <c r="C1306" s="11"/>
      <c r="Q1306" s="36"/>
    </row>
    <row r="1307">
      <c r="A1307" s="11"/>
      <c r="B1307" s="11"/>
      <c r="C1307" s="11"/>
      <c r="Q1307" s="36"/>
    </row>
    <row r="1308">
      <c r="A1308" s="11"/>
      <c r="B1308" s="11"/>
      <c r="C1308" s="11"/>
      <c r="Q1308" s="36"/>
    </row>
    <row r="1309">
      <c r="A1309" s="11"/>
      <c r="B1309" s="11"/>
      <c r="C1309" s="11"/>
      <c r="Q1309" s="36"/>
    </row>
    <row r="1310">
      <c r="A1310" s="11"/>
      <c r="B1310" s="11"/>
      <c r="C1310" s="11"/>
      <c r="Q1310" s="36"/>
    </row>
    <row r="1311">
      <c r="A1311" s="11"/>
      <c r="B1311" s="11"/>
      <c r="C1311" s="11"/>
      <c r="Q1311" s="36"/>
    </row>
    <row r="1312">
      <c r="A1312" s="11"/>
      <c r="B1312" s="11"/>
      <c r="C1312" s="11"/>
      <c r="Q1312" s="36"/>
    </row>
    <row r="1313">
      <c r="A1313" s="11"/>
      <c r="B1313" s="11"/>
      <c r="C1313" s="11"/>
      <c r="Q1313" s="36"/>
    </row>
    <row r="1314">
      <c r="A1314" s="11"/>
      <c r="B1314" s="11"/>
      <c r="C1314" s="11"/>
      <c r="Q1314" s="36"/>
    </row>
    <row r="1315">
      <c r="A1315" s="11"/>
      <c r="B1315" s="11"/>
      <c r="C1315" s="11"/>
      <c r="Q1315" s="36"/>
    </row>
    <row r="1316">
      <c r="A1316" s="11"/>
      <c r="B1316" s="11"/>
      <c r="C1316" s="11"/>
      <c r="Q1316" s="36"/>
    </row>
    <row r="1317">
      <c r="A1317" s="11"/>
      <c r="B1317" s="11"/>
      <c r="C1317" s="11"/>
      <c r="Q1317" s="36"/>
    </row>
    <row r="1318">
      <c r="A1318" s="11"/>
      <c r="B1318" s="11"/>
      <c r="C1318" s="11"/>
      <c r="Q1318" s="36"/>
    </row>
    <row r="1319">
      <c r="A1319" s="11"/>
      <c r="B1319" s="11"/>
      <c r="C1319" s="11"/>
      <c r="Q1319" s="36"/>
    </row>
    <row r="1320">
      <c r="A1320" s="11"/>
      <c r="B1320" s="11"/>
      <c r="C1320" s="11"/>
      <c r="Q1320" s="36"/>
    </row>
    <row r="1321">
      <c r="A1321" s="11"/>
      <c r="B1321" s="11"/>
      <c r="C1321" s="11"/>
      <c r="Q1321" s="36"/>
    </row>
    <row r="1322">
      <c r="A1322" s="11"/>
      <c r="B1322" s="11"/>
      <c r="C1322" s="11"/>
      <c r="Q1322" s="36"/>
    </row>
    <row r="1323">
      <c r="A1323" s="11"/>
      <c r="B1323" s="11"/>
      <c r="C1323" s="11"/>
      <c r="Q1323" s="36"/>
    </row>
    <row r="1324">
      <c r="A1324" s="11"/>
      <c r="B1324" s="11"/>
      <c r="C1324" s="11"/>
      <c r="Q1324" s="36"/>
    </row>
    <row r="1325">
      <c r="A1325" s="11"/>
      <c r="B1325" s="11"/>
      <c r="C1325" s="11"/>
      <c r="Q1325" s="36"/>
    </row>
    <row r="1326">
      <c r="A1326" s="11"/>
      <c r="B1326" s="11"/>
      <c r="C1326" s="11"/>
      <c r="Q1326" s="36"/>
    </row>
    <row r="1327">
      <c r="A1327" s="11"/>
      <c r="B1327" s="11"/>
      <c r="C1327" s="11"/>
      <c r="Q1327" s="36"/>
    </row>
    <row r="1328">
      <c r="A1328" s="11"/>
      <c r="B1328" s="11"/>
      <c r="C1328" s="11"/>
      <c r="Q1328" s="36"/>
    </row>
    <row r="1329">
      <c r="A1329" s="11"/>
      <c r="B1329" s="11"/>
      <c r="C1329" s="11"/>
      <c r="Q1329" s="36"/>
    </row>
    <row r="1330">
      <c r="A1330" s="11"/>
      <c r="B1330" s="11"/>
      <c r="C1330" s="11"/>
      <c r="Q1330" s="36"/>
    </row>
    <row r="1331">
      <c r="A1331" s="11"/>
      <c r="B1331" s="11"/>
      <c r="C1331" s="11"/>
      <c r="Q1331" s="36"/>
    </row>
    <row r="1332">
      <c r="A1332" s="11"/>
      <c r="B1332" s="11"/>
      <c r="C1332" s="11"/>
      <c r="Q1332" s="36"/>
    </row>
    <row r="1333">
      <c r="A1333" s="11"/>
      <c r="B1333" s="11"/>
      <c r="C1333" s="11"/>
      <c r="Q1333" s="36"/>
    </row>
    <row r="1334">
      <c r="A1334" s="11"/>
      <c r="B1334" s="11"/>
      <c r="C1334" s="11"/>
      <c r="Q1334" s="36"/>
    </row>
    <row r="1335">
      <c r="A1335" s="11"/>
      <c r="B1335" s="11"/>
      <c r="C1335" s="11"/>
      <c r="Q1335" s="36"/>
    </row>
    <row r="1336">
      <c r="A1336" s="11"/>
      <c r="B1336" s="11"/>
      <c r="C1336" s="11"/>
      <c r="Q1336" s="36"/>
    </row>
    <row r="1337">
      <c r="A1337" s="11"/>
      <c r="B1337" s="11"/>
      <c r="C1337" s="11"/>
      <c r="Q1337" s="36"/>
    </row>
    <row r="1338">
      <c r="A1338" s="11"/>
      <c r="B1338" s="11"/>
      <c r="C1338" s="11"/>
      <c r="Q1338" s="36"/>
    </row>
    <row r="1339">
      <c r="A1339" s="11"/>
      <c r="B1339" s="11"/>
      <c r="C1339" s="11"/>
      <c r="Q1339" s="36"/>
    </row>
    <row r="1340">
      <c r="A1340" s="11"/>
      <c r="B1340" s="11"/>
      <c r="C1340" s="11"/>
      <c r="Q1340" s="36"/>
    </row>
    <row r="1341">
      <c r="A1341" s="11"/>
      <c r="B1341" s="11"/>
      <c r="C1341" s="11"/>
      <c r="Q1341" s="36"/>
    </row>
    <row r="1342">
      <c r="A1342" s="11"/>
      <c r="B1342" s="11"/>
      <c r="C1342" s="11"/>
      <c r="Q1342" s="36"/>
    </row>
    <row r="1343">
      <c r="A1343" s="11"/>
      <c r="B1343" s="11"/>
      <c r="C1343" s="11"/>
      <c r="Q1343" s="36"/>
    </row>
    <row r="1344">
      <c r="A1344" s="11"/>
      <c r="B1344" s="11"/>
      <c r="C1344" s="11"/>
      <c r="Q1344" s="36"/>
    </row>
    <row r="1345">
      <c r="A1345" s="11"/>
      <c r="B1345" s="11"/>
      <c r="C1345" s="11"/>
      <c r="Q1345" s="36"/>
    </row>
    <row r="1346">
      <c r="A1346" s="11"/>
      <c r="B1346" s="11"/>
      <c r="C1346" s="11"/>
      <c r="Q1346" s="36"/>
    </row>
    <row r="1347">
      <c r="A1347" s="11"/>
      <c r="B1347" s="11"/>
      <c r="C1347" s="11"/>
      <c r="Q1347" s="36"/>
    </row>
    <row r="1348">
      <c r="A1348" s="11"/>
      <c r="B1348" s="11"/>
      <c r="C1348" s="11"/>
      <c r="Q1348" s="36"/>
    </row>
    <row r="1349">
      <c r="A1349" s="11"/>
      <c r="B1349" s="11"/>
      <c r="C1349" s="11"/>
      <c r="Q1349" s="36"/>
    </row>
    <row r="1350">
      <c r="A1350" s="11"/>
      <c r="B1350" s="11"/>
      <c r="C1350" s="11"/>
      <c r="Q1350" s="36"/>
    </row>
    <row r="1351">
      <c r="A1351" s="11"/>
      <c r="B1351" s="11"/>
      <c r="C1351" s="11"/>
      <c r="Q1351" s="36"/>
    </row>
    <row r="1352">
      <c r="A1352" s="11"/>
      <c r="B1352" s="11"/>
      <c r="C1352" s="11"/>
      <c r="Q1352" s="36"/>
    </row>
    <row r="1353">
      <c r="A1353" s="11"/>
      <c r="B1353" s="11"/>
      <c r="C1353" s="11"/>
      <c r="Q1353" s="36"/>
    </row>
    <row r="1354">
      <c r="A1354" s="11"/>
      <c r="B1354" s="11"/>
      <c r="C1354" s="11"/>
      <c r="Q1354" s="36"/>
    </row>
    <row r="1355">
      <c r="A1355" s="11"/>
      <c r="B1355" s="11"/>
      <c r="C1355" s="11"/>
      <c r="Q1355" s="36"/>
    </row>
    <row r="1356">
      <c r="A1356" s="11"/>
      <c r="B1356" s="11"/>
      <c r="C1356" s="11"/>
      <c r="Q1356" s="36"/>
    </row>
    <row r="1357">
      <c r="A1357" s="11"/>
      <c r="B1357" s="11"/>
      <c r="C1357" s="11"/>
      <c r="Q1357" s="36"/>
    </row>
    <row r="1358">
      <c r="A1358" s="11"/>
      <c r="B1358" s="11"/>
      <c r="C1358" s="11"/>
      <c r="Q1358" s="36"/>
    </row>
    <row r="1359">
      <c r="A1359" s="11"/>
      <c r="B1359" s="11"/>
      <c r="C1359" s="11"/>
      <c r="Q1359" s="36"/>
    </row>
    <row r="1360">
      <c r="A1360" s="11"/>
      <c r="B1360" s="11"/>
      <c r="C1360" s="11"/>
      <c r="Q1360" s="36"/>
    </row>
    <row r="1361">
      <c r="A1361" s="11"/>
      <c r="B1361" s="11"/>
      <c r="C1361" s="11"/>
      <c r="Q1361" s="36"/>
    </row>
    <row r="1362">
      <c r="A1362" s="11"/>
      <c r="B1362" s="11"/>
      <c r="C1362" s="11"/>
      <c r="Q1362" s="36"/>
    </row>
    <row r="1363">
      <c r="A1363" s="11"/>
      <c r="B1363" s="11"/>
      <c r="C1363" s="11"/>
      <c r="Q1363" s="36"/>
    </row>
    <row r="1364">
      <c r="A1364" s="11"/>
      <c r="B1364" s="11"/>
      <c r="C1364" s="11"/>
      <c r="Q1364" s="36"/>
    </row>
    <row r="1365">
      <c r="A1365" s="11"/>
      <c r="B1365" s="11"/>
      <c r="C1365" s="11"/>
      <c r="Q1365" s="36"/>
    </row>
    <row r="1366">
      <c r="A1366" s="11"/>
      <c r="B1366" s="11"/>
      <c r="C1366" s="11"/>
      <c r="Q1366" s="36"/>
    </row>
    <row r="1367">
      <c r="A1367" s="11"/>
      <c r="B1367" s="11"/>
      <c r="C1367" s="11"/>
      <c r="Q1367" s="36"/>
    </row>
    <row r="1368">
      <c r="A1368" s="11"/>
      <c r="B1368" s="11"/>
      <c r="C1368" s="11"/>
      <c r="Q1368" s="36"/>
    </row>
    <row r="1369">
      <c r="A1369" s="11"/>
      <c r="B1369" s="11"/>
      <c r="C1369" s="11"/>
      <c r="Q1369" s="36"/>
    </row>
    <row r="1370">
      <c r="A1370" s="11"/>
      <c r="B1370" s="11"/>
      <c r="C1370" s="11"/>
      <c r="Q1370" s="36"/>
    </row>
    <row r="1371">
      <c r="A1371" s="11"/>
      <c r="B1371" s="11"/>
      <c r="C1371" s="11"/>
      <c r="Q1371" s="36"/>
    </row>
    <row r="1372">
      <c r="A1372" s="11"/>
      <c r="B1372" s="11"/>
      <c r="C1372" s="11"/>
      <c r="Q1372" s="36"/>
    </row>
    <row r="1373">
      <c r="A1373" s="11"/>
      <c r="B1373" s="11"/>
      <c r="C1373" s="11"/>
      <c r="Q1373" s="36"/>
    </row>
    <row r="1374">
      <c r="A1374" s="11"/>
      <c r="B1374" s="11"/>
      <c r="C1374" s="11"/>
      <c r="Q1374" s="36"/>
    </row>
    <row r="1375">
      <c r="A1375" s="11"/>
      <c r="B1375" s="11"/>
      <c r="C1375" s="11"/>
      <c r="Q1375" s="36"/>
    </row>
    <row r="1376">
      <c r="A1376" s="11"/>
      <c r="B1376" s="11"/>
      <c r="C1376" s="11"/>
      <c r="Q1376" s="36"/>
    </row>
    <row r="1377">
      <c r="A1377" s="11"/>
      <c r="B1377" s="11"/>
      <c r="C1377" s="11"/>
      <c r="Q1377" s="36"/>
    </row>
    <row r="1378">
      <c r="A1378" s="11"/>
      <c r="B1378" s="11"/>
      <c r="C1378" s="11"/>
      <c r="Q1378" s="36"/>
    </row>
    <row r="1379">
      <c r="A1379" s="11"/>
      <c r="B1379" s="11"/>
      <c r="C1379" s="11"/>
      <c r="Q1379" s="36"/>
    </row>
    <row r="1380">
      <c r="A1380" s="11"/>
      <c r="B1380" s="11"/>
      <c r="C1380" s="11"/>
      <c r="Q1380" s="36"/>
    </row>
    <row r="1381">
      <c r="A1381" s="11"/>
      <c r="B1381" s="11"/>
      <c r="C1381" s="11"/>
      <c r="Q1381" s="36"/>
    </row>
    <row r="1382">
      <c r="A1382" s="11"/>
      <c r="B1382" s="11"/>
      <c r="C1382" s="11"/>
      <c r="Q1382" s="36"/>
    </row>
    <row r="1383">
      <c r="A1383" s="11"/>
      <c r="B1383" s="11"/>
      <c r="C1383" s="11"/>
      <c r="Q1383" s="36"/>
    </row>
    <row r="1384">
      <c r="A1384" s="11"/>
      <c r="B1384" s="11"/>
      <c r="C1384" s="11"/>
      <c r="Q1384" s="36"/>
    </row>
    <row r="1385">
      <c r="A1385" s="11"/>
      <c r="B1385" s="11"/>
      <c r="C1385" s="11"/>
      <c r="Q1385" s="36"/>
    </row>
    <row r="1386">
      <c r="A1386" s="11"/>
      <c r="B1386" s="11"/>
      <c r="C1386" s="11"/>
      <c r="Q1386" s="36"/>
    </row>
    <row r="1387">
      <c r="A1387" s="11"/>
      <c r="B1387" s="11"/>
      <c r="C1387" s="11"/>
      <c r="Q1387" s="36"/>
    </row>
    <row r="1388">
      <c r="A1388" s="11"/>
      <c r="B1388" s="11"/>
      <c r="C1388" s="11"/>
      <c r="Q1388" s="36"/>
    </row>
    <row r="1389">
      <c r="A1389" s="11"/>
      <c r="B1389" s="11"/>
      <c r="C1389" s="11"/>
      <c r="Q1389" s="36"/>
    </row>
    <row r="1390">
      <c r="A1390" s="11"/>
      <c r="B1390" s="11"/>
      <c r="C1390" s="11"/>
      <c r="Q1390" s="36"/>
    </row>
    <row r="1391">
      <c r="A1391" s="11"/>
      <c r="B1391" s="11"/>
      <c r="C1391" s="11"/>
      <c r="Q1391" s="36"/>
    </row>
    <row r="1392">
      <c r="A1392" s="11"/>
      <c r="B1392" s="11"/>
      <c r="C1392" s="11"/>
      <c r="Q1392" s="36"/>
    </row>
    <row r="1393">
      <c r="A1393" s="11"/>
      <c r="B1393" s="11"/>
      <c r="C1393" s="11"/>
      <c r="Q1393" s="36"/>
    </row>
    <row r="1394">
      <c r="A1394" s="11"/>
      <c r="B1394" s="11"/>
      <c r="C1394" s="11"/>
      <c r="Q1394" s="36"/>
    </row>
    <row r="1395">
      <c r="A1395" s="11"/>
      <c r="B1395" s="11"/>
      <c r="C1395" s="11"/>
      <c r="Q1395" s="36"/>
    </row>
    <row r="1396">
      <c r="A1396" s="11"/>
      <c r="B1396" s="11"/>
      <c r="C1396" s="11"/>
      <c r="Q1396" s="36"/>
    </row>
    <row r="1397">
      <c r="A1397" s="11"/>
      <c r="B1397" s="11"/>
      <c r="C1397" s="11"/>
      <c r="Q1397" s="36"/>
    </row>
    <row r="1398">
      <c r="A1398" s="11"/>
      <c r="B1398" s="11"/>
      <c r="C1398" s="11"/>
      <c r="Q1398" s="36"/>
    </row>
    <row r="1399">
      <c r="A1399" s="11"/>
      <c r="B1399" s="11"/>
      <c r="C1399" s="11"/>
      <c r="Q1399" s="36"/>
    </row>
    <row r="1400">
      <c r="A1400" s="11"/>
      <c r="B1400" s="11"/>
      <c r="C1400" s="11"/>
      <c r="Q1400" s="36"/>
    </row>
    <row r="1401">
      <c r="A1401" s="11"/>
      <c r="B1401" s="11"/>
      <c r="C1401" s="11"/>
      <c r="Q1401" s="36"/>
    </row>
    <row r="1402">
      <c r="A1402" s="11"/>
      <c r="B1402" s="11"/>
      <c r="C1402" s="11"/>
      <c r="Q1402" s="36"/>
    </row>
    <row r="1403">
      <c r="A1403" s="11"/>
      <c r="B1403" s="11"/>
      <c r="C1403" s="11"/>
      <c r="Q1403" s="36"/>
    </row>
    <row r="1404">
      <c r="A1404" s="11"/>
      <c r="B1404" s="11"/>
      <c r="C1404" s="11"/>
      <c r="Q1404" s="36"/>
    </row>
    <row r="1405">
      <c r="A1405" s="11"/>
      <c r="B1405" s="11"/>
      <c r="C1405" s="11"/>
      <c r="Q1405" s="36"/>
    </row>
    <row r="1406">
      <c r="A1406" s="11"/>
      <c r="B1406" s="11"/>
      <c r="C1406" s="11"/>
      <c r="Q1406" s="36"/>
    </row>
    <row r="1407">
      <c r="A1407" s="11"/>
      <c r="B1407" s="11"/>
      <c r="C1407" s="11"/>
      <c r="Q1407" s="36"/>
    </row>
    <row r="1408">
      <c r="A1408" s="11"/>
      <c r="B1408" s="11"/>
      <c r="C1408" s="11"/>
      <c r="Q1408" s="36"/>
    </row>
    <row r="1409">
      <c r="A1409" s="11"/>
      <c r="B1409" s="11"/>
      <c r="C1409" s="11"/>
      <c r="Q1409" s="36"/>
    </row>
    <row r="1410">
      <c r="A1410" s="11"/>
      <c r="B1410" s="11"/>
      <c r="C1410" s="11"/>
      <c r="Q1410" s="36"/>
    </row>
    <row r="1411">
      <c r="A1411" s="11"/>
      <c r="B1411" s="11"/>
      <c r="C1411" s="11"/>
      <c r="Q1411" s="36"/>
    </row>
    <row r="1412">
      <c r="A1412" s="11"/>
      <c r="B1412" s="11"/>
      <c r="C1412" s="11"/>
      <c r="Q1412" s="36"/>
    </row>
    <row r="1413">
      <c r="A1413" s="11"/>
      <c r="B1413" s="11"/>
      <c r="C1413" s="11"/>
      <c r="Q1413" s="36"/>
    </row>
    <row r="1414">
      <c r="A1414" s="11"/>
      <c r="B1414" s="11"/>
      <c r="C1414" s="11"/>
      <c r="Q1414" s="36"/>
    </row>
    <row r="1415">
      <c r="A1415" s="11"/>
      <c r="B1415" s="11"/>
      <c r="C1415" s="11"/>
      <c r="Q1415" s="36"/>
    </row>
    <row r="1416">
      <c r="A1416" s="11"/>
      <c r="B1416" s="11"/>
      <c r="C1416" s="11"/>
      <c r="Q1416" s="36"/>
    </row>
    <row r="1417">
      <c r="A1417" s="11"/>
      <c r="B1417" s="11"/>
      <c r="C1417" s="11"/>
      <c r="Q1417" s="36"/>
    </row>
    <row r="1418">
      <c r="A1418" s="11"/>
      <c r="B1418" s="11"/>
      <c r="C1418" s="11"/>
      <c r="Q1418" s="36"/>
    </row>
    <row r="1419">
      <c r="A1419" s="11"/>
      <c r="B1419" s="11"/>
      <c r="C1419" s="11"/>
      <c r="Q1419" s="36"/>
    </row>
    <row r="1420">
      <c r="A1420" s="11"/>
      <c r="B1420" s="11"/>
      <c r="C1420" s="11"/>
      <c r="Q1420" s="36"/>
    </row>
    <row r="1421">
      <c r="A1421" s="11"/>
      <c r="B1421" s="11"/>
      <c r="C1421" s="11"/>
      <c r="Q1421" s="36"/>
    </row>
    <row r="1422">
      <c r="A1422" s="11"/>
      <c r="B1422" s="11"/>
      <c r="C1422" s="11"/>
      <c r="Q1422" s="36"/>
    </row>
    <row r="1423">
      <c r="A1423" s="11"/>
      <c r="B1423" s="11"/>
      <c r="C1423" s="11"/>
      <c r="Q1423" s="36"/>
    </row>
    <row r="1424">
      <c r="A1424" s="11"/>
      <c r="B1424" s="11"/>
      <c r="C1424" s="11"/>
      <c r="Q1424" s="36"/>
    </row>
    <row r="1425">
      <c r="A1425" s="11"/>
      <c r="B1425" s="11"/>
      <c r="C1425" s="11"/>
      <c r="Q1425" s="36"/>
    </row>
    <row r="1426">
      <c r="A1426" s="11"/>
      <c r="B1426" s="11"/>
      <c r="C1426" s="11"/>
      <c r="Q1426" s="36"/>
    </row>
    <row r="1427">
      <c r="A1427" s="11"/>
      <c r="B1427" s="11"/>
      <c r="C1427" s="11"/>
      <c r="Q1427" s="36"/>
    </row>
    <row r="1428">
      <c r="A1428" s="11"/>
      <c r="B1428" s="11"/>
      <c r="C1428" s="11"/>
      <c r="Q1428" s="36"/>
    </row>
    <row r="1429">
      <c r="A1429" s="11"/>
      <c r="B1429" s="11"/>
      <c r="C1429" s="11"/>
      <c r="Q1429" s="36"/>
    </row>
    <row r="1430">
      <c r="A1430" s="11"/>
      <c r="B1430" s="11"/>
      <c r="C1430" s="11"/>
      <c r="Q1430" s="36"/>
    </row>
    <row r="1431">
      <c r="A1431" s="11"/>
      <c r="B1431" s="11"/>
      <c r="C1431" s="11"/>
      <c r="Q1431" s="36"/>
    </row>
    <row r="1432">
      <c r="A1432" s="11"/>
      <c r="B1432" s="11"/>
      <c r="C1432" s="11"/>
      <c r="Q1432" s="36"/>
    </row>
    <row r="1433">
      <c r="A1433" s="11"/>
      <c r="B1433" s="11"/>
      <c r="C1433" s="11"/>
      <c r="Q1433" s="36"/>
    </row>
    <row r="1434">
      <c r="A1434" s="11"/>
      <c r="B1434" s="11"/>
      <c r="C1434" s="11"/>
      <c r="Q1434" s="36"/>
    </row>
    <row r="1435">
      <c r="A1435" s="11"/>
      <c r="B1435" s="11"/>
      <c r="C1435" s="11"/>
      <c r="Q1435" s="36"/>
    </row>
    <row r="1436">
      <c r="A1436" s="11"/>
      <c r="B1436" s="11"/>
      <c r="C1436" s="11"/>
      <c r="Q1436" s="36"/>
    </row>
    <row r="1437">
      <c r="A1437" s="11"/>
      <c r="B1437" s="11"/>
      <c r="C1437" s="11"/>
      <c r="Q1437" s="36"/>
    </row>
    <row r="1438">
      <c r="A1438" s="11"/>
      <c r="B1438" s="11"/>
      <c r="C1438" s="11"/>
      <c r="Q1438" s="36"/>
    </row>
    <row r="1439">
      <c r="A1439" s="11"/>
      <c r="B1439" s="11"/>
      <c r="C1439" s="11"/>
      <c r="Q1439" s="36"/>
    </row>
    <row r="1440">
      <c r="A1440" s="11"/>
      <c r="B1440" s="11"/>
      <c r="C1440" s="11"/>
      <c r="Q1440" s="36"/>
    </row>
    <row r="1441">
      <c r="A1441" s="11"/>
      <c r="B1441" s="11"/>
      <c r="C1441" s="11"/>
      <c r="Q1441" s="36"/>
    </row>
    <row r="1442">
      <c r="A1442" s="11"/>
      <c r="B1442" s="11"/>
      <c r="C1442" s="11"/>
      <c r="Q1442" s="36"/>
    </row>
    <row r="1443">
      <c r="A1443" s="11"/>
      <c r="B1443" s="11"/>
      <c r="C1443" s="11"/>
      <c r="Q1443" s="36"/>
    </row>
    <row r="1444">
      <c r="A1444" s="11"/>
      <c r="B1444" s="11"/>
      <c r="C1444" s="11"/>
      <c r="Q1444" s="36"/>
    </row>
    <row r="1445">
      <c r="A1445" s="11"/>
      <c r="B1445" s="11"/>
      <c r="C1445" s="11"/>
      <c r="Q1445" s="36"/>
    </row>
    <row r="1446">
      <c r="A1446" s="11"/>
      <c r="B1446" s="11"/>
      <c r="C1446" s="11"/>
      <c r="Q1446" s="36"/>
    </row>
    <row r="1447">
      <c r="A1447" s="11"/>
      <c r="B1447" s="11"/>
      <c r="C1447" s="11"/>
      <c r="Q1447" s="36"/>
    </row>
    <row r="1448">
      <c r="A1448" s="11"/>
      <c r="B1448" s="11"/>
      <c r="C1448" s="11"/>
      <c r="Q1448" s="36"/>
    </row>
    <row r="1449">
      <c r="A1449" s="11"/>
      <c r="B1449" s="11"/>
      <c r="C1449" s="11"/>
      <c r="Q1449" s="36"/>
    </row>
    <row r="1450">
      <c r="A1450" s="11"/>
      <c r="B1450" s="11"/>
      <c r="C1450" s="11"/>
      <c r="Q1450" s="36"/>
    </row>
    <row r="1451">
      <c r="A1451" s="11"/>
      <c r="B1451" s="11"/>
      <c r="C1451" s="11"/>
      <c r="Q1451" s="36"/>
    </row>
    <row r="1452">
      <c r="A1452" s="11"/>
      <c r="B1452" s="11"/>
      <c r="C1452" s="11"/>
      <c r="Q1452" s="36"/>
    </row>
    <row r="1453">
      <c r="A1453" s="11"/>
      <c r="B1453" s="11"/>
      <c r="C1453" s="11"/>
      <c r="Q1453" s="36"/>
    </row>
    <row r="1454">
      <c r="A1454" s="11"/>
      <c r="B1454" s="11"/>
      <c r="C1454" s="11"/>
      <c r="Q1454" s="36"/>
    </row>
    <row r="1455">
      <c r="A1455" s="11"/>
      <c r="B1455" s="11"/>
      <c r="C1455" s="11"/>
      <c r="Q1455" s="36"/>
    </row>
    <row r="1456">
      <c r="A1456" s="11"/>
      <c r="B1456" s="11"/>
      <c r="C1456" s="11"/>
      <c r="Q1456" s="36"/>
    </row>
    <row r="1457">
      <c r="A1457" s="11"/>
      <c r="B1457" s="11"/>
      <c r="C1457" s="11"/>
      <c r="Q1457" s="36"/>
    </row>
    <row r="1458">
      <c r="A1458" s="11"/>
      <c r="B1458" s="11"/>
      <c r="C1458" s="11"/>
      <c r="Q1458" s="36"/>
    </row>
    <row r="1459">
      <c r="A1459" s="11"/>
      <c r="B1459" s="11"/>
      <c r="C1459" s="11"/>
      <c r="Q1459" s="36"/>
    </row>
    <row r="1460">
      <c r="A1460" s="11"/>
      <c r="B1460" s="11"/>
      <c r="C1460" s="11"/>
      <c r="Q1460" s="36"/>
    </row>
    <row r="1461">
      <c r="A1461" s="11"/>
      <c r="B1461" s="11"/>
      <c r="C1461" s="11"/>
      <c r="Q1461" s="36"/>
    </row>
    <row r="1462">
      <c r="A1462" s="11"/>
      <c r="B1462" s="11"/>
      <c r="C1462" s="11"/>
      <c r="Q1462" s="36"/>
    </row>
    <row r="1463">
      <c r="A1463" s="11"/>
      <c r="B1463" s="11"/>
      <c r="C1463" s="11"/>
      <c r="Q1463" s="36"/>
    </row>
    <row r="1464">
      <c r="A1464" s="11"/>
      <c r="B1464" s="11"/>
      <c r="C1464" s="11"/>
      <c r="Q1464" s="36"/>
    </row>
    <row r="1465">
      <c r="A1465" s="11"/>
      <c r="B1465" s="11"/>
      <c r="C1465" s="11"/>
      <c r="Q1465" s="36"/>
    </row>
    <row r="1466">
      <c r="A1466" s="11"/>
      <c r="B1466" s="11"/>
      <c r="C1466" s="11"/>
      <c r="Q1466" s="36"/>
    </row>
    <row r="1467">
      <c r="A1467" s="11"/>
      <c r="B1467" s="11"/>
      <c r="C1467" s="11"/>
      <c r="Q1467" s="36"/>
    </row>
    <row r="1468">
      <c r="A1468" s="11"/>
      <c r="B1468" s="11"/>
      <c r="C1468" s="11"/>
      <c r="Q1468" s="36"/>
    </row>
    <row r="1469">
      <c r="A1469" s="11"/>
      <c r="B1469" s="11"/>
      <c r="C1469" s="11"/>
      <c r="Q1469" s="36"/>
    </row>
    <row r="1470">
      <c r="A1470" s="11"/>
      <c r="B1470" s="11"/>
      <c r="C1470" s="11"/>
      <c r="Q1470" s="36"/>
    </row>
    <row r="1471">
      <c r="A1471" s="11"/>
      <c r="B1471" s="11"/>
      <c r="C1471" s="11"/>
      <c r="Q1471" s="36"/>
    </row>
    <row r="1472">
      <c r="A1472" s="11"/>
      <c r="B1472" s="11"/>
      <c r="C1472" s="11"/>
      <c r="Q1472" s="36"/>
    </row>
    <row r="1473">
      <c r="A1473" s="11"/>
      <c r="B1473" s="11"/>
      <c r="C1473" s="11"/>
      <c r="Q1473" s="36"/>
    </row>
    <row r="1474">
      <c r="A1474" s="11"/>
      <c r="B1474" s="11"/>
      <c r="C1474" s="11"/>
      <c r="Q1474" s="36"/>
    </row>
    <row r="1475">
      <c r="A1475" s="11"/>
      <c r="B1475" s="11"/>
      <c r="C1475" s="11"/>
      <c r="Q1475" s="36"/>
    </row>
    <row r="1476">
      <c r="A1476" s="11"/>
      <c r="B1476" s="11"/>
      <c r="C1476" s="11"/>
      <c r="Q1476" s="36"/>
    </row>
    <row r="1477">
      <c r="A1477" s="11"/>
      <c r="B1477" s="11"/>
      <c r="C1477" s="11"/>
      <c r="Q1477" s="36"/>
    </row>
    <row r="1478">
      <c r="A1478" s="11"/>
      <c r="B1478" s="11"/>
      <c r="C1478" s="11"/>
      <c r="Q1478" s="36"/>
    </row>
    <row r="1479">
      <c r="A1479" s="11"/>
      <c r="B1479" s="11"/>
      <c r="C1479" s="11"/>
      <c r="Q1479" s="36"/>
    </row>
    <row r="1480">
      <c r="A1480" s="11"/>
      <c r="B1480" s="11"/>
      <c r="C1480" s="11"/>
      <c r="Q1480" s="36"/>
    </row>
    <row r="1481">
      <c r="A1481" s="11"/>
      <c r="B1481" s="11"/>
      <c r="C1481" s="11"/>
      <c r="Q1481" s="36"/>
    </row>
    <row r="1482">
      <c r="A1482" s="11"/>
      <c r="B1482" s="11"/>
      <c r="C1482" s="11"/>
      <c r="Q1482" s="36"/>
    </row>
    <row r="1483">
      <c r="A1483" s="11"/>
      <c r="B1483" s="11"/>
      <c r="C1483" s="11"/>
      <c r="Q1483" s="36"/>
    </row>
    <row r="1484">
      <c r="A1484" s="11"/>
      <c r="B1484" s="11"/>
      <c r="C1484" s="11"/>
      <c r="Q1484" s="36"/>
    </row>
    <row r="1485">
      <c r="A1485" s="11"/>
      <c r="B1485" s="11"/>
      <c r="C1485" s="11"/>
      <c r="Q1485" s="36"/>
    </row>
    <row r="1486">
      <c r="A1486" s="11"/>
      <c r="B1486" s="11"/>
      <c r="C1486" s="11"/>
      <c r="Q1486" s="36"/>
    </row>
    <row r="1487">
      <c r="A1487" s="11"/>
      <c r="B1487" s="11"/>
      <c r="C1487" s="11"/>
      <c r="Q1487" s="36"/>
    </row>
    <row r="1488">
      <c r="A1488" s="11"/>
      <c r="B1488" s="11"/>
      <c r="C1488" s="11"/>
      <c r="Q1488" s="36"/>
    </row>
    <row r="1489">
      <c r="A1489" s="11"/>
      <c r="B1489" s="11"/>
      <c r="C1489" s="11"/>
      <c r="Q1489" s="36"/>
    </row>
    <row r="1490">
      <c r="A1490" s="11"/>
      <c r="B1490" s="11"/>
      <c r="C1490" s="11"/>
      <c r="Q1490" s="36"/>
    </row>
    <row r="1491">
      <c r="A1491" s="11"/>
      <c r="B1491" s="11"/>
      <c r="C1491" s="11"/>
      <c r="Q1491" s="36"/>
    </row>
    <row r="1492">
      <c r="A1492" s="11"/>
      <c r="B1492" s="11"/>
      <c r="C1492" s="11"/>
      <c r="Q1492" s="36"/>
    </row>
    <row r="1493">
      <c r="A1493" s="11"/>
      <c r="B1493" s="11"/>
      <c r="C1493" s="11"/>
      <c r="Q1493" s="36"/>
    </row>
    <row r="1494">
      <c r="A1494" s="11"/>
      <c r="B1494" s="11"/>
      <c r="C1494" s="11"/>
      <c r="Q1494" s="36"/>
    </row>
    <row r="1495">
      <c r="A1495" s="11"/>
      <c r="B1495" s="11"/>
      <c r="C1495" s="11"/>
      <c r="Q1495" s="36"/>
    </row>
    <row r="1496">
      <c r="A1496" s="11"/>
      <c r="B1496" s="11"/>
      <c r="C1496" s="11"/>
      <c r="Q1496" s="36"/>
    </row>
    <row r="1497">
      <c r="A1497" s="11"/>
      <c r="B1497" s="11"/>
      <c r="C1497" s="11"/>
      <c r="Q1497" s="36"/>
    </row>
    <row r="1498">
      <c r="A1498" s="11"/>
      <c r="B1498" s="11"/>
      <c r="C1498" s="11"/>
      <c r="Q1498" s="36"/>
    </row>
    <row r="1499">
      <c r="A1499" s="11"/>
      <c r="B1499" s="11"/>
      <c r="C1499" s="11"/>
      <c r="Q1499" s="36"/>
    </row>
    <row r="1500">
      <c r="A1500" s="11"/>
      <c r="B1500" s="11"/>
      <c r="C1500" s="11"/>
      <c r="Q1500" s="36"/>
    </row>
    <row r="1501">
      <c r="A1501" s="11"/>
      <c r="B1501" s="11"/>
      <c r="C1501" s="11"/>
      <c r="Q1501" s="36"/>
    </row>
    <row r="1502">
      <c r="A1502" s="11"/>
      <c r="B1502" s="11"/>
      <c r="C1502" s="11"/>
      <c r="Q1502" s="36"/>
    </row>
    <row r="1503">
      <c r="A1503" s="11"/>
      <c r="B1503" s="11"/>
      <c r="C1503" s="11"/>
      <c r="Q1503" s="36"/>
    </row>
    <row r="1504">
      <c r="A1504" s="11"/>
      <c r="B1504" s="11"/>
      <c r="C1504" s="11"/>
      <c r="Q1504" s="36"/>
    </row>
    <row r="1505">
      <c r="A1505" s="11"/>
      <c r="B1505" s="11"/>
      <c r="C1505" s="11"/>
      <c r="Q1505" s="36"/>
    </row>
    <row r="1506">
      <c r="A1506" s="11"/>
      <c r="B1506" s="11"/>
      <c r="C1506" s="11"/>
      <c r="Q1506" s="36"/>
    </row>
    <row r="1507">
      <c r="A1507" s="11"/>
      <c r="B1507" s="11"/>
      <c r="C1507" s="11"/>
      <c r="Q1507" s="36"/>
    </row>
    <row r="1508">
      <c r="A1508" s="11"/>
      <c r="B1508" s="11"/>
      <c r="C1508" s="11"/>
      <c r="Q1508" s="36"/>
    </row>
    <row r="1509">
      <c r="A1509" s="11"/>
      <c r="B1509" s="11"/>
      <c r="C1509" s="11"/>
      <c r="Q1509" s="36"/>
    </row>
    <row r="1510">
      <c r="A1510" s="11"/>
      <c r="B1510" s="11"/>
      <c r="C1510" s="11"/>
      <c r="Q1510" s="36"/>
    </row>
    <row r="1511">
      <c r="A1511" s="11"/>
      <c r="B1511" s="11"/>
      <c r="C1511" s="11"/>
      <c r="Q1511" s="36"/>
    </row>
    <row r="1512">
      <c r="A1512" s="11"/>
      <c r="B1512" s="11"/>
      <c r="C1512" s="11"/>
      <c r="Q1512" s="36"/>
    </row>
    <row r="1513">
      <c r="A1513" s="11"/>
      <c r="B1513" s="11"/>
      <c r="C1513" s="11"/>
      <c r="Q1513" s="36"/>
    </row>
    <row r="1514">
      <c r="A1514" s="11"/>
      <c r="B1514" s="11"/>
      <c r="C1514" s="11"/>
      <c r="Q1514" s="36"/>
    </row>
    <row r="1515">
      <c r="A1515" s="11"/>
      <c r="B1515" s="11"/>
      <c r="C1515" s="11"/>
      <c r="Q1515" s="36"/>
    </row>
    <row r="1516">
      <c r="A1516" s="11"/>
      <c r="B1516" s="11"/>
      <c r="C1516" s="11"/>
      <c r="Q1516" s="36"/>
    </row>
    <row r="1517">
      <c r="A1517" s="11"/>
      <c r="B1517" s="11"/>
      <c r="C1517" s="11"/>
      <c r="Q1517" s="36"/>
    </row>
    <row r="1518">
      <c r="A1518" s="11"/>
      <c r="B1518" s="11"/>
      <c r="C1518" s="11"/>
      <c r="Q1518" s="36"/>
    </row>
    <row r="1519">
      <c r="A1519" s="11"/>
      <c r="B1519" s="11"/>
      <c r="C1519" s="11"/>
      <c r="Q1519" s="36"/>
    </row>
    <row r="1520">
      <c r="A1520" s="11"/>
      <c r="B1520" s="11"/>
      <c r="C1520" s="11"/>
      <c r="Q1520" s="36"/>
    </row>
    <row r="1521">
      <c r="A1521" s="11"/>
      <c r="B1521" s="11"/>
      <c r="C1521" s="11"/>
      <c r="Q1521" s="36"/>
    </row>
    <row r="1522">
      <c r="A1522" s="11"/>
      <c r="B1522" s="11"/>
      <c r="C1522" s="11"/>
      <c r="Q1522" s="36"/>
    </row>
    <row r="1523">
      <c r="A1523" s="11"/>
      <c r="B1523" s="11"/>
      <c r="C1523" s="11"/>
      <c r="Q1523" s="36"/>
    </row>
    <row r="1524">
      <c r="A1524" s="11"/>
      <c r="B1524" s="11"/>
      <c r="C1524" s="11"/>
      <c r="Q1524" s="36"/>
    </row>
    <row r="1525">
      <c r="A1525" s="11"/>
      <c r="B1525" s="11"/>
      <c r="C1525" s="11"/>
      <c r="Q1525" s="36"/>
    </row>
    <row r="1526">
      <c r="A1526" s="11"/>
      <c r="B1526" s="11"/>
      <c r="C1526" s="11"/>
      <c r="Q1526" s="36"/>
    </row>
    <row r="1527">
      <c r="A1527" s="11"/>
      <c r="B1527" s="11"/>
      <c r="C1527" s="11"/>
      <c r="Q1527" s="36"/>
    </row>
    <row r="1528">
      <c r="A1528" s="11"/>
      <c r="B1528" s="11"/>
      <c r="C1528" s="11"/>
      <c r="Q1528" s="36"/>
    </row>
    <row r="1529">
      <c r="A1529" s="11"/>
      <c r="B1529" s="11"/>
      <c r="C1529" s="11"/>
      <c r="Q1529" s="36"/>
    </row>
    <row r="1530">
      <c r="A1530" s="11"/>
      <c r="B1530" s="11"/>
      <c r="C1530" s="11"/>
      <c r="Q1530" s="36"/>
    </row>
    <row r="1531">
      <c r="A1531" s="11"/>
      <c r="B1531" s="11"/>
      <c r="C1531" s="11"/>
      <c r="Q1531" s="36"/>
    </row>
    <row r="1532">
      <c r="A1532" s="11"/>
      <c r="B1532" s="11"/>
      <c r="C1532" s="11"/>
      <c r="Q1532" s="36"/>
    </row>
    <row r="1533">
      <c r="A1533" s="11"/>
      <c r="B1533" s="11"/>
      <c r="C1533" s="11"/>
      <c r="Q1533" s="36"/>
    </row>
    <row r="1534">
      <c r="A1534" s="11"/>
      <c r="B1534" s="11"/>
      <c r="C1534" s="11"/>
      <c r="Q1534" s="36"/>
    </row>
    <row r="1535">
      <c r="A1535" s="11"/>
      <c r="B1535" s="11"/>
      <c r="C1535" s="11"/>
      <c r="Q1535" s="36"/>
    </row>
    <row r="1536">
      <c r="A1536" s="11"/>
      <c r="B1536" s="11"/>
      <c r="C1536" s="11"/>
      <c r="Q1536" s="36"/>
    </row>
    <row r="1537">
      <c r="A1537" s="11"/>
      <c r="B1537" s="11"/>
      <c r="C1537" s="11"/>
      <c r="Q1537" s="36"/>
    </row>
    <row r="1538">
      <c r="A1538" s="11"/>
      <c r="B1538" s="11"/>
      <c r="C1538" s="11"/>
      <c r="Q1538" s="36"/>
    </row>
    <row r="1539">
      <c r="A1539" s="11"/>
      <c r="B1539" s="11"/>
      <c r="C1539" s="11"/>
      <c r="Q1539" s="36"/>
    </row>
    <row r="1540">
      <c r="A1540" s="11"/>
      <c r="B1540" s="11"/>
      <c r="C1540" s="11"/>
      <c r="Q1540" s="36"/>
    </row>
    <row r="1541">
      <c r="A1541" s="11"/>
      <c r="B1541" s="11"/>
      <c r="C1541" s="11"/>
      <c r="Q1541" s="36"/>
    </row>
    <row r="1542">
      <c r="A1542" s="11"/>
      <c r="B1542" s="11"/>
      <c r="C1542" s="11"/>
      <c r="Q1542" s="36"/>
    </row>
    <row r="1543">
      <c r="A1543" s="11"/>
      <c r="B1543" s="11"/>
      <c r="C1543" s="11"/>
      <c r="Q1543" s="36"/>
    </row>
    <row r="1544">
      <c r="A1544" s="11"/>
      <c r="B1544" s="11"/>
      <c r="C1544" s="11"/>
      <c r="Q1544" s="36"/>
    </row>
    <row r="1545">
      <c r="A1545" s="11"/>
      <c r="B1545" s="11"/>
      <c r="C1545" s="11"/>
      <c r="Q1545" s="36"/>
    </row>
    <row r="1546">
      <c r="A1546" s="11"/>
      <c r="B1546" s="11"/>
      <c r="C1546" s="11"/>
      <c r="Q1546" s="36"/>
    </row>
    <row r="1547">
      <c r="A1547" s="11"/>
      <c r="B1547" s="11"/>
      <c r="C1547" s="11"/>
      <c r="Q1547" s="36"/>
    </row>
    <row r="1548">
      <c r="A1548" s="11"/>
      <c r="B1548" s="11"/>
      <c r="C1548" s="11"/>
      <c r="Q1548" s="36"/>
    </row>
    <row r="1549">
      <c r="A1549" s="11"/>
      <c r="B1549" s="11"/>
      <c r="C1549" s="11"/>
      <c r="Q1549" s="36"/>
    </row>
    <row r="1550">
      <c r="A1550" s="11"/>
      <c r="B1550" s="11"/>
      <c r="C1550" s="11"/>
      <c r="Q1550" s="36"/>
    </row>
    <row r="1551">
      <c r="A1551" s="11"/>
      <c r="B1551" s="11"/>
      <c r="C1551" s="11"/>
      <c r="Q1551" s="36"/>
    </row>
    <row r="1552">
      <c r="A1552" s="11"/>
      <c r="B1552" s="11"/>
      <c r="C1552" s="11"/>
      <c r="Q1552" s="36"/>
    </row>
    <row r="1553">
      <c r="A1553" s="11"/>
      <c r="B1553" s="11"/>
      <c r="C1553" s="11"/>
      <c r="Q1553" s="36"/>
    </row>
    <row r="1554">
      <c r="A1554" s="11"/>
      <c r="B1554" s="11"/>
      <c r="C1554" s="11"/>
      <c r="Q1554" s="36"/>
    </row>
    <row r="1555">
      <c r="A1555" s="11"/>
      <c r="B1555" s="11"/>
      <c r="C1555" s="11"/>
      <c r="Q1555" s="36"/>
    </row>
    <row r="1556">
      <c r="A1556" s="11"/>
      <c r="B1556" s="11"/>
      <c r="C1556" s="11"/>
      <c r="Q1556" s="36"/>
    </row>
    <row r="1557">
      <c r="A1557" s="11"/>
      <c r="B1557" s="11"/>
      <c r="C1557" s="11"/>
      <c r="Q1557" s="36"/>
    </row>
    <row r="1558">
      <c r="A1558" s="11"/>
      <c r="B1558" s="11"/>
      <c r="C1558" s="11"/>
      <c r="Q1558" s="36"/>
    </row>
    <row r="1559">
      <c r="A1559" s="11"/>
      <c r="B1559" s="11"/>
      <c r="C1559" s="11"/>
      <c r="Q1559" s="36"/>
    </row>
    <row r="1560">
      <c r="A1560" s="11"/>
      <c r="B1560" s="11"/>
      <c r="C1560" s="11"/>
      <c r="Q1560" s="36"/>
    </row>
    <row r="1561">
      <c r="A1561" s="11"/>
      <c r="B1561" s="11"/>
      <c r="C1561" s="11"/>
      <c r="Q1561" s="36"/>
    </row>
    <row r="1562">
      <c r="A1562" s="11"/>
      <c r="B1562" s="11"/>
      <c r="C1562" s="11"/>
      <c r="Q1562" s="36"/>
    </row>
    <row r="1563">
      <c r="A1563" s="11"/>
      <c r="B1563" s="11"/>
      <c r="C1563" s="11"/>
      <c r="Q1563" s="36"/>
    </row>
    <row r="1564">
      <c r="A1564" s="11"/>
      <c r="B1564" s="11"/>
      <c r="C1564" s="11"/>
      <c r="Q1564" s="36"/>
    </row>
    <row r="1565">
      <c r="A1565" s="11"/>
      <c r="B1565" s="11"/>
      <c r="C1565" s="11"/>
      <c r="Q1565" s="36"/>
    </row>
    <row r="1566">
      <c r="A1566" s="11"/>
      <c r="B1566" s="11"/>
      <c r="C1566" s="11"/>
      <c r="Q1566" s="36"/>
    </row>
    <row r="1567">
      <c r="A1567" s="11"/>
      <c r="B1567" s="11"/>
      <c r="C1567" s="11"/>
      <c r="Q1567" s="36"/>
    </row>
    <row r="1568">
      <c r="A1568" s="11"/>
      <c r="B1568" s="11"/>
      <c r="C1568" s="11"/>
      <c r="Q1568" s="36"/>
    </row>
    <row r="1569">
      <c r="A1569" s="11"/>
      <c r="B1569" s="11"/>
      <c r="C1569" s="11"/>
      <c r="Q1569" s="36"/>
    </row>
    <row r="1570">
      <c r="A1570" s="11"/>
      <c r="B1570" s="11"/>
      <c r="C1570" s="11"/>
      <c r="Q1570" s="36"/>
    </row>
    <row r="1571">
      <c r="A1571" s="11"/>
      <c r="B1571" s="11"/>
      <c r="C1571" s="11"/>
      <c r="Q1571" s="36"/>
    </row>
    <row r="1572">
      <c r="A1572" s="11"/>
      <c r="B1572" s="11"/>
      <c r="C1572" s="11"/>
      <c r="Q1572" s="36"/>
    </row>
    <row r="1573">
      <c r="A1573" s="11"/>
      <c r="B1573" s="11"/>
      <c r="C1573" s="11"/>
      <c r="Q1573" s="36"/>
    </row>
    <row r="1574">
      <c r="A1574" s="11"/>
      <c r="B1574" s="11"/>
      <c r="C1574" s="11"/>
      <c r="Q1574" s="36"/>
    </row>
    <row r="1575">
      <c r="A1575" s="11"/>
      <c r="B1575" s="11"/>
      <c r="C1575" s="11"/>
      <c r="Q1575" s="36"/>
    </row>
    <row r="1576">
      <c r="A1576" s="11"/>
      <c r="B1576" s="11"/>
      <c r="C1576" s="11"/>
      <c r="Q1576" s="36"/>
    </row>
    <row r="1577">
      <c r="A1577" s="11"/>
      <c r="B1577" s="11"/>
      <c r="C1577" s="11"/>
      <c r="Q1577" s="36"/>
    </row>
    <row r="1578">
      <c r="A1578" s="11"/>
      <c r="B1578" s="11"/>
      <c r="C1578" s="11"/>
      <c r="Q1578" s="36"/>
    </row>
    <row r="1579">
      <c r="A1579" s="11"/>
      <c r="B1579" s="11"/>
      <c r="C1579" s="11"/>
      <c r="Q1579" s="36"/>
    </row>
    <row r="1580">
      <c r="A1580" s="11"/>
      <c r="B1580" s="11"/>
      <c r="C1580" s="11"/>
      <c r="Q1580" s="36"/>
    </row>
    <row r="1581">
      <c r="A1581" s="11"/>
      <c r="B1581" s="11"/>
      <c r="C1581" s="11"/>
      <c r="Q1581" s="36"/>
    </row>
    <row r="1582">
      <c r="A1582" s="11"/>
      <c r="B1582" s="11"/>
      <c r="C1582" s="11"/>
      <c r="Q1582" s="36"/>
    </row>
    <row r="1583">
      <c r="A1583" s="11"/>
      <c r="B1583" s="11"/>
      <c r="C1583" s="11"/>
      <c r="Q1583" s="36"/>
    </row>
    <row r="1584">
      <c r="A1584" s="11"/>
      <c r="B1584" s="11"/>
      <c r="C1584" s="11"/>
      <c r="Q1584" s="36"/>
    </row>
    <row r="1585">
      <c r="A1585" s="11"/>
      <c r="B1585" s="11"/>
      <c r="C1585" s="11"/>
      <c r="Q1585" s="36"/>
    </row>
    <row r="1586">
      <c r="A1586" s="11"/>
      <c r="B1586" s="11"/>
      <c r="C1586" s="11"/>
      <c r="Q1586" s="36"/>
    </row>
    <row r="1587">
      <c r="A1587" s="11"/>
      <c r="B1587" s="11"/>
      <c r="C1587" s="11"/>
      <c r="Q1587" s="36"/>
    </row>
    <row r="1588">
      <c r="A1588" s="11"/>
      <c r="B1588" s="11"/>
      <c r="C1588" s="11"/>
      <c r="Q1588" s="36"/>
    </row>
    <row r="1589">
      <c r="A1589" s="11"/>
      <c r="B1589" s="11"/>
      <c r="C1589" s="11"/>
      <c r="Q1589" s="36"/>
    </row>
    <row r="1590">
      <c r="A1590" s="11"/>
      <c r="B1590" s="11"/>
      <c r="C1590" s="11"/>
      <c r="Q1590" s="36"/>
    </row>
    <row r="1591">
      <c r="A1591" s="11"/>
      <c r="B1591" s="11"/>
      <c r="C1591" s="11"/>
      <c r="Q1591" s="36"/>
    </row>
    <row r="1592">
      <c r="A1592" s="11"/>
      <c r="B1592" s="11"/>
      <c r="C1592" s="11"/>
      <c r="Q1592" s="36"/>
    </row>
    <row r="1593">
      <c r="A1593" s="11"/>
      <c r="B1593" s="11"/>
      <c r="C1593" s="11"/>
      <c r="Q1593" s="36"/>
    </row>
    <row r="1594">
      <c r="A1594" s="11"/>
      <c r="B1594" s="11"/>
      <c r="C1594" s="11"/>
      <c r="Q1594" s="36"/>
    </row>
    <row r="1595">
      <c r="A1595" s="11"/>
      <c r="B1595" s="11"/>
      <c r="C1595" s="11"/>
      <c r="Q1595" s="36"/>
    </row>
    <row r="1596">
      <c r="A1596" s="11"/>
      <c r="B1596" s="11"/>
      <c r="C1596" s="11"/>
      <c r="Q1596" s="36"/>
    </row>
    <row r="1597">
      <c r="A1597" s="11"/>
      <c r="B1597" s="11"/>
      <c r="C1597" s="11"/>
      <c r="Q1597" s="36"/>
    </row>
    <row r="1598">
      <c r="A1598" s="11"/>
      <c r="B1598" s="11"/>
      <c r="C1598" s="11"/>
      <c r="Q1598" s="36"/>
    </row>
    <row r="1599">
      <c r="A1599" s="11"/>
      <c r="B1599" s="11"/>
      <c r="C1599" s="11"/>
      <c r="Q1599" s="36"/>
    </row>
    <row r="1600">
      <c r="A1600" s="11"/>
      <c r="B1600" s="11"/>
      <c r="C1600" s="11"/>
      <c r="Q1600" s="36"/>
    </row>
    <row r="1601">
      <c r="A1601" s="11"/>
      <c r="B1601" s="11"/>
      <c r="C1601" s="11"/>
      <c r="Q1601" s="36"/>
    </row>
    <row r="1602">
      <c r="A1602" s="11"/>
      <c r="B1602" s="11"/>
      <c r="C1602" s="11"/>
      <c r="Q1602" s="36"/>
    </row>
    <row r="1603">
      <c r="A1603" s="11"/>
      <c r="B1603" s="11"/>
      <c r="C1603" s="11"/>
      <c r="Q1603" s="36"/>
    </row>
    <row r="1604">
      <c r="A1604" s="11"/>
      <c r="B1604" s="11"/>
      <c r="C1604" s="11"/>
      <c r="Q1604" s="36"/>
    </row>
    <row r="1605">
      <c r="A1605" s="11"/>
      <c r="B1605" s="11"/>
      <c r="C1605" s="11"/>
      <c r="Q1605" s="36"/>
    </row>
    <row r="1606">
      <c r="A1606" s="11"/>
      <c r="B1606" s="11"/>
      <c r="C1606" s="11"/>
      <c r="Q1606" s="36"/>
    </row>
    <row r="1607">
      <c r="A1607" s="11"/>
      <c r="B1607" s="11"/>
      <c r="C1607" s="11"/>
      <c r="Q1607" s="36"/>
    </row>
    <row r="1608">
      <c r="A1608" s="11"/>
      <c r="B1608" s="11"/>
      <c r="C1608" s="11"/>
      <c r="Q1608" s="36"/>
    </row>
    <row r="1609">
      <c r="A1609" s="11"/>
      <c r="B1609" s="11"/>
      <c r="C1609" s="11"/>
      <c r="Q1609" s="36"/>
    </row>
    <row r="1610">
      <c r="A1610" s="11"/>
      <c r="B1610" s="11"/>
      <c r="C1610" s="11"/>
      <c r="Q1610" s="36"/>
    </row>
    <row r="1611">
      <c r="A1611" s="11"/>
      <c r="B1611" s="11"/>
      <c r="C1611" s="11"/>
      <c r="Q1611" s="36"/>
    </row>
    <row r="1612">
      <c r="A1612" s="11"/>
      <c r="B1612" s="11"/>
      <c r="C1612" s="11"/>
      <c r="Q1612" s="36"/>
    </row>
    <row r="1613">
      <c r="A1613" s="11"/>
      <c r="B1613" s="11"/>
      <c r="C1613" s="11"/>
      <c r="Q1613" s="36"/>
    </row>
    <row r="1614">
      <c r="A1614" s="11"/>
      <c r="B1614" s="11"/>
      <c r="C1614" s="11"/>
      <c r="Q1614" s="36"/>
    </row>
    <row r="1615">
      <c r="A1615" s="11"/>
      <c r="B1615" s="11"/>
      <c r="C1615" s="11"/>
      <c r="Q1615" s="36"/>
    </row>
    <row r="1616">
      <c r="A1616" s="11"/>
      <c r="B1616" s="11"/>
      <c r="C1616" s="11"/>
      <c r="Q1616" s="36"/>
    </row>
    <row r="1617">
      <c r="A1617" s="11"/>
      <c r="B1617" s="11"/>
      <c r="C1617" s="11"/>
      <c r="Q1617" s="36"/>
    </row>
    <row r="1618">
      <c r="A1618" s="11"/>
      <c r="B1618" s="11"/>
      <c r="C1618" s="11"/>
      <c r="Q1618" s="36"/>
    </row>
    <row r="1619">
      <c r="A1619" s="11"/>
      <c r="B1619" s="11"/>
      <c r="C1619" s="11"/>
      <c r="Q1619" s="36"/>
    </row>
    <row r="1620">
      <c r="A1620" s="11"/>
      <c r="B1620" s="11"/>
      <c r="C1620" s="11"/>
      <c r="Q1620" s="36"/>
    </row>
    <row r="1621">
      <c r="A1621" s="11"/>
      <c r="B1621" s="11"/>
      <c r="C1621" s="11"/>
      <c r="Q1621" s="36"/>
    </row>
    <row r="1622">
      <c r="A1622" s="11"/>
      <c r="B1622" s="11"/>
      <c r="C1622" s="11"/>
      <c r="Q1622" s="36"/>
    </row>
    <row r="1623">
      <c r="A1623" s="11"/>
      <c r="B1623" s="11"/>
      <c r="C1623" s="11"/>
      <c r="Q1623" s="36"/>
    </row>
    <row r="1624">
      <c r="A1624" s="11"/>
      <c r="B1624" s="11"/>
      <c r="C1624" s="11"/>
      <c r="Q1624" s="36"/>
    </row>
    <row r="1625">
      <c r="A1625" s="11"/>
      <c r="B1625" s="11"/>
      <c r="C1625" s="11"/>
      <c r="Q1625" s="36"/>
    </row>
    <row r="1626">
      <c r="A1626" s="11"/>
      <c r="B1626" s="11"/>
      <c r="C1626" s="11"/>
      <c r="Q1626" s="36"/>
    </row>
    <row r="1627">
      <c r="A1627" s="11"/>
      <c r="B1627" s="11"/>
      <c r="C1627" s="11"/>
      <c r="Q1627" s="36"/>
    </row>
    <row r="1628">
      <c r="A1628" s="11"/>
      <c r="B1628" s="11"/>
      <c r="C1628" s="11"/>
      <c r="Q1628" s="36"/>
    </row>
    <row r="1629">
      <c r="A1629" s="11"/>
      <c r="B1629" s="11"/>
      <c r="C1629" s="11"/>
      <c r="Q1629" s="36"/>
    </row>
    <row r="1630">
      <c r="A1630" s="11"/>
      <c r="B1630" s="11"/>
      <c r="C1630" s="11"/>
      <c r="Q1630" s="36"/>
    </row>
    <row r="1631">
      <c r="A1631" s="11"/>
      <c r="B1631" s="11"/>
      <c r="C1631" s="11"/>
      <c r="Q1631" s="36"/>
    </row>
    <row r="1632">
      <c r="A1632" s="11"/>
      <c r="B1632" s="11"/>
      <c r="C1632" s="11"/>
      <c r="Q1632" s="36"/>
    </row>
    <row r="1633">
      <c r="A1633" s="11"/>
      <c r="B1633" s="11"/>
      <c r="C1633" s="11"/>
      <c r="Q1633" s="36"/>
    </row>
    <row r="1634">
      <c r="A1634" s="11"/>
      <c r="B1634" s="11"/>
      <c r="C1634" s="11"/>
      <c r="Q1634" s="36"/>
    </row>
    <row r="1635">
      <c r="A1635" s="11"/>
      <c r="B1635" s="11"/>
      <c r="C1635" s="11"/>
      <c r="Q1635" s="36"/>
    </row>
    <row r="1636">
      <c r="A1636" s="11"/>
      <c r="B1636" s="11"/>
      <c r="C1636" s="11"/>
      <c r="Q1636" s="36"/>
    </row>
    <row r="1637">
      <c r="A1637" s="11"/>
      <c r="B1637" s="11"/>
      <c r="C1637" s="11"/>
      <c r="Q1637" s="36"/>
    </row>
    <row r="1638">
      <c r="A1638" s="11"/>
      <c r="B1638" s="11"/>
      <c r="C1638" s="11"/>
      <c r="Q1638" s="36"/>
    </row>
    <row r="1639">
      <c r="A1639" s="11"/>
      <c r="B1639" s="11"/>
      <c r="C1639" s="11"/>
      <c r="Q1639" s="36"/>
    </row>
    <row r="1640">
      <c r="A1640" s="11"/>
      <c r="B1640" s="11"/>
      <c r="C1640" s="11"/>
      <c r="Q1640" s="36"/>
    </row>
    <row r="1641">
      <c r="A1641" s="11"/>
      <c r="B1641" s="11"/>
      <c r="C1641" s="11"/>
      <c r="Q1641" s="36"/>
    </row>
    <row r="1642">
      <c r="A1642" s="11"/>
      <c r="B1642" s="11"/>
      <c r="C1642" s="11"/>
      <c r="Q1642" s="36"/>
    </row>
    <row r="1643">
      <c r="A1643" s="11"/>
      <c r="B1643" s="11"/>
      <c r="C1643" s="11"/>
      <c r="Q1643" s="36"/>
    </row>
    <row r="1644">
      <c r="A1644" s="11"/>
      <c r="B1644" s="11"/>
      <c r="C1644" s="11"/>
      <c r="Q1644" s="36"/>
    </row>
    <row r="1645">
      <c r="A1645" s="11"/>
      <c r="B1645" s="11"/>
      <c r="C1645" s="11"/>
      <c r="Q1645" s="36"/>
    </row>
    <row r="1646">
      <c r="A1646" s="11"/>
      <c r="B1646" s="11"/>
      <c r="C1646" s="11"/>
      <c r="Q1646" s="36"/>
    </row>
    <row r="1647">
      <c r="A1647" s="11"/>
      <c r="B1647" s="11"/>
      <c r="C1647" s="11"/>
      <c r="Q1647" s="36"/>
    </row>
    <row r="1648">
      <c r="A1648" s="11"/>
      <c r="B1648" s="11"/>
      <c r="C1648" s="11"/>
      <c r="Q1648" s="36"/>
    </row>
    <row r="1649">
      <c r="A1649" s="11"/>
      <c r="B1649" s="11"/>
      <c r="C1649" s="11"/>
      <c r="Q1649" s="36"/>
    </row>
    <row r="1650">
      <c r="A1650" s="11"/>
      <c r="B1650" s="11"/>
      <c r="C1650" s="11"/>
      <c r="Q1650" s="36"/>
    </row>
    <row r="1651">
      <c r="A1651" s="11"/>
      <c r="B1651" s="11"/>
      <c r="C1651" s="11"/>
      <c r="Q1651" s="36"/>
    </row>
    <row r="1652">
      <c r="A1652" s="11"/>
      <c r="B1652" s="11"/>
      <c r="C1652" s="11"/>
      <c r="Q1652" s="36"/>
    </row>
    <row r="1653">
      <c r="A1653" s="11"/>
      <c r="B1653" s="11"/>
      <c r="C1653" s="11"/>
      <c r="Q1653" s="36"/>
    </row>
    <row r="1654">
      <c r="A1654" s="11"/>
      <c r="B1654" s="11"/>
      <c r="C1654" s="11"/>
      <c r="Q1654" s="36"/>
    </row>
    <row r="1655">
      <c r="A1655" s="11"/>
      <c r="B1655" s="11"/>
      <c r="C1655" s="11"/>
      <c r="Q1655" s="36"/>
    </row>
    <row r="1656">
      <c r="A1656" s="11"/>
      <c r="B1656" s="11"/>
      <c r="C1656" s="11"/>
      <c r="Q1656" s="36"/>
    </row>
    <row r="1657">
      <c r="A1657" s="11"/>
      <c r="B1657" s="11"/>
      <c r="C1657" s="11"/>
      <c r="Q1657" s="36"/>
    </row>
    <row r="1658">
      <c r="A1658" s="11"/>
      <c r="B1658" s="11"/>
      <c r="C1658" s="11"/>
      <c r="Q1658" s="36"/>
    </row>
    <row r="1659">
      <c r="A1659" s="11"/>
      <c r="B1659" s="11"/>
      <c r="C1659" s="11"/>
      <c r="Q1659" s="36"/>
    </row>
    <row r="1660">
      <c r="A1660" s="11"/>
      <c r="B1660" s="11"/>
      <c r="C1660" s="11"/>
      <c r="Q1660" s="36"/>
    </row>
    <row r="1661">
      <c r="A1661" s="11"/>
      <c r="B1661" s="11"/>
      <c r="C1661" s="11"/>
      <c r="Q1661" s="36"/>
    </row>
    <row r="1662">
      <c r="A1662" s="11"/>
      <c r="B1662" s="11"/>
      <c r="C1662" s="11"/>
      <c r="Q1662" s="36"/>
    </row>
    <row r="1663">
      <c r="A1663" s="11"/>
      <c r="B1663" s="11"/>
      <c r="C1663" s="11"/>
      <c r="Q1663" s="36"/>
    </row>
    <row r="1664">
      <c r="A1664" s="11"/>
      <c r="B1664" s="11"/>
      <c r="C1664" s="11"/>
      <c r="Q1664" s="36"/>
    </row>
    <row r="1665">
      <c r="A1665" s="11"/>
      <c r="B1665" s="11"/>
      <c r="C1665" s="11"/>
      <c r="Q1665" s="36"/>
    </row>
    <row r="1666">
      <c r="A1666" s="11"/>
      <c r="B1666" s="11"/>
      <c r="C1666" s="11"/>
      <c r="Q1666" s="36"/>
    </row>
    <row r="1667">
      <c r="A1667" s="11"/>
      <c r="B1667" s="11"/>
      <c r="C1667" s="11"/>
      <c r="Q1667" s="36"/>
    </row>
    <row r="1668">
      <c r="A1668" s="11"/>
      <c r="B1668" s="11"/>
      <c r="C1668" s="11"/>
      <c r="Q1668" s="36"/>
    </row>
    <row r="1669">
      <c r="A1669" s="11"/>
      <c r="B1669" s="11"/>
      <c r="C1669" s="11"/>
      <c r="Q1669" s="36"/>
    </row>
    <row r="1670">
      <c r="A1670" s="11"/>
      <c r="B1670" s="11"/>
      <c r="C1670" s="11"/>
      <c r="Q1670" s="36"/>
    </row>
    <row r="1671">
      <c r="A1671" s="11"/>
      <c r="B1671" s="11"/>
      <c r="C1671" s="11"/>
      <c r="Q1671" s="36"/>
    </row>
    <row r="1672">
      <c r="A1672" s="11"/>
      <c r="B1672" s="11"/>
      <c r="C1672" s="11"/>
      <c r="Q1672" s="36"/>
    </row>
    <row r="1673">
      <c r="A1673" s="11"/>
      <c r="B1673" s="11"/>
      <c r="C1673" s="11"/>
      <c r="Q1673" s="36"/>
    </row>
    <row r="1674">
      <c r="A1674" s="11"/>
      <c r="B1674" s="11"/>
      <c r="C1674" s="11"/>
      <c r="Q1674" s="36"/>
    </row>
    <row r="1675">
      <c r="A1675" s="11"/>
      <c r="B1675" s="11"/>
      <c r="C1675" s="11"/>
      <c r="Q1675" s="36"/>
    </row>
    <row r="1676">
      <c r="A1676" s="11"/>
      <c r="B1676" s="11"/>
      <c r="C1676" s="11"/>
      <c r="Q1676" s="36"/>
    </row>
    <row r="1677">
      <c r="A1677" s="11"/>
      <c r="B1677" s="11"/>
      <c r="C1677" s="11"/>
      <c r="Q1677" s="36"/>
    </row>
    <row r="1678">
      <c r="A1678" s="11"/>
      <c r="B1678" s="11"/>
      <c r="C1678" s="11"/>
      <c r="Q1678" s="36"/>
    </row>
    <row r="1679">
      <c r="A1679" s="11"/>
      <c r="B1679" s="11"/>
      <c r="C1679" s="11"/>
      <c r="Q1679" s="36"/>
    </row>
    <row r="1680">
      <c r="A1680" s="11"/>
      <c r="B1680" s="11"/>
      <c r="C1680" s="11"/>
      <c r="Q1680" s="36"/>
    </row>
    <row r="1681">
      <c r="A1681" s="11"/>
      <c r="B1681" s="11"/>
      <c r="C1681" s="11"/>
      <c r="Q1681" s="36"/>
    </row>
    <row r="1682">
      <c r="A1682" s="11"/>
      <c r="B1682" s="11"/>
      <c r="C1682" s="11"/>
      <c r="Q1682" s="36"/>
    </row>
    <row r="1683">
      <c r="A1683" s="11"/>
      <c r="B1683" s="11"/>
      <c r="C1683" s="11"/>
      <c r="Q1683" s="36"/>
    </row>
    <row r="1684">
      <c r="A1684" s="11"/>
      <c r="B1684" s="11"/>
      <c r="C1684" s="11"/>
      <c r="Q1684" s="36"/>
    </row>
    <row r="1685">
      <c r="A1685" s="11"/>
      <c r="B1685" s="11"/>
      <c r="C1685" s="11"/>
      <c r="Q1685" s="36"/>
    </row>
    <row r="1686">
      <c r="A1686" s="11"/>
      <c r="B1686" s="11"/>
      <c r="C1686" s="11"/>
      <c r="Q1686" s="36"/>
    </row>
    <row r="1687">
      <c r="A1687" s="11"/>
      <c r="B1687" s="11"/>
      <c r="C1687" s="11"/>
      <c r="Q1687" s="36"/>
    </row>
    <row r="1688">
      <c r="A1688" s="11"/>
      <c r="B1688" s="11"/>
      <c r="C1688" s="11"/>
      <c r="Q1688" s="36"/>
    </row>
    <row r="1689">
      <c r="A1689" s="11"/>
      <c r="B1689" s="11"/>
      <c r="C1689" s="11"/>
      <c r="Q1689" s="36"/>
    </row>
    <row r="1690">
      <c r="A1690" s="11"/>
      <c r="B1690" s="11"/>
      <c r="C1690" s="11"/>
      <c r="Q1690" s="36"/>
    </row>
    <row r="1691">
      <c r="A1691" s="11"/>
      <c r="B1691" s="11"/>
      <c r="C1691" s="11"/>
      <c r="Q1691" s="36"/>
    </row>
    <row r="1692">
      <c r="A1692" s="11"/>
      <c r="B1692" s="11"/>
      <c r="C1692" s="11"/>
      <c r="Q1692" s="36"/>
    </row>
    <row r="1693">
      <c r="A1693" s="11"/>
      <c r="B1693" s="11"/>
      <c r="C1693" s="11"/>
      <c r="Q1693" s="36"/>
    </row>
    <row r="1694">
      <c r="A1694" s="11"/>
      <c r="B1694" s="11"/>
      <c r="C1694" s="11"/>
      <c r="Q1694" s="36"/>
    </row>
    <row r="1695">
      <c r="A1695" s="11"/>
      <c r="B1695" s="11"/>
      <c r="C1695" s="11"/>
      <c r="Q1695" s="36"/>
    </row>
    <row r="1696">
      <c r="A1696" s="11"/>
      <c r="B1696" s="11"/>
      <c r="C1696" s="11"/>
      <c r="Q1696" s="36"/>
    </row>
    <row r="1697">
      <c r="A1697" s="11"/>
      <c r="B1697" s="11"/>
      <c r="C1697" s="11"/>
      <c r="Q1697" s="36"/>
    </row>
    <row r="1698">
      <c r="A1698" s="11"/>
      <c r="B1698" s="11"/>
      <c r="C1698" s="11"/>
      <c r="Q1698" s="36"/>
    </row>
    <row r="1699">
      <c r="A1699" s="11"/>
      <c r="B1699" s="11"/>
      <c r="C1699" s="11"/>
      <c r="Q1699" s="36"/>
    </row>
    <row r="1700">
      <c r="A1700" s="11"/>
      <c r="B1700" s="11"/>
      <c r="C1700" s="11"/>
      <c r="Q1700" s="36"/>
    </row>
    <row r="1701">
      <c r="A1701" s="11"/>
      <c r="B1701" s="11"/>
      <c r="C1701" s="11"/>
      <c r="Q1701" s="36"/>
    </row>
    <row r="1702">
      <c r="A1702" s="11"/>
      <c r="B1702" s="11"/>
      <c r="C1702" s="11"/>
      <c r="Q1702" s="36"/>
    </row>
    <row r="1703">
      <c r="A1703" s="11"/>
      <c r="B1703" s="11"/>
      <c r="C1703" s="11"/>
      <c r="Q1703" s="36"/>
    </row>
    <row r="1704">
      <c r="A1704" s="11"/>
      <c r="B1704" s="11"/>
      <c r="C1704" s="11"/>
      <c r="Q1704" s="36"/>
    </row>
    <row r="1705">
      <c r="A1705" s="11"/>
      <c r="B1705" s="11"/>
      <c r="C1705" s="11"/>
      <c r="Q1705" s="36"/>
    </row>
    <row r="1706">
      <c r="A1706" s="11"/>
      <c r="B1706" s="11"/>
      <c r="C1706" s="11"/>
      <c r="Q1706" s="36"/>
    </row>
    <row r="1707">
      <c r="A1707" s="11"/>
      <c r="B1707" s="11"/>
      <c r="C1707" s="11"/>
      <c r="Q1707" s="36"/>
    </row>
    <row r="1708">
      <c r="A1708" s="11"/>
      <c r="B1708" s="11"/>
      <c r="C1708" s="11"/>
      <c r="Q1708" s="36"/>
    </row>
    <row r="1709">
      <c r="A1709" s="11"/>
      <c r="B1709" s="11"/>
      <c r="C1709" s="11"/>
      <c r="Q1709" s="36"/>
    </row>
    <row r="1710">
      <c r="A1710" s="11"/>
      <c r="B1710" s="11"/>
      <c r="C1710" s="11"/>
      <c r="Q1710" s="36"/>
    </row>
    <row r="1711">
      <c r="A1711" s="11"/>
      <c r="B1711" s="11"/>
      <c r="C1711" s="11"/>
      <c r="Q1711" s="36"/>
    </row>
    <row r="1712">
      <c r="A1712" s="11"/>
      <c r="B1712" s="11"/>
      <c r="C1712" s="11"/>
      <c r="Q1712" s="36"/>
    </row>
    <row r="1713">
      <c r="A1713" s="11"/>
      <c r="B1713" s="11"/>
      <c r="C1713" s="11"/>
      <c r="Q1713" s="36"/>
    </row>
    <row r="1714">
      <c r="A1714" s="11"/>
      <c r="B1714" s="11"/>
      <c r="C1714" s="11"/>
      <c r="Q1714" s="36"/>
    </row>
    <row r="1715">
      <c r="A1715" s="11"/>
      <c r="B1715" s="11"/>
      <c r="C1715" s="11"/>
      <c r="Q1715" s="36"/>
    </row>
    <row r="1716">
      <c r="A1716" s="11"/>
      <c r="B1716" s="11"/>
      <c r="C1716" s="11"/>
      <c r="Q1716" s="36"/>
    </row>
    <row r="1717">
      <c r="A1717" s="11"/>
      <c r="B1717" s="11"/>
      <c r="C1717" s="11"/>
      <c r="Q1717" s="36"/>
    </row>
    <row r="1718">
      <c r="A1718" s="11"/>
      <c r="B1718" s="11"/>
      <c r="C1718" s="11"/>
      <c r="Q1718" s="36"/>
    </row>
    <row r="1719">
      <c r="A1719" s="11"/>
      <c r="B1719" s="11"/>
      <c r="C1719" s="11"/>
      <c r="Q1719" s="36"/>
    </row>
    <row r="1720">
      <c r="A1720" s="11"/>
      <c r="B1720" s="11"/>
      <c r="C1720" s="11"/>
      <c r="Q1720" s="36"/>
    </row>
    <row r="1721">
      <c r="A1721" s="11"/>
      <c r="B1721" s="11"/>
      <c r="C1721" s="11"/>
      <c r="Q1721" s="36"/>
    </row>
    <row r="1722">
      <c r="A1722" s="11"/>
      <c r="B1722" s="11"/>
      <c r="C1722" s="11"/>
      <c r="Q1722" s="36"/>
    </row>
    <row r="1723">
      <c r="A1723" s="11"/>
      <c r="B1723" s="11"/>
      <c r="C1723" s="11"/>
      <c r="Q1723" s="36"/>
    </row>
    <row r="1724">
      <c r="A1724" s="11"/>
      <c r="B1724" s="11"/>
      <c r="C1724" s="11"/>
      <c r="Q1724" s="36"/>
    </row>
    <row r="1725">
      <c r="A1725" s="11"/>
      <c r="B1725" s="11"/>
      <c r="C1725" s="11"/>
      <c r="Q1725" s="36"/>
    </row>
    <row r="1726">
      <c r="A1726" s="11"/>
      <c r="B1726" s="11"/>
      <c r="C1726" s="11"/>
      <c r="Q1726" s="36"/>
    </row>
    <row r="1727">
      <c r="A1727" s="11"/>
      <c r="B1727" s="11"/>
      <c r="C1727" s="11"/>
      <c r="Q1727" s="36"/>
    </row>
    <row r="1728">
      <c r="A1728" s="11"/>
      <c r="B1728" s="11"/>
      <c r="C1728" s="11"/>
      <c r="Q1728" s="36"/>
    </row>
    <row r="1729">
      <c r="A1729" s="11"/>
      <c r="B1729" s="11"/>
      <c r="C1729" s="11"/>
      <c r="Q1729" s="36"/>
    </row>
    <row r="1730">
      <c r="A1730" s="11"/>
      <c r="B1730" s="11"/>
      <c r="C1730" s="11"/>
      <c r="Q1730" s="36"/>
    </row>
    <row r="1731">
      <c r="A1731" s="11"/>
      <c r="B1731" s="11"/>
      <c r="C1731" s="11"/>
      <c r="Q1731" s="36"/>
    </row>
    <row r="1732">
      <c r="A1732" s="11"/>
      <c r="B1732" s="11"/>
      <c r="C1732" s="11"/>
      <c r="Q1732" s="36"/>
    </row>
    <row r="1733">
      <c r="A1733" s="11"/>
      <c r="B1733" s="11"/>
      <c r="C1733" s="11"/>
      <c r="Q1733" s="36"/>
    </row>
    <row r="1734">
      <c r="A1734" s="11"/>
      <c r="B1734" s="11"/>
      <c r="C1734" s="11"/>
      <c r="Q1734" s="36"/>
    </row>
    <row r="1735">
      <c r="A1735" s="11"/>
      <c r="B1735" s="11"/>
      <c r="C1735" s="11"/>
      <c r="Q1735" s="36"/>
    </row>
    <row r="1736">
      <c r="A1736" s="11"/>
      <c r="B1736" s="11"/>
      <c r="C1736" s="11"/>
      <c r="Q1736" s="36"/>
    </row>
    <row r="1737">
      <c r="A1737" s="11"/>
      <c r="B1737" s="11"/>
      <c r="C1737" s="11"/>
      <c r="Q1737" s="36"/>
    </row>
    <row r="1738">
      <c r="A1738" s="11"/>
      <c r="B1738" s="11"/>
      <c r="C1738" s="11"/>
      <c r="Q1738" s="36"/>
    </row>
    <row r="1739">
      <c r="A1739" s="11"/>
      <c r="B1739" s="11"/>
      <c r="C1739" s="11"/>
      <c r="Q1739" s="36"/>
    </row>
    <row r="1740">
      <c r="A1740" s="11"/>
      <c r="B1740" s="11"/>
      <c r="C1740" s="11"/>
      <c r="Q1740" s="36"/>
    </row>
    <row r="1741">
      <c r="A1741" s="11"/>
      <c r="B1741" s="11"/>
      <c r="C1741" s="11"/>
      <c r="Q1741" s="36"/>
    </row>
    <row r="1742">
      <c r="A1742" s="11"/>
      <c r="B1742" s="11"/>
      <c r="C1742" s="11"/>
      <c r="Q1742" s="36"/>
    </row>
    <row r="1743">
      <c r="A1743" s="11"/>
      <c r="B1743" s="11"/>
      <c r="C1743" s="11"/>
      <c r="Q1743" s="36"/>
    </row>
    <row r="1744">
      <c r="A1744" s="11"/>
      <c r="B1744" s="11"/>
      <c r="C1744" s="11"/>
      <c r="Q1744" s="36"/>
    </row>
    <row r="1745">
      <c r="A1745" s="11"/>
      <c r="B1745" s="11"/>
      <c r="C1745" s="11"/>
      <c r="Q1745" s="36"/>
    </row>
    <row r="1746">
      <c r="A1746" s="11"/>
      <c r="B1746" s="11"/>
      <c r="C1746" s="11"/>
      <c r="Q1746" s="36"/>
    </row>
    <row r="1747">
      <c r="A1747" s="11"/>
      <c r="B1747" s="11"/>
      <c r="C1747" s="11"/>
      <c r="Q1747" s="36"/>
    </row>
    <row r="1748">
      <c r="A1748" s="11"/>
      <c r="B1748" s="11"/>
      <c r="C1748" s="11"/>
      <c r="Q1748" s="36"/>
    </row>
    <row r="1749">
      <c r="A1749" s="11"/>
      <c r="B1749" s="11"/>
      <c r="C1749" s="11"/>
      <c r="Q1749" s="36"/>
    </row>
    <row r="1750">
      <c r="A1750" s="11"/>
      <c r="B1750" s="11"/>
      <c r="C1750" s="11"/>
      <c r="Q1750" s="36"/>
    </row>
    <row r="1751">
      <c r="A1751" s="11"/>
      <c r="B1751" s="11"/>
      <c r="C1751" s="11"/>
      <c r="Q1751" s="36"/>
    </row>
    <row r="1752">
      <c r="A1752" s="11"/>
      <c r="B1752" s="11"/>
      <c r="C1752" s="11"/>
      <c r="Q1752" s="36"/>
    </row>
    <row r="1753">
      <c r="A1753" s="11"/>
      <c r="B1753" s="11"/>
      <c r="C1753" s="11"/>
      <c r="Q1753" s="36"/>
    </row>
    <row r="1754">
      <c r="A1754" s="11"/>
      <c r="B1754" s="11"/>
      <c r="C1754" s="11"/>
      <c r="Q1754" s="36"/>
    </row>
    <row r="1755">
      <c r="A1755" s="11"/>
      <c r="B1755" s="11"/>
      <c r="C1755" s="11"/>
      <c r="Q1755" s="36"/>
    </row>
    <row r="1756">
      <c r="A1756" s="11"/>
      <c r="B1756" s="11"/>
      <c r="C1756" s="11"/>
      <c r="Q1756" s="36"/>
    </row>
    <row r="1757">
      <c r="A1757" s="11"/>
      <c r="B1757" s="11"/>
      <c r="C1757" s="11"/>
      <c r="Q1757" s="36"/>
    </row>
    <row r="1758">
      <c r="A1758" s="11"/>
      <c r="B1758" s="11"/>
      <c r="C1758" s="11"/>
      <c r="Q1758" s="36"/>
    </row>
    <row r="1759">
      <c r="A1759" s="11"/>
      <c r="B1759" s="11"/>
      <c r="C1759" s="11"/>
      <c r="Q1759" s="36"/>
    </row>
    <row r="1760">
      <c r="A1760" s="11"/>
      <c r="B1760" s="11"/>
      <c r="C1760" s="11"/>
      <c r="Q1760" s="36"/>
    </row>
    <row r="1761">
      <c r="A1761" s="11"/>
      <c r="B1761" s="11"/>
      <c r="C1761" s="11"/>
      <c r="Q1761" s="36"/>
    </row>
    <row r="1762">
      <c r="A1762" s="11"/>
      <c r="B1762" s="11"/>
      <c r="C1762" s="11"/>
      <c r="Q1762" s="36"/>
    </row>
    <row r="1763">
      <c r="A1763" s="11"/>
      <c r="B1763" s="11"/>
      <c r="C1763" s="11"/>
      <c r="Q1763" s="36"/>
    </row>
    <row r="1764">
      <c r="A1764" s="11"/>
      <c r="B1764" s="11"/>
      <c r="C1764" s="11"/>
      <c r="Q1764" s="36"/>
    </row>
    <row r="1765">
      <c r="A1765" s="11"/>
      <c r="B1765" s="11"/>
      <c r="C1765" s="11"/>
      <c r="Q1765" s="36"/>
    </row>
    <row r="1766">
      <c r="A1766" s="11"/>
      <c r="B1766" s="11"/>
      <c r="C1766" s="11"/>
      <c r="Q1766" s="36"/>
    </row>
    <row r="1767">
      <c r="A1767" s="11"/>
      <c r="B1767" s="11"/>
      <c r="C1767" s="11"/>
      <c r="Q1767" s="36"/>
    </row>
    <row r="1768">
      <c r="A1768" s="11"/>
      <c r="B1768" s="11"/>
      <c r="C1768" s="11"/>
      <c r="Q1768" s="36"/>
    </row>
    <row r="1769">
      <c r="A1769" s="11"/>
      <c r="B1769" s="11"/>
      <c r="C1769" s="11"/>
      <c r="Q1769" s="36"/>
    </row>
    <row r="1770">
      <c r="A1770" s="11"/>
      <c r="B1770" s="11"/>
      <c r="C1770" s="11"/>
      <c r="Q1770" s="36"/>
    </row>
    <row r="1771">
      <c r="A1771" s="11"/>
      <c r="B1771" s="11"/>
      <c r="C1771" s="11"/>
      <c r="Q1771" s="36"/>
    </row>
    <row r="1772">
      <c r="A1772" s="11"/>
      <c r="B1772" s="11"/>
      <c r="C1772" s="11"/>
      <c r="Q1772" s="36"/>
    </row>
    <row r="1773">
      <c r="A1773" s="11"/>
      <c r="B1773" s="11"/>
      <c r="C1773" s="11"/>
      <c r="Q1773" s="36"/>
    </row>
    <row r="1774">
      <c r="A1774" s="11"/>
      <c r="B1774" s="11"/>
      <c r="C1774" s="11"/>
      <c r="Q1774" s="36"/>
    </row>
    <row r="1775">
      <c r="A1775" s="11"/>
      <c r="B1775" s="11"/>
      <c r="C1775" s="11"/>
      <c r="Q1775" s="36"/>
    </row>
    <row r="1776">
      <c r="A1776" s="11"/>
      <c r="B1776" s="11"/>
      <c r="C1776" s="11"/>
      <c r="Q1776" s="36"/>
    </row>
    <row r="1777">
      <c r="A1777" s="11"/>
      <c r="B1777" s="11"/>
      <c r="C1777" s="11"/>
      <c r="Q1777" s="36"/>
    </row>
    <row r="1778">
      <c r="A1778" s="11"/>
      <c r="B1778" s="11"/>
      <c r="C1778" s="11"/>
      <c r="Q1778" s="36"/>
    </row>
    <row r="1779">
      <c r="A1779" s="11"/>
      <c r="B1779" s="11"/>
      <c r="C1779" s="11"/>
      <c r="Q1779" s="36"/>
    </row>
    <row r="1780">
      <c r="A1780" s="11"/>
      <c r="B1780" s="11"/>
      <c r="C1780" s="11"/>
      <c r="Q1780" s="36"/>
    </row>
    <row r="1781">
      <c r="A1781" s="11"/>
      <c r="B1781" s="11"/>
      <c r="C1781" s="11"/>
      <c r="Q1781" s="36"/>
    </row>
    <row r="1782">
      <c r="A1782" s="11"/>
      <c r="B1782" s="11"/>
      <c r="C1782" s="11"/>
      <c r="Q1782" s="36"/>
    </row>
    <row r="1783">
      <c r="A1783" s="11"/>
      <c r="B1783" s="11"/>
      <c r="C1783" s="11"/>
      <c r="Q1783" s="36"/>
    </row>
    <row r="1784">
      <c r="A1784" s="11"/>
      <c r="B1784" s="11"/>
      <c r="C1784" s="11"/>
      <c r="Q1784" s="36"/>
    </row>
    <row r="1785">
      <c r="A1785" s="11"/>
      <c r="B1785" s="11"/>
      <c r="C1785" s="11"/>
      <c r="Q1785" s="36"/>
    </row>
    <row r="1786">
      <c r="A1786" s="11"/>
      <c r="B1786" s="11"/>
      <c r="C1786" s="11"/>
      <c r="Q1786" s="36"/>
    </row>
    <row r="1787">
      <c r="A1787" s="11"/>
      <c r="B1787" s="11"/>
      <c r="C1787" s="11"/>
      <c r="Q1787" s="36"/>
    </row>
    <row r="1788">
      <c r="A1788" s="11"/>
      <c r="B1788" s="11"/>
      <c r="C1788" s="11"/>
      <c r="Q1788" s="36"/>
    </row>
    <row r="1789">
      <c r="A1789" s="11"/>
      <c r="B1789" s="11"/>
      <c r="C1789" s="11"/>
      <c r="Q1789" s="36"/>
    </row>
    <row r="1790">
      <c r="A1790" s="11"/>
      <c r="B1790" s="11"/>
      <c r="C1790" s="11"/>
      <c r="Q1790" s="36"/>
    </row>
    <row r="1791">
      <c r="A1791" s="11"/>
      <c r="B1791" s="11"/>
      <c r="C1791" s="11"/>
      <c r="Q1791" s="36"/>
    </row>
    <row r="1792">
      <c r="A1792" s="11"/>
      <c r="B1792" s="11"/>
      <c r="C1792" s="11"/>
      <c r="Q1792" s="36"/>
    </row>
    <row r="1793">
      <c r="A1793" s="11"/>
      <c r="B1793" s="11"/>
      <c r="C1793" s="11"/>
      <c r="Q1793" s="36"/>
    </row>
    <row r="1794">
      <c r="A1794" s="11"/>
      <c r="B1794" s="11"/>
      <c r="C1794" s="11"/>
      <c r="Q1794" s="36"/>
    </row>
    <row r="1795">
      <c r="A1795" s="11"/>
      <c r="B1795" s="11"/>
      <c r="C1795" s="11"/>
      <c r="Q1795" s="36"/>
    </row>
    <row r="1796">
      <c r="A1796" s="11"/>
      <c r="B1796" s="11"/>
      <c r="C1796" s="11"/>
      <c r="Q1796" s="36"/>
    </row>
    <row r="1797">
      <c r="A1797" s="11"/>
      <c r="B1797" s="11"/>
      <c r="C1797" s="11"/>
      <c r="Q1797" s="36"/>
    </row>
    <row r="1798">
      <c r="A1798" s="11"/>
      <c r="B1798" s="11"/>
      <c r="C1798" s="11"/>
      <c r="Q1798" s="36"/>
    </row>
    <row r="1799">
      <c r="A1799" s="11"/>
      <c r="B1799" s="11"/>
      <c r="C1799" s="11"/>
      <c r="Q1799" s="36"/>
    </row>
    <row r="1800">
      <c r="A1800" s="11"/>
      <c r="B1800" s="11"/>
      <c r="C1800" s="11"/>
      <c r="Q1800" s="36"/>
    </row>
    <row r="1801">
      <c r="A1801" s="11"/>
      <c r="B1801" s="11"/>
      <c r="C1801" s="11"/>
      <c r="Q1801" s="36"/>
    </row>
    <row r="1802">
      <c r="A1802" s="11"/>
      <c r="B1802" s="11"/>
      <c r="C1802" s="11"/>
      <c r="Q1802" s="36"/>
    </row>
    <row r="1803">
      <c r="A1803" s="11"/>
      <c r="B1803" s="11"/>
      <c r="C1803" s="11"/>
      <c r="Q1803" s="36"/>
    </row>
    <row r="1804">
      <c r="A1804" s="11"/>
      <c r="B1804" s="11"/>
      <c r="C1804" s="11"/>
      <c r="Q1804" s="36"/>
    </row>
    <row r="1805">
      <c r="A1805" s="11"/>
      <c r="B1805" s="11"/>
      <c r="C1805" s="11"/>
      <c r="Q1805" s="36"/>
    </row>
    <row r="1806">
      <c r="A1806" s="11"/>
      <c r="B1806" s="11"/>
      <c r="C1806" s="11"/>
      <c r="Q1806" s="36"/>
    </row>
    <row r="1807">
      <c r="A1807" s="11"/>
      <c r="B1807" s="11"/>
      <c r="C1807" s="11"/>
      <c r="Q1807" s="36"/>
    </row>
    <row r="1808">
      <c r="A1808" s="11"/>
      <c r="B1808" s="11"/>
      <c r="C1808" s="11"/>
      <c r="Q1808" s="36"/>
    </row>
    <row r="1809">
      <c r="A1809" s="11"/>
      <c r="B1809" s="11"/>
      <c r="C1809" s="11"/>
      <c r="Q1809" s="36"/>
    </row>
    <row r="1810">
      <c r="A1810" s="11"/>
      <c r="B1810" s="11"/>
      <c r="C1810" s="11"/>
      <c r="Q1810" s="36"/>
    </row>
    <row r="1811">
      <c r="A1811" s="11"/>
      <c r="B1811" s="11"/>
      <c r="C1811" s="11"/>
      <c r="Q1811" s="36"/>
    </row>
    <row r="1812">
      <c r="A1812" s="11"/>
      <c r="B1812" s="11"/>
      <c r="C1812" s="11"/>
      <c r="Q1812" s="36"/>
    </row>
    <row r="1813">
      <c r="A1813" s="11"/>
      <c r="B1813" s="11"/>
      <c r="C1813" s="11"/>
      <c r="Q1813" s="36"/>
    </row>
    <row r="1814">
      <c r="A1814" s="11"/>
      <c r="B1814" s="11"/>
      <c r="C1814" s="11"/>
      <c r="Q1814" s="36"/>
    </row>
    <row r="1815">
      <c r="A1815" s="11"/>
      <c r="B1815" s="11"/>
      <c r="C1815" s="11"/>
      <c r="Q1815" s="36"/>
    </row>
    <row r="1816">
      <c r="A1816" s="11"/>
      <c r="B1816" s="11"/>
      <c r="C1816" s="11"/>
      <c r="Q1816" s="36"/>
    </row>
    <row r="1817">
      <c r="A1817" s="11"/>
      <c r="B1817" s="11"/>
      <c r="C1817" s="11"/>
      <c r="Q1817" s="36"/>
    </row>
    <row r="1818">
      <c r="A1818" s="11"/>
      <c r="B1818" s="11"/>
      <c r="C1818" s="11"/>
      <c r="Q1818" s="36"/>
    </row>
    <row r="1819">
      <c r="A1819" s="11"/>
      <c r="B1819" s="11"/>
      <c r="C1819" s="11"/>
      <c r="Q1819" s="36"/>
    </row>
    <row r="1820">
      <c r="A1820" s="11"/>
      <c r="B1820" s="11"/>
      <c r="C1820" s="11"/>
      <c r="Q1820" s="36"/>
    </row>
    <row r="1821">
      <c r="A1821" s="11"/>
      <c r="B1821" s="11"/>
      <c r="C1821" s="11"/>
      <c r="Q1821" s="36"/>
    </row>
    <row r="1822">
      <c r="A1822" s="11"/>
      <c r="B1822" s="11"/>
      <c r="C1822" s="11"/>
      <c r="Q1822" s="36"/>
    </row>
    <row r="1823">
      <c r="A1823" s="11"/>
      <c r="B1823" s="11"/>
      <c r="C1823" s="11"/>
      <c r="Q1823" s="36"/>
    </row>
    <row r="1824">
      <c r="A1824" s="11"/>
      <c r="B1824" s="11"/>
      <c r="C1824" s="11"/>
      <c r="Q1824" s="36"/>
    </row>
    <row r="1825">
      <c r="A1825" s="11"/>
      <c r="B1825" s="11"/>
      <c r="C1825" s="11"/>
      <c r="Q1825" s="36"/>
    </row>
    <row r="1826">
      <c r="A1826" s="11"/>
      <c r="B1826" s="11"/>
      <c r="C1826" s="11"/>
      <c r="Q1826" s="36"/>
    </row>
    <row r="1827">
      <c r="A1827" s="11"/>
      <c r="B1827" s="11"/>
      <c r="C1827" s="11"/>
      <c r="Q1827" s="36"/>
    </row>
    <row r="1828">
      <c r="A1828" s="11"/>
      <c r="B1828" s="11"/>
      <c r="C1828" s="11"/>
      <c r="Q1828" s="36"/>
    </row>
    <row r="1829">
      <c r="A1829" s="11"/>
      <c r="B1829" s="11"/>
      <c r="C1829" s="11"/>
      <c r="Q1829" s="36"/>
    </row>
    <row r="1830">
      <c r="A1830" s="11"/>
      <c r="B1830" s="11"/>
      <c r="C1830" s="11"/>
      <c r="Q1830" s="36"/>
    </row>
    <row r="1831">
      <c r="A1831" s="11"/>
      <c r="B1831" s="11"/>
      <c r="C1831" s="11"/>
      <c r="Q1831" s="36"/>
    </row>
    <row r="1832">
      <c r="A1832" s="11"/>
      <c r="B1832" s="11"/>
      <c r="C1832" s="11"/>
      <c r="Q1832" s="36"/>
    </row>
    <row r="1833">
      <c r="A1833" s="11"/>
      <c r="B1833" s="11"/>
      <c r="C1833" s="11"/>
      <c r="Q1833" s="36"/>
    </row>
    <row r="1834">
      <c r="A1834" s="11"/>
      <c r="B1834" s="11"/>
      <c r="C1834" s="11"/>
      <c r="Q1834" s="36"/>
    </row>
    <row r="1835">
      <c r="A1835" s="11"/>
      <c r="B1835" s="11"/>
      <c r="C1835" s="11"/>
      <c r="Q1835" s="36"/>
    </row>
    <row r="1836">
      <c r="A1836" s="11"/>
      <c r="B1836" s="11"/>
      <c r="C1836" s="11"/>
      <c r="Q1836" s="36"/>
    </row>
    <row r="1837">
      <c r="A1837" s="11"/>
      <c r="B1837" s="11"/>
      <c r="C1837" s="11"/>
      <c r="Q1837" s="36"/>
    </row>
    <row r="1838">
      <c r="A1838" s="11"/>
      <c r="B1838" s="11"/>
      <c r="C1838" s="11"/>
      <c r="Q1838" s="36"/>
    </row>
    <row r="1839">
      <c r="A1839" s="11"/>
      <c r="B1839" s="11"/>
      <c r="C1839" s="11"/>
      <c r="Q1839" s="36"/>
    </row>
    <row r="1840">
      <c r="A1840" s="11"/>
      <c r="B1840" s="11"/>
      <c r="C1840" s="11"/>
      <c r="Q1840" s="36"/>
    </row>
    <row r="1841">
      <c r="A1841" s="11"/>
      <c r="B1841" s="11"/>
      <c r="C1841" s="11"/>
      <c r="Q1841" s="36"/>
    </row>
    <row r="1842">
      <c r="A1842" s="11"/>
      <c r="B1842" s="11"/>
      <c r="C1842" s="11"/>
      <c r="Q1842" s="36"/>
    </row>
    <row r="1843">
      <c r="A1843" s="11"/>
      <c r="B1843" s="11"/>
      <c r="C1843" s="11"/>
      <c r="Q1843" s="36"/>
    </row>
    <row r="1844">
      <c r="A1844" s="11"/>
      <c r="B1844" s="11"/>
      <c r="C1844" s="11"/>
      <c r="Q1844" s="36"/>
    </row>
    <row r="1845">
      <c r="A1845" s="11"/>
      <c r="B1845" s="11"/>
      <c r="C1845" s="11"/>
      <c r="Q1845" s="36"/>
    </row>
    <row r="1846">
      <c r="A1846" s="11"/>
      <c r="B1846" s="11"/>
      <c r="C1846" s="11"/>
      <c r="Q1846" s="36"/>
    </row>
    <row r="1847">
      <c r="A1847" s="11"/>
      <c r="B1847" s="11"/>
      <c r="C1847" s="11"/>
      <c r="Q1847" s="36"/>
    </row>
    <row r="1848">
      <c r="A1848" s="11"/>
      <c r="B1848" s="11"/>
      <c r="C1848" s="11"/>
      <c r="Q1848" s="36"/>
    </row>
    <row r="1849">
      <c r="A1849" s="11"/>
      <c r="B1849" s="11"/>
      <c r="C1849" s="11"/>
      <c r="Q1849" s="36"/>
    </row>
    <row r="1850">
      <c r="A1850" s="11"/>
      <c r="B1850" s="11"/>
      <c r="C1850" s="11"/>
      <c r="Q1850" s="36"/>
    </row>
    <row r="1851">
      <c r="A1851" s="11"/>
      <c r="B1851" s="11"/>
      <c r="C1851" s="11"/>
      <c r="Q1851" s="36"/>
    </row>
    <row r="1852">
      <c r="A1852" s="11"/>
      <c r="B1852" s="11"/>
      <c r="C1852" s="11"/>
      <c r="Q1852" s="36"/>
    </row>
    <row r="1853">
      <c r="A1853" s="11"/>
      <c r="B1853" s="11"/>
      <c r="C1853" s="11"/>
      <c r="Q1853" s="36"/>
    </row>
    <row r="1854">
      <c r="A1854" s="11"/>
      <c r="B1854" s="11"/>
      <c r="C1854" s="11"/>
      <c r="Q1854" s="36"/>
    </row>
    <row r="1855">
      <c r="A1855" s="11"/>
      <c r="B1855" s="11"/>
      <c r="C1855" s="11"/>
      <c r="Q1855" s="36"/>
    </row>
    <row r="1856">
      <c r="A1856" s="11"/>
      <c r="B1856" s="11"/>
      <c r="C1856" s="11"/>
      <c r="Q1856" s="36"/>
    </row>
    <row r="1857">
      <c r="A1857" s="11"/>
      <c r="B1857" s="11"/>
      <c r="C1857" s="11"/>
      <c r="Q1857" s="36"/>
    </row>
    <row r="1858">
      <c r="A1858" s="11"/>
      <c r="B1858" s="11"/>
      <c r="C1858" s="11"/>
      <c r="Q1858" s="36"/>
    </row>
    <row r="1859">
      <c r="A1859" s="11"/>
      <c r="B1859" s="11"/>
      <c r="C1859" s="11"/>
      <c r="Q1859" s="36"/>
    </row>
    <row r="1860">
      <c r="A1860" s="11"/>
      <c r="B1860" s="11"/>
      <c r="C1860" s="11"/>
      <c r="Q1860" s="36"/>
    </row>
    <row r="1861">
      <c r="A1861" s="11"/>
      <c r="B1861" s="11"/>
      <c r="C1861" s="11"/>
      <c r="Q1861" s="36"/>
    </row>
    <row r="1862">
      <c r="A1862" s="11"/>
      <c r="B1862" s="11"/>
      <c r="C1862" s="11"/>
      <c r="Q1862" s="36"/>
    </row>
    <row r="1863">
      <c r="A1863" s="11"/>
      <c r="B1863" s="11"/>
      <c r="C1863" s="11"/>
      <c r="Q1863" s="36"/>
    </row>
    <row r="1864">
      <c r="A1864" s="11"/>
      <c r="B1864" s="11"/>
      <c r="C1864" s="11"/>
      <c r="Q1864" s="36"/>
    </row>
    <row r="1865">
      <c r="A1865" s="11"/>
      <c r="B1865" s="11"/>
      <c r="C1865" s="11"/>
      <c r="Q1865" s="36"/>
    </row>
    <row r="1866">
      <c r="A1866" s="11"/>
      <c r="B1866" s="11"/>
      <c r="C1866" s="11"/>
      <c r="Q1866" s="36"/>
    </row>
    <row r="1867">
      <c r="A1867" s="11"/>
      <c r="B1867" s="11"/>
      <c r="C1867" s="11"/>
      <c r="Q1867" s="36"/>
    </row>
    <row r="1868">
      <c r="A1868" s="11"/>
      <c r="B1868" s="11"/>
      <c r="C1868" s="11"/>
      <c r="Q1868" s="36"/>
    </row>
    <row r="1869">
      <c r="A1869" s="11"/>
      <c r="B1869" s="11"/>
      <c r="C1869" s="11"/>
      <c r="Q1869" s="36"/>
    </row>
    <row r="1870">
      <c r="A1870" s="11"/>
      <c r="B1870" s="11"/>
      <c r="C1870" s="11"/>
      <c r="Q1870" s="36"/>
    </row>
    <row r="1871">
      <c r="A1871" s="11"/>
      <c r="B1871" s="11"/>
      <c r="C1871" s="11"/>
      <c r="Q1871" s="36"/>
    </row>
    <row r="1872">
      <c r="A1872" s="11"/>
      <c r="B1872" s="11"/>
      <c r="C1872" s="11"/>
      <c r="Q1872" s="36"/>
    </row>
    <row r="1873">
      <c r="A1873" s="11"/>
      <c r="B1873" s="11"/>
      <c r="C1873" s="11"/>
      <c r="Q1873" s="36"/>
    </row>
    <row r="1874">
      <c r="A1874" s="11"/>
      <c r="B1874" s="11"/>
      <c r="C1874" s="11"/>
      <c r="Q1874" s="36"/>
    </row>
    <row r="1875">
      <c r="A1875" s="11"/>
      <c r="B1875" s="11"/>
      <c r="C1875" s="11"/>
      <c r="Q1875" s="36"/>
    </row>
    <row r="1876">
      <c r="A1876" s="11"/>
      <c r="B1876" s="11"/>
      <c r="C1876" s="11"/>
      <c r="Q1876" s="36"/>
    </row>
    <row r="1877">
      <c r="A1877" s="11"/>
      <c r="B1877" s="11"/>
      <c r="C1877" s="11"/>
      <c r="Q1877" s="36"/>
    </row>
    <row r="1878">
      <c r="A1878" s="11"/>
      <c r="B1878" s="11"/>
      <c r="C1878" s="11"/>
      <c r="Q1878" s="36"/>
    </row>
    <row r="1879">
      <c r="A1879" s="11"/>
      <c r="B1879" s="11"/>
      <c r="C1879" s="11"/>
      <c r="Q1879" s="36"/>
    </row>
    <row r="1880">
      <c r="A1880" s="11"/>
      <c r="B1880" s="11"/>
      <c r="C1880" s="11"/>
      <c r="Q1880" s="36"/>
    </row>
    <row r="1881">
      <c r="A1881" s="11"/>
      <c r="B1881" s="11"/>
      <c r="C1881" s="11"/>
      <c r="Q1881" s="36"/>
    </row>
    <row r="1882">
      <c r="A1882" s="11"/>
      <c r="B1882" s="11"/>
      <c r="C1882" s="11"/>
      <c r="Q1882" s="36"/>
    </row>
    <row r="1883">
      <c r="A1883" s="11"/>
      <c r="B1883" s="11"/>
      <c r="C1883" s="11"/>
      <c r="Q1883" s="36"/>
    </row>
    <row r="1884">
      <c r="A1884" s="11"/>
      <c r="B1884" s="11"/>
      <c r="C1884" s="11"/>
      <c r="Q1884" s="36"/>
    </row>
    <row r="1885">
      <c r="A1885" s="11"/>
      <c r="B1885" s="11"/>
      <c r="C1885" s="11"/>
      <c r="Q1885" s="36"/>
    </row>
    <row r="1886">
      <c r="A1886" s="11"/>
      <c r="B1886" s="11"/>
      <c r="C1886" s="11"/>
      <c r="Q1886" s="36"/>
    </row>
    <row r="1887">
      <c r="A1887" s="11"/>
      <c r="B1887" s="11"/>
      <c r="C1887" s="11"/>
      <c r="Q1887" s="36"/>
    </row>
    <row r="1888">
      <c r="A1888" s="11"/>
      <c r="B1888" s="11"/>
      <c r="C1888" s="11"/>
      <c r="Q1888" s="36"/>
    </row>
    <row r="1889">
      <c r="A1889" s="11"/>
      <c r="B1889" s="11"/>
      <c r="C1889" s="11"/>
      <c r="Q1889" s="36"/>
    </row>
    <row r="1890">
      <c r="A1890" s="11"/>
      <c r="B1890" s="11"/>
      <c r="C1890" s="11"/>
      <c r="Q1890" s="36"/>
    </row>
    <row r="1891">
      <c r="A1891" s="11"/>
      <c r="B1891" s="11"/>
      <c r="C1891" s="11"/>
      <c r="Q1891" s="36"/>
    </row>
    <row r="1892">
      <c r="A1892" s="11"/>
      <c r="B1892" s="11"/>
      <c r="C1892" s="11"/>
      <c r="Q1892" s="36"/>
    </row>
    <row r="1893">
      <c r="A1893" s="11"/>
      <c r="B1893" s="11"/>
      <c r="C1893" s="11"/>
      <c r="Q1893" s="36"/>
    </row>
    <row r="1894">
      <c r="A1894" s="11"/>
      <c r="B1894" s="11"/>
      <c r="C1894" s="11"/>
      <c r="Q1894" s="36"/>
    </row>
    <row r="1895">
      <c r="A1895" s="11"/>
      <c r="B1895" s="11"/>
      <c r="C1895" s="11"/>
      <c r="Q1895" s="36"/>
    </row>
    <row r="1896">
      <c r="A1896" s="11"/>
      <c r="B1896" s="11"/>
      <c r="C1896" s="11"/>
      <c r="Q1896" s="36"/>
    </row>
    <row r="1897">
      <c r="A1897" s="11"/>
      <c r="B1897" s="11"/>
      <c r="C1897" s="11"/>
      <c r="Q1897" s="36"/>
    </row>
    <row r="1898">
      <c r="A1898" s="11"/>
      <c r="B1898" s="11"/>
      <c r="C1898" s="11"/>
      <c r="Q1898" s="36"/>
    </row>
    <row r="1899">
      <c r="A1899" s="11"/>
      <c r="B1899" s="11"/>
      <c r="C1899" s="11"/>
      <c r="Q1899" s="36"/>
    </row>
    <row r="1900">
      <c r="A1900" s="11"/>
      <c r="B1900" s="11"/>
      <c r="C1900" s="11"/>
      <c r="Q1900" s="36"/>
    </row>
    <row r="1901">
      <c r="A1901" s="11"/>
      <c r="B1901" s="11"/>
      <c r="C1901" s="11"/>
      <c r="Q1901" s="36"/>
    </row>
    <row r="1902">
      <c r="A1902" s="11"/>
      <c r="B1902" s="11"/>
      <c r="C1902" s="11"/>
      <c r="Q1902" s="36"/>
    </row>
    <row r="1903">
      <c r="A1903" s="11"/>
      <c r="B1903" s="11"/>
      <c r="C1903" s="11"/>
      <c r="Q1903" s="36"/>
    </row>
    <row r="1904">
      <c r="A1904" s="11"/>
      <c r="B1904" s="11"/>
      <c r="C1904" s="11"/>
      <c r="Q1904" s="36"/>
    </row>
    <row r="1905">
      <c r="A1905" s="11"/>
      <c r="B1905" s="11"/>
      <c r="C1905" s="11"/>
      <c r="Q1905" s="36"/>
    </row>
    <row r="1906">
      <c r="A1906" s="11"/>
      <c r="B1906" s="11"/>
      <c r="C1906" s="11"/>
      <c r="Q1906" s="36"/>
    </row>
    <row r="1907">
      <c r="A1907" s="11"/>
      <c r="B1907" s="11"/>
      <c r="C1907" s="11"/>
      <c r="Q1907" s="36"/>
    </row>
    <row r="1908">
      <c r="A1908" s="11"/>
      <c r="B1908" s="11"/>
      <c r="C1908" s="11"/>
      <c r="Q1908" s="36"/>
    </row>
    <row r="1909">
      <c r="A1909" s="11"/>
      <c r="B1909" s="11"/>
      <c r="C1909" s="11"/>
      <c r="Q1909" s="36"/>
    </row>
    <row r="1910">
      <c r="A1910" s="11"/>
      <c r="B1910" s="11"/>
      <c r="C1910" s="11"/>
      <c r="Q1910" s="36"/>
    </row>
    <row r="1911">
      <c r="A1911" s="11"/>
      <c r="B1911" s="11"/>
      <c r="C1911" s="11"/>
      <c r="Q1911" s="36"/>
    </row>
    <row r="1912">
      <c r="A1912" s="11"/>
      <c r="B1912" s="11"/>
      <c r="C1912" s="11"/>
      <c r="Q1912" s="36"/>
    </row>
    <row r="1913">
      <c r="A1913" s="11"/>
      <c r="B1913" s="11"/>
      <c r="C1913" s="11"/>
      <c r="Q1913" s="36"/>
    </row>
    <row r="1914">
      <c r="A1914" s="11"/>
      <c r="B1914" s="11"/>
      <c r="C1914" s="11"/>
      <c r="Q1914" s="36"/>
    </row>
    <row r="1915">
      <c r="A1915" s="11"/>
      <c r="B1915" s="11"/>
      <c r="C1915" s="11"/>
      <c r="Q1915" s="36"/>
    </row>
    <row r="1916">
      <c r="A1916" s="11"/>
      <c r="B1916" s="11"/>
      <c r="C1916" s="11"/>
      <c r="Q1916" s="36"/>
    </row>
    <row r="1917">
      <c r="A1917" s="11"/>
      <c r="B1917" s="11"/>
      <c r="C1917" s="11"/>
      <c r="Q1917" s="36"/>
    </row>
    <row r="1918">
      <c r="A1918" s="11"/>
      <c r="B1918" s="11"/>
      <c r="C1918" s="11"/>
      <c r="Q1918" s="36"/>
    </row>
    <row r="1919">
      <c r="A1919" s="11"/>
      <c r="B1919" s="11"/>
      <c r="C1919" s="11"/>
      <c r="Q1919" s="36"/>
    </row>
    <row r="1920">
      <c r="A1920" s="11"/>
      <c r="B1920" s="11"/>
      <c r="C1920" s="11"/>
      <c r="Q1920" s="36"/>
    </row>
    <row r="1921">
      <c r="A1921" s="11"/>
      <c r="B1921" s="11"/>
      <c r="C1921" s="11"/>
      <c r="Q1921" s="36"/>
    </row>
    <row r="1922">
      <c r="A1922" s="11"/>
      <c r="B1922" s="11"/>
      <c r="C1922" s="11"/>
      <c r="Q1922" s="36"/>
    </row>
    <row r="1923">
      <c r="A1923" s="11"/>
      <c r="B1923" s="11"/>
      <c r="C1923" s="11"/>
      <c r="Q1923" s="36"/>
    </row>
    <row r="1924">
      <c r="A1924" s="11"/>
      <c r="B1924" s="11"/>
      <c r="C1924" s="11"/>
      <c r="Q1924" s="36"/>
    </row>
    <row r="1925">
      <c r="A1925" s="11"/>
      <c r="B1925" s="11"/>
      <c r="C1925" s="11"/>
      <c r="Q1925" s="36"/>
    </row>
    <row r="1926">
      <c r="A1926" s="11"/>
      <c r="B1926" s="11"/>
      <c r="C1926" s="11"/>
      <c r="Q1926" s="36"/>
    </row>
    <row r="1927">
      <c r="A1927" s="11"/>
      <c r="B1927" s="11"/>
      <c r="C1927" s="11"/>
      <c r="Q1927" s="36"/>
    </row>
    <row r="1928">
      <c r="A1928" s="11"/>
      <c r="B1928" s="11"/>
      <c r="C1928" s="11"/>
      <c r="Q1928" s="36"/>
    </row>
    <row r="1929">
      <c r="A1929" s="11"/>
      <c r="B1929" s="11"/>
      <c r="C1929" s="11"/>
      <c r="Q1929" s="36"/>
    </row>
    <row r="1930">
      <c r="A1930" s="11"/>
      <c r="B1930" s="11"/>
      <c r="C1930" s="11"/>
      <c r="Q1930" s="36"/>
    </row>
    <row r="1931">
      <c r="A1931" s="11"/>
      <c r="B1931" s="11"/>
      <c r="C1931" s="11"/>
      <c r="Q1931" s="36"/>
    </row>
    <row r="1932">
      <c r="A1932" s="11"/>
      <c r="B1932" s="11"/>
      <c r="C1932" s="11"/>
      <c r="Q1932" s="36"/>
    </row>
    <row r="1933">
      <c r="A1933" s="11"/>
      <c r="B1933" s="11"/>
      <c r="C1933" s="11"/>
      <c r="Q1933" s="36"/>
    </row>
    <row r="1934">
      <c r="A1934" s="11"/>
      <c r="B1934" s="11"/>
      <c r="C1934" s="11"/>
      <c r="Q1934" s="36"/>
    </row>
    <row r="1935">
      <c r="A1935" s="11"/>
      <c r="B1935" s="11"/>
      <c r="C1935" s="11"/>
      <c r="Q1935" s="36"/>
    </row>
    <row r="1936">
      <c r="A1936" s="11"/>
      <c r="B1936" s="11"/>
      <c r="C1936" s="11"/>
      <c r="Q1936" s="36"/>
    </row>
    <row r="1937">
      <c r="A1937" s="11"/>
      <c r="B1937" s="11"/>
      <c r="C1937" s="11"/>
      <c r="Q1937" s="36"/>
    </row>
    <row r="1938">
      <c r="A1938" s="11"/>
      <c r="B1938" s="11"/>
      <c r="C1938" s="11"/>
      <c r="Q1938" s="36"/>
    </row>
    <row r="1939">
      <c r="A1939" s="11"/>
      <c r="B1939" s="11"/>
      <c r="C1939" s="11"/>
      <c r="Q1939" s="36"/>
    </row>
    <row r="1940">
      <c r="A1940" s="11"/>
      <c r="B1940" s="11"/>
      <c r="C1940" s="11"/>
      <c r="Q1940" s="36"/>
    </row>
    <row r="1941">
      <c r="A1941" s="11"/>
      <c r="B1941" s="11"/>
      <c r="C1941" s="11"/>
      <c r="Q1941" s="36"/>
    </row>
    <row r="1942">
      <c r="A1942" s="11"/>
      <c r="B1942" s="11"/>
      <c r="C1942" s="11"/>
      <c r="Q1942" s="36"/>
    </row>
    <row r="1943">
      <c r="A1943" s="11"/>
      <c r="B1943" s="11"/>
      <c r="C1943" s="11"/>
      <c r="Q1943" s="36"/>
    </row>
    <row r="1944">
      <c r="A1944" s="11"/>
      <c r="B1944" s="11"/>
      <c r="C1944" s="11"/>
      <c r="Q1944" s="36"/>
    </row>
    <row r="1945">
      <c r="A1945" s="11"/>
      <c r="B1945" s="11"/>
      <c r="C1945" s="11"/>
      <c r="Q1945" s="36"/>
    </row>
    <row r="1946">
      <c r="A1946" s="11"/>
      <c r="B1946" s="11"/>
      <c r="C1946" s="11"/>
      <c r="Q1946" s="36"/>
    </row>
    <row r="1947">
      <c r="A1947" s="11"/>
      <c r="B1947" s="11"/>
      <c r="C1947" s="11"/>
      <c r="Q1947" s="36"/>
    </row>
    <row r="1948">
      <c r="A1948" s="11"/>
      <c r="B1948" s="11"/>
      <c r="C1948" s="11"/>
      <c r="Q1948" s="36"/>
    </row>
    <row r="1949">
      <c r="A1949" s="11"/>
      <c r="B1949" s="11"/>
      <c r="C1949" s="11"/>
      <c r="Q1949" s="36"/>
    </row>
    <row r="1950">
      <c r="A1950" s="11"/>
      <c r="B1950" s="11"/>
      <c r="C1950" s="11"/>
      <c r="Q1950" s="36"/>
    </row>
    <row r="1951">
      <c r="A1951" s="11"/>
      <c r="B1951" s="11"/>
      <c r="C1951" s="11"/>
      <c r="Q1951" s="36"/>
    </row>
    <row r="1952">
      <c r="A1952" s="11"/>
      <c r="B1952" s="11"/>
      <c r="C1952" s="11"/>
      <c r="Q1952" s="36"/>
    </row>
    <row r="1953">
      <c r="A1953" s="11"/>
      <c r="B1953" s="11"/>
      <c r="C1953" s="11"/>
      <c r="Q1953" s="36"/>
    </row>
    <row r="1954">
      <c r="A1954" s="11"/>
      <c r="B1954" s="11"/>
      <c r="C1954" s="11"/>
      <c r="Q1954" s="36"/>
    </row>
    <row r="1955">
      <c r="A1955" s="11"/>
      <c r="B1955" s="11"/>
      <c r="C1955" s="11"/>
      <c r="Q1955" s="36"/>
    </row>
    <row r="1956">
      <c r="A1956" s="11"/>
      <c r="B1956" s="11"/>
      <c r="C1956" s="11"/>
      <c r="Q1956" s="36"/>
    </row>
    <row r="1957">
      <c r="A1957" s="11"/>
      <c r="B1957" s="11"/>
      <c r="C1957" s="11"/>
      <c r="Q1957" s="36"/>
    </row>
    <row r="1958">
      <c r="A1958" s="11"/>
      <c r="B1958" s="11"/>
      <c r="C1958" s="11"/>
      <c r="Q1958" s="36"/>
    </row>
    <row r="1959">
      <c r="A1959" s="11"/>
      <c r="B1959" s="11"/>
      <c r="C1959" s="11"/>
      <c r="Q1959" s="36"/>
    </row>
    <row r="1960">
      <c r="A1960" s="11"/>
      <c r="B1960" s="11"/>
      <c r="C1960" s="11"/>
      <c r="Q1960" s="36"/>
    </row>
    <row r="1961">
      <c r="A1961" s="11"/>
      <c r="B1961" s="11"/>
      <c r="C1961" s="11"/>
      <c r="Q1961" s="36"/>
    </row>
    <row r="1962">
      <c r="A1962" s="11"/>
      <c r="B1962" s="11"/>
      <c r="C1962" s="11"/>
      <c r="Q1962" s="36"/>
    </row>
    <row r="1963">
      <c r="A1963" s="11"/>
      <c r="B1963" s="11"/>
      <c r="C1963" s="11"/>
      <c r="Q1963" s="36"/>
    </row>
    <row r="1964">
      <c r="A1964" s="11"/>
      <c r="B1964" s="11"/>
      <c r="C1964" s="11"/>
      <c r="Q1964" s="36"/>
    </row>
    <row r="1965">
      <c r="A1965" s="11"/>
      <c r="B1965" s="11"/>
      <c r="C1965" s="11"/>
      <c r="Q1965" s="36"/>
    </row>
    <row r="1966">
      <c r="A1966" s="11"/>
      <c r="B1966" s="11"/>
      <c r="C1966" s="11"/>
      <c r="Q1966" s="36"/>
    </row>
    <row r="1967">
      <c r="A1967" s="11"/>
      <c r="B1967" s="11"/>
      <c r="C1967" s="11"/>
      <c r="Q1967" s="36"/>
    </row>
    <row r="1968">
      <c r="A1968" s="11"/>
      <c r="B1968" s="11"/>
      <c r="C1968" s="11"/>
      <c r="Q1968" s="36"/>
    </row>
    <row r="1969">
      <c r="A1969" s="11"/>
      <c r="B1969" s="11"/>
      <c r="C1969" s="11"/>
      <c r="Q1969" s="36"/>
    </row>
    <row r="1970">
      <c r="A1970" s="11"/>
      <c r="B1970" s="11"/>
      <c r="C1970" s="11"/>
      <c r="Q1970" s="36"/>
    </row>
    <row r="1971">
      <c r="A1971" s="11"/>
      <c r="B1971" s="11"/>
      <c r="C1971" s="11"/>
      <c r="Q1971" s="36"/>
    </row>
    <row r="1972">
      <c r="A1972" s="11"/>
      <c r="B1972" s="11"/>
      <c r="C1972" s="11"/>
      <c r="Q1972" s="36"/>
    </row>
    <row r="1973">
      <c r="A1973" s="11"/>
      <c r="B1973" s="11"/>
      <c r="C1973" s="11"/>
      <c r="Q1973" s="36"/>
    </row>
    <row r="1974">
      <c r="A1974" s="11"/>
      <c r="B1974" s="11"/>
      <c r="C1974" s="11"/>
      <c r="Q1974" s="36"/>
    </row>
    <row r="1975">
      <c r="A1975" s="11"/>
      <c r="B1975" s="11"/>
      <c r="C1975" s="11"/>
      <c r="Q1975" s="36"/>
    </row>
    <row r="1976">
      <c r="A1976" s="11"/>
      <c r="B1976" s="11"/>
      <c r="C1976" s="11"/>
      <c r="Q1976" s="36"/>
    </row>
    <row r="1977">
      <c r="A1977" s="11"/>
      <c r="B1977" s="11"/>
      <c r="C1977" s="11"/>
      <c r="Q1977" s="36"/>
    </row>
    <row r="1978">
      <c r="A1978" s="11"/>
      <c r="B1978" s="11"/>
      <c r="C1978" s="11"/>
      <c r="Q1978" s="36"/>
    </row>
    <row r="1979">
      <c r="A1979" s="11"/>
      <c r="B1979" s="11"/>
      <c r="C1979" s="11"/>
      <c r="Q1979" s="36"/>
    </row>
    <row r="1980">
      <c r="A1980" s="11"/>
      <c r="B1980" s="11"/>
      <c r="C1980" s="11"/>
      <c r="Q1980" s="36"/>
    </row>
    <row r="1981">
      <c r="A1981" s="11"/>
      <c r="B1981" s="11"/>
      <c r="C1981" s="11"/>
      <c r="Q1981" s="36"/>
    </row>
    <row r="1982">
      <c r="A1982" s="11"/>
      <c r="B1982" s="11"/>
      <c r="C1982" s="11"/>
      <c r="Q1982" s="36"/>
    </row>
    <row r="1983">
      <c r="A1983" s="11"/>
      <c r="B1983" s="11"/>
      <c r="C1983" s="11"/>
      <c r="Q1983" s="36"/>
    </row>
    <row r="1984">
      <c r="A1984" s="11"/>
      <c r="B1984" s="11"/>
      <c r="C1984" s="11"/>
      <c r="Q1984" s="36"/>
    </row>
    <row r="1985">
      <c r="A1985" s="11"/>
      <c r="B1985" s="11"/>
      <c r="C1985" s="11"/>
      <c r="Q1985" s="36"/>
    </row>
    <row r="1986">
      <c r="A1986" s="11"/>
      <c r="B1986" s="11"/>
      <c r="C1986" s="11"/>
      <c r="Q1986" s="36"/>
    </row>
    <row r="1987">
      <c r="A1987" s="11"/>
      <c r="B1987" s="11"/>
      <c r="C1987" s="11"/>
      <c r="Q1987" s="36"/>
    </row>
    <row r="1988">
      <c r="A1988" s="11"/>
      <c r="B1988" s="11"/>
      <c r="C1988" s="11"/>
      <c r="Q1988" s="36"/>
    </row>
    <row r="1989">
      <c r="A1989" s="11"/>
      <c r="B1989" s="11"/>
      <c r="C1989" s="11"/>
      <c r="Q1989" s="36"/>
    </row>
    <row r="1990">
      <c r="A1990" s="11"/>
      <c r="B1990" s="11"/>
      <c r="C1990" s="11"/>
      <c r="Q1990" s="36"/>
    </row>
    <row r="1991">
      <c r="A1991" s="11"/>
      <c r="B1991" s="11"/>
      <c r="C1991" s="11"/>
      <c r="Q1991" s="36"/>
    </row>
    <row r="1992">
      <c r="A1992" s="11"/>
      <c r="B1992" s="11"/>
      <c r="C1992" s="11"/>
      <c r="Q1992" s="36"/>
    </row>
    <row r="1993">
      <c r="A1993" s="11"/>
      <c r="B1993" s="11"/>
      <c r="C1993" s="11"/>
      <c r="Q1993" s="36"/>
    </row>
    <row r="1994">
      <c r="A1994" s="11"/>
      <c r="B1994" s="11"/>
      <c r="C1994" s="11"/>
      <c r="Q1994" s="36"/>
    </row>
    <row r="1995">
      <c r="A1995" s="11"/>
      <c r="B1995" s="11"/>
      <c r="C1995" s="11"/>
      <c r="Q1995" s="36"/>
    </row>
    <row r="1996">
      <c r="A1996" s="11"/>
      <c r="B1996" s="11"/>
      <c r="C1996" s="11"/>
      <c r="Q1996" s="36"/>
    </row>
    <row r="1997">
      <c r="A1997" s="11"/>
      <c r="B1997" s="11"/>
      <c r="C1997" s="11"/>
      <c r="Q1997" s="36"/>
    </row>
    <row r="1998">
      <c r="A1998" s="11"/>
      <c r="B1998" s="11"/>
      <c r="C1998" s="11"/>
      <c r="Q1998" s="36"/>
    </row>
    <row r="1999">
      <c r="A1999" s="11"/>
      <c r="B1999" s="11"/>
      <c r="C1999" s="11"/>
      <c r="Q1999" s="36"/>
    </row>
    <row r="2000">
      <c r="A2000" s="11"/>
      <c r="B2000" s="11"/>
      <c r="C2000" s="11"/>
      <c r="Q2000" s="36"/>
    </row>
    <row r="2001">
      <c r="A2001" s="11"/>
      <c r="B2001" s="11"/>
      <c r="C2001" s="11"/>
      <c r="Q2001" s="36"/>
    </row>
    <row r="2002">
      <c r="A2002" s="11"/>
      <c r="B2002" s="11"/>
      <c r="C2002" s="11"/>
      <c r="Q2002" s="36"/>
    </row>
    <row r="2003">
      <c r="A2003" s="11"/>
      <c r="B2003" s="11"/>
      <c r="C2003" s="11"/>
      <c r="Q2003" s="36"/>
    </row>
    <row r="2004">
      <c r="A2004" s="11"/>
      <c r="B2004" s="11"/>
      <c r="C2004" s="11"/>
      <c r="Q2004" s="36"/>
    </row>
    <row r="2005">
      <c r="A2005" s="11"/>
      <c r="B2005" s="11"/>
      <c r="C2005" s="11"/>
      <c r="Q2005" s="36"/>
    </row>
    <row r="2006">
      <c r="A2006" s="11"/>
      <c r="B2006" s="11"/>
      <c r="C2006" s="11"/>
      <c r="Q2006" s="36"/>
    </row>
    <row r="2007">
      <c r="A2007" s="11"/>
      <c r="B2007" s="11"/>
      <c r="C2007" s="11"/>
      <c r="Q2007" s="36"/>
    </row>
    <row r="2008">
      <c r="A2008" s="11"/>
      <c r="B2008" s="11"/>
      <c r="C2008" s="11"/>
      <c r="Q2008" s="36"/>
    </row>
    <row r="2009">
      <c r="A2009" s="11"/>
      <c r="B2009" s="11"/>
      <c r="C2009" s="11"/>
      <c r="Q2009" s="36"/>
    </row>
    <row r="2010">
      <c r="A2010" s="11"/>
      <c r="B2010" s="11"/>
      <c r="C2010" s="11"/>
      <c r="Q2010" s="36"/>
    </row>
    <row r="2011">
      <c r="A2011" s="11"/>
      <c r="B2011" s="11"/>
      <c r="C2011" s="11"/>
      <c r="Q2011" s="36"/>
    </row>
    <row r="2012">
      <c r="A2012" s="11"/>
      <c r="B2012" s="11"/>
      <c r="C2012" s="11"/>
      <c r="Q2012" s="36"/>
    </row>
    <row r="2013">
      <c r="A2013" s="11"/>
      <c r="B2013" s="11"/>
      <c r="C2013" s="11"/>
      <c r="Q2013" s="36"/>
    </row>
    <row r="2014">
      <c r="A2014" s="11"/>
      <c r="B2014" s="11"/>
      <c r="C2014" s="11"/>
      <c r="Q2014" s="36"/>
    </row>
    <row r="2015">
      <c r="A2015" s="11"/>
      <c r="B2015" s="11"/>
      <c r="C2015" s="11"/>
      <c r="Q2015" s="36"/>
    </row>
    <row r="2016">
      <c r="A2016" s="11"/>
      <c r="B2016" s="11"/>
      <c r="C2016" s="11"/>
      <c r="Q2016" s="36"/>
    </row>
    <row r="2017">
      <c r="A2017" s="11"/>
      <c r="B2017" s="11"/>
      <c r="C2017" s="11"/>
      <c r="Q2017" s="36"/>
    </row>
    <row r="2018">
      <c r="A2018" s="11"/>
      <c r="B2018" s="11"/>
      <c r="C2018" s="11"/>
      <c r="Q2018" s="36"/>
    </row>
    <row r="2019">
      <c r="A2019" s="11"/>
      <c r="B2019" s="11"/>
      <c r="C2019" s="11"/>
      <c r="Q2019" s="36"/>
    </row>
    <row r="2020">
      <c r="A2020" s="11"/>
      <c r="B2020" s="11"/>
      <c r="C2020" s="11"/>
      <c r="Q2020" s="36"/>
    </row>
    <row r="2021">
      <c r="A2021" s="11"/>
      <c r="B2021" s="11"/>
      <c r="C2021" s="11"/>
      <c r="Q2021" s="36"/>
    </row>
    <row r="2022">
      <c r="A2022" s="11"/>
      <c r="B2022" s="11"/>
      <c r="C2022" s="11"/>
      <c r="Q2022" s="36"/>
    </row>
    <row r="2023">
      <c r="A2023" s="11"/>
      <c r="B2023" s="11"/>
      <c r="C2023" s="11"/>
      <c r="Q2023" s="36"/>
    </row>
    <row r="2024">
      <c r="A2024" s="11"/>
      <c r="B2024" s="11"/>
      <c r="C2024" s="11"/>
      <c r="Q2024" s="36"/>
    </row>
    <row r="2025">
      <c r="A2025" s="11"/>
      <c r="B2025" s="11"/>
      <c r="C2025" s="11"/>
      <c r="Q2025" s="36"/>
    </row>
    <row r="2026">
      <c r="A2026" s="11"/>
      <c r="B2026" s="11"/>
      <c r="C2026" s="11"/>
      <c r="Q2026" s="36"/>
    </row>
    <row r="2027">
      <c r="A2027" s="11"/>
      <c r="B2027" s="11"/>
      <c r="C2027" s="11"/>
      <c r="Q2027" s="36"/>
    </row>
    <row r="2028">
      <c r="A2028" s="11"/>
      <c r="B2028" s="11"/>
      <c r="C2028" s="11"/>
      <c r="Q2028" s="36"/>
    </row>
    <row r="2029">
      <c r="A2029" s="11"/>
      <c r="B2029" s="11"/>
      <c r="C2029" s="11"/>
      <c r="Q2029" s="36"/>
    </row>
    <row r="2030">
      <c r="A2030" s="11"/>
      <c r="B2030" s="11"/>
      <c r="C2030" s="11"/>
      <c r="Q2030" s="36"/>
    </row>
    <row r="2031">
      <c r="A2031" s="11"/>
      <c r="B2031" s="11"/>
      <c r="C2031" s="11"/>
      <c r="Q2031" s="36"/>
    </row>
    <row r="2032">
      <c r="A2032" s="11"/>
      <c r="B2032" s="11"/>
      <c r="C2032" s="11"/>
      <c r="Q2032" s="36"/>
    </row>
    <row r="2033">
      <c r="A2033" s="11"/>
      <c r="B2033" s="11"/>
      <c r="C2033" s="11"/>
      <c r="Q2033" s="36"/>
    </row>
    <row r="2034">
      <c r="A2034" s="11"/>
      <c r="B2034" s="11"/>
      <c r="C2034" s="11"/>
      <c r="Q2034" s="36"/>
    </row>
    <row r="2035">
      <c r="A2035" s="11"/>
      <c r="B2035" s="11"/>
      <c r="C2035" s="11"/>
      <c r="Q2035" s="36"/>
    </row>
    <row r="2036">
      <c r="A2036" s="11"/>
      <c r="B2036" s="11"/>
      <c r="C2036" s="11"/>
      <c r="Q2036" s="36"/>
    </row>
    <row r="2037">
      <c r="A2037" s="11"/>
      <c r="B2037" s="11"/>
      <c r="C2037" s="11"/>
      <c r="Q2037" s="36"/>
    </row>
    <row r="2038">
      <c r="A2038" s="11"/>
      <c r="B2038" s="11"/>
      <c r="C2038" s="11"/>
      <c r="Q2038" s="36"/>
    </row>
    <row r="2039">
      <c r="A2039" s="11"/>
      <c r="B2039" s="11"/>
      <c r="C2039" s="11"/>
      <c r="Q2039" s="36"/>
    </row>
    <row r="2040">
      <c r="A2040" s="11"/>
      <c r="B2040" s="11"/>
      <c r="C2040" s="11"/>
      <c r="Q2040" s="36"/>
    </row>
    <row r="2041">
      <c r="A2041" s="11"/>
      <c r="B2041" s="11"/>
      <c r="C2041" s="11"/>
      <c r="Q2041" s="36"/>
    </row>
    <row r="2042">
      <c r="A2042" s="11"/>
      <c r="B2042" s="11"/>
      <c r="C2042" s="11"/>
      <c r="Q2042" s="36"/>
    </row>
    <row r="2043">
      <c r="A2043" s="11"/>
      <c r="B2043" s="11"/>
      <c r="C2043" s="11"/>
      <c r="Q2043" s="36"/>
    </row>
    <row r="2044">
      <c r="A2044" s="11"/>
      <c r="B2044" s="11"/>
      <c r="C2044" s="11"/>
      <c r="Q2044" s="36"/>
    </row>
    <row r="2045">
      <c r="A2045" s="11"/>
      <c r="B2045" s="11"/>
      <c r="C2045" s="11"/>
      <c r="Q2045" s="36"/>
    </row>
    <row r="2046">
      <c r="A2046" s="11"/>
      <c r="B2046" s="11"/>
      <c r="C2046" s="11"/>
      <c r="Q2046" s="36"/>
    </row>
    <row r="2047">
      <c r="A2047" s="11"/>
      <c r="B2047" s="11"/>
      <c r="C2047" s="11"/>
      <c r="Q2047" s="36"/>
    </row>
    <row r="2048">
      <c r="A2048" s="11"/>
      <c r="B2048" s="11"/>
      <c r="C2048" s="11"/>
      <c r="Q2048" s="36"/>
    </row>
    <row r="2049">
      <c r="A2049" s="11"/>
      <c r="B2049" s="11"/>
      <c r="C2049" s="11"/>
      <c r="Q2049" s="36"/>
    </row>
    <row r="2050">
      <c r="A2050" s="11"/>
      <c r="B2050" s="11"/>
      <c r="C2050" s="11"/>
      <c r="Q2050" s="36"/>
    </row>
    <row r="2051">
      <c r="A2051" s="11"/>
      <c r="B2051" s="11"/>
      <c r="C2051" s="11"/>
      <c r="Q2051" s="36"/>
    </row>
    <row r="2052">
      <c r="A2052" s="11"/>
      <c r="B2052" s="11"/>
      <c r="C2052" s="11"/>
      <c r="Q2052" s="36"/>
    </row>
    <row r="2053">
      <c r="A2053" s="11"/>
      <c r="B2053" s="11"/>
      <c r="C2053" s="11"/>
      <c r="Q2053" s="36"/>
    </row>
    <row r="2054">
      <c r="A2054" s="11"/>
      <c r="B2054" s="11"/>
      <c r="C2054" s="11"/>
      <c r="Q2054" s="36"/>
    </row>
    <row r="2055">
      <c r="A2055" s="11"/>
      <c r="B2055" s="11"/>
      <c r="C2055" s="11"/>
      <c r="Q2055" s="36"/>
    </row>
    <row r="2056">
      <c r="A2056" s="11"/>
      <c r="B2056" s="11"/>
      <c r="C2056" s="11"/>
      <c r="Q2056" s="36"/>
    </row>
    <row r="2057">
      <c r="A2057" s="11"/>
      <c r="B2057" s="11"/>
      <c r="C2057" s="11"/>
      <c r="Q2057" s="36"/>
    </row>
    <row r="2058">
      <c r="A2058" s="11"/>
      <c r="B2058" s="11"/>
      <c r="C2058" s="11"/>
      <c r="Q2058" s="36"/>
    </row>
    <row r="2059">
      <c r="A2059" s="11"/>
      <c r="B2059" s="11"/>
      <c r="C2059" s="11"/>
      <c r="Q2059" s="36"/>
    </row>
    <row r="2060">
      <c r="A2060" s="11"/>
      <c r="B2060" s="11"/>
      <c r="C2060" s="11"/>
      <c r="Q2060" s="36"/>
    </row>
    <row r="2061">
      <c r="A2061" s="11"/>
      <c r="B2061" s="11"/>
      <c r="C2061" s="11"/>
      <c r="Q2061" s="36"/>
    </row>
    <row r="2062">
      <c r="A2062" s="11"/>
      <c r="B2062" s="11"/>
      <c r="C2062" s="11"/>
      <c r="Q2062" s="36"/>
    </row>
    <row r="2063">
      <c r="A2063" s="11"/>
      <c r="B2063" s="11"/>
      <c r="C2063" s="11"/>
      <c r="Q2063" s="36"/>
    </row>
    <row r="2064">
      <c r="A2064" s="11"/>
      <c r="B2064" s="11"/>
      <c r="C2064" s="11"/>
      <c r="Q2064" s="36"/>
    </row>
    <row r="2065">
      <c r="A2065" s="11"/>
      <c r="B2065" s="11"/>
      <c r="C2065" s="11"/>
      <c r="Q2065" s="36"/>
    </row>
    <row r="2066">
      <c r="A2066" s="11"/>
      <c r="B2066" s="11"/>
      <c r="C2066" s="11"/>
      <c r="Q2066" s="36"/>
    </row>
    <row r="2067">
      <c r="A2067" s="11"/>
      <c r="B2067" s="11"/>
      <c r="C2067" s="11"/>
      <c r="Q2067" s="36"/>
    </row>
    <row r="2068">
      <c r="A2068" s="11"/>
      <c r="B2068" s="11"/>
      <c r="C2068" s="11"/>
      <c r="Q2068" s="36"/>
    </row>
    <row r="2069">
      <c r="A2069" s="11"/>
      <c r="B2069" s="11"/>
      <c r="C2069" s="11"/>
      <c r="Q2069" s="36"/>
    </row>
    <row r="2070">
      <c r="A2070" s="11"/>
      <c r="B2070" s="11"/>
      <c r="C2070" s="11"/>
      <c r="Q2070" s="36"/>
    </row>
    <row r="2071">
      <c r="A2071" s="11"/>
      <c r="B2071" s="11"/>
      <c r="C2071" s="11"/>
      <c r="Q2071" s="36"/>
    </row>
    <row r="2072">
      <c r="A2072" s="11"/>
      <c r="B2072" s="11"/>
      <c r="C2072" s="11"/>
      <c r="Q2072" s="36"/>
    </row>
    <row r="2073">
      <c r="A2073" s="11"/>
      <c r="B2073" s="11"/>
      <c r="C2073" s="11"/>
      <c r="Q2073" s="36"/>
    </row>
    <row r="2074">
      <c r="A2074" s="11"/>
      <c r="B2074" s="11"/>
      <c r="C2074" s="11"/>
      <c r="Q2074" s="36"/>
    </row>
    <row r="2075">
      <c r="A2075" s="11"/>
      <c r="B2075" s="11"/>
      <c r="C2075" s="11"/>
      <c r="Q2075" s="36"/>
    </row>
    <row r="2076">
      <c r="A2076" s="11"/>
      <c r="B2076" s="11"/>
      <c r="C2076" s="11"/>
      <c r="Q2076" s="36"/>
    </row>
    <row r="2077">
      <c r="A2077" s="11"/>
      <c r="B2077" s="11"/>
      <c r="C2077" s="11"/>
      <c r="Q2077" s="36"/>
    </row>
    <row r="2078">
      <c r="A2078" s="11"/>
      <c r="B2078" s="11"/>
      <c r="C2078" s="11"/>
      <c r="Q2078" s="36"/>
    </row>
    <row r="2079">
      <c r="A2079" s="11"/>
      <c r="B2079" s="11"/>
      <c r="C2079" s="11"/>
      <c r="Q2079" s="36"/>
    </row>
    <row r="2080">
      <c r="A2080" s="11"/>
      <c r="B2080" s="11"/>
      <c r="C2080" s="11"/>
      <c r="Q2080" s="36"/>
    </row>
    <row r="2081">
      <c r="A2081" s="11"/>
      <c r="B2081" s="11"/>
      <c r="C2081" s="11"/>
      <c r="Q2081" s="36"/>
    </row>
    <row r="2082">
      <c r="A2082" s="11"/>
      <c r="B2082" s="11"/>
      <c r="C2082" s="11"/>
      <c r="Q2082" s="36"/>
    </row>
    <row r="2083">
      <c r="A2083" s="11"/>
      <c r="B2083" s="11"/>
      <c r="C2083" s="11"/>
      <c r="Q2083" s="36"/>
    </row>
    <row r="2084">
      <c r="A2084" s="11"/>
      <c r="B2084" s="11"/>
      <c r="C2084" s="11"/>
      <c r="Q2084" s="36"/>
    </row>
    <row r="2085">
      <c r="A2085" s="11"/>
      <c r="B2085" s="11"/>
      <c r="C2085" s="11"/>
      <c r="Q2085" s="36"/>
    </row>
    <row r="2086">
      <c r="A2086" s="11"/>
      <c r="B2086" s="11"/>
      <c r="C2086" s="11"/>
      <c r="Q2086" s="36"/>
    </row>
    <row r="2087">
      <c r="A2087" s="11"/>
      <c r="B2087" s="11"/>
      <c r="C2087" s="11"/>
      <c r="Q2087" s="36"/>
    </row>
    <row r="2088">
      <c r="A2088" s="11"/>
      <c r="B2088" s="11"/>
      <c r="C2088" s="11"/>
      <c r="Q2088" s="36"/>
    </row>
    <row r="2089">
      <c r="A2089" s="11"/>
      <c r="B2089" s="11"/>
      <c r="C2089" s="11"/>
      <c r="Q2089" s="36"/>
    </row>
    <row r="2090">
      <c r="A2090" s="11"/>
      <c r="B2090" s="11"/>
      <c r="C2090" s="11"/>
      <c r="Q2090" s="36"/>
    </row>
    <row r="2091">
      <c r="A2091" s="11"/>
      <c r="B2091" s="11"/>
      <c r="C2091" s="11"/>
      <c r="Q2091" s="36"/>
    </row>
    <row r="2092">
      <c r="A2092" s="11"/>
      <c r="B2092" s="11"/>
      <c r="C2092" s="11"/>
      <c r="Q2092" s="36"/>
    </row>
    <row r="2093">
      <c r="A2093" s="11"/>
      <c r="B2093" s="11"/>
      <c r="C2093" s="11"/>
      <c r="Q2093" s="36"/>
    </row>
    <row r="2094">
      <c r="A2094" s="11"/>
      <c r="B2094" s="11"/>
      <c r="C2094" s="11"/>
      <c r="Q2094" s="36"/>
    </row>
    <row r="2095">
      <c r="A2095" s="11"/>
      <c r="B2095" s="11"/>
      <c r="C2095" s="11"/>
      <c r="Q2095" s="36"/>
    </row>
    <row r="2096">
      <c r="A2096" s="11"/>
      <c r="B2096" s="11"/>
      <c r="C2096" s="11"/>
      <c r="Q2096" s="36"/>
    </row>
    <row r="2097">
      <c r="A2097" s="11"/>
      <c r="B2097" s="11"/>
      <c r="C2097" s="11"/>
      <c r="Q2097" s="36"/>
    </row>
    <row r="2098">
      <c r="A2098" s="11"/>
      <c r="B2098" s="11"/>
      <c r="C2098" s="11"/>
      <c r="Q2098" s="36"/>
    </row>
    <row r="2099">
      <c r="A2099" s="11"/>
      <c r="B2099" s="11"/>
      <c r="C2099" s="11"/>
      <c r="Q2099" s="36"/>
    </row>
    <row r="2100">
      <c r="A2100" s="11"/>
      <c r="B2100" s="11"/>
      <c r="C2100" s="11"/>
      <c r="Q2100" s="36"/>
    </row>
    <row r="2101">
      <c r="A2101" s="11"/>
      <c r="B2101" s="11"/>
      <c r="C2101" s="11"/>
      <c r="Q2101" s="36"/>
    </row>
    <row r="2102">
      <c r="A2102" s="11"/>
      <c r="B2102" s="11"/>
      <c r="C2102" s="11"/>
      <c r="Q2102" s="36"/>
    </row>
    <row r="2103">
      <c r="A2103" s="11"/>
      <c r="B2103" s="11"/>
      <c r="C2103" s="11"/>
      <c r="Q2103" s="36"/>
    </row>
    <row r="2104">
      <c r="A2104" s="11"/>
      <c r="B2104" s="11"/>
      <c r="C2104" s="11"/>
      <c r="Q2104" s="36"/>
    </row>
    <row r="2105">
      <c r="A2105" s="11"/>
      <c r="B2105" s="11"/>
      <c r="C2105" s="11"/>
      <c r="Q2105" s="36"/>
    </row>
    <row r="2106">
      <c r="A2106" s="11"/>
      <c r="B2106" s="11"/>
      <c r="C2106" s="11"/>
      <c r="Q2106" s="36"/>
    </row>
    <row r="2107">
      <c r="A2107" s="11"/>
      <c r="B2107" s="11"/>
      <c r="C2107" s="11"/>
      <c r="Q2107" s="36"/>
    </row>
    <row r="2108">
      <c r="A2108" s="11"/>
      <c r="B2108" s="11"/>
      <c r="C2108" s="11"/>
      <c r="Q2108" s="36"/>
    </row>
    <row r="2109">
      <c r="A2109" s="11"/>
      <c r="B2109" s="11"/>
      <c r="C2109" s="11"/>
      <c r="Q2109" s="36"/>
    </row>
    <row r="2110">
      <c r="A2110" s="11"/>
      <c r="B2110" s="11"/>
      <c r="C2110" s="11"/>
      <c r="Q2110" s="36"/>
    </row>
    <row r="2111">
      <c r="A2111" s="11"/>
      <c r="B2111" s="11"/>
      <c r="C2111" s="11"/>
      <c r="Q2111" s="36"/>
    </row>
    <row r="2112">
      <c r="A2112" s="11"/>
      <c r="B2112" s="11"/>
      <c r="C2112" s="11"/>
      <c r="Q2112" s="36"/>
    </row>
    <row r="2113">
      <c r="A2113" s="11"/>
      <c r="B2113" s="11"/>
      <c r="C2113" s="11"/>
      <c r="Q2113" s="36"/>
    </row>
    <row r="2114">
      <c r="A2114" s="11"/>
      <c r="B2114" s="11"/>
      <c r="C2114" s="11"/>
      <c r="Q2114" s="36"/>
    </row>
    <row r="2115">
      <c r="A2115" s="11"/>
      <c r="B2115" s="11"/>
      <c r="C2115" s="11"/>
      <c r="Q2115" s="36"/>
    </row>
    <row r="2116">
      <c r="A2116" s="11"/>
      <c r="B2116" s="11"/>
      <c r="C2116" s="11"/>
      <c r="Q2116" s="36"/>
    </row>
    <row r="2117">
      <c r="A2117" s="11"/>
      <c r="B2117" s="11"/>
      <c r="C2117" s="11"/>
      <c r="Q2117" s="36"/>
    </row>
    <row r="2118">
      <c r="A2118" s="11"/>
      <c r="B2118" s="11"/>
      <c r="C2118" s="11"/>
      <c r="Q2118" s="36"/>
    </row>
    <row r="2119">
      <c r="A2119" s="11"/>
      <c r="B2119" s="11"/>
      <c r="C2119" s="11"/>
      <c r="Q2119" s="36"/>
    </row>
    <row r="2120">
      <c r="A2120" s="11"/>
      <c r="B2120" s="11"/>
      <c r="C2120" s="11"/>
      <c r="Q2120" s="36"/>
    </row>
    <row r="2121">
      <c r="A2121" s="11"/>
      <c r="B2121" s="11"/>
      <c r="C2121" s="11"/>
      <c r="Q2121" s="36"/>
    </row>
    <row r="2122">
      <c r="A2122" s="11"/>
      <c r="B2122" s="11"/>
      <c r="C2122" s="11"/>
      <c r="Q2122" s="36"/>
    </row>
    <row r="2123">
      <c r="A2123" s="11"/>
      <c r="B2123" s="11"/>
      <c r="C2123" s="11"/>
      <c r="Q2123" s="36"/>
    </row>
    <row r="2124">
      <c r="A2124" s="11"/>
      <c r="B2124" s="11"/>
      <c r="C2124" s="11"/>
      <c r="Q2124" s="36"/>
    </row>
    <row r="2125">
      <c r="A2125" s="11"/>
      <c r="B2125" s="11"/>
      <c r="C2125" s="11"/>
      <c r="Q2125" s="36"/>
    </row>
    <row r="2126">
      <c r="A2126" s="11"/>
      <c r="B2126" s="11"/>
      <c r="C2126" s="11"/>
      <c r="Q2126" s="36"/>
    </row>
    <row r="2127">
      <c r="A2127" s="11"/>
      <c r="B2127" s="11"/>
      <c r="C2127" s="11"/>
      <c r="Q2127" s="36"/>
    </row>
    <row r="2128">
      <c r="A2128" s="11"/>
      <c r="B2128" s="11"/>
      <c r="C2128" s="11"/>
      <c r="Q2128" s="36"/>
    </row>
    <row r="2129">
      <c r="A2129" s="11"/>
      <c r="B2129" s="11"/>
      <c r="C2129" s="11"/>
      <c r="Q2129" s="36"/>
    </row>
    <row r="2130">
      <c r="A2130" s="11"/>
      <c r="B2130" s="11"/>
      <c r="C2130" s="11"/>
      <c r="Q2130" s="36"/>
    </row>
    <row r="2131">
      <c r="A2131" s="11"/>
      <c r="B2131" s="11"/>
      <c r="C2131" s="11"/>
      <c r="Q2131" s="36"/>
    </row>
    <row r="2132">
      <c r="A2132" s="11"/>
      <c r="B2132" s="11"/>
      <c r="C2132" s="11"/>
      <c r="Q2132" s="36"/>
    </row>
    <row r="2133">
      <c r="A2133" s="11"/>
      <c r="B2133" s="11"/>
      <c r="C2133" s="11"/>
      <c r="Q2133" s="36"/>
    </row>
    <row r="2134">
      <c r="A2134" s="11"/>
      <c r="B2134" s="11"/>
      <c r="C2134" s="11"/>
      <c r="Q2134" s="36"/>
    </row>
    <row r="2135">
      <c r="A2135" s="11"/>
      <c r="B2135" s="11"/>
      <c r="C2135" s="11"/>
      <c r="Q2135" s="36"/>
    </row>
    <row r="2136">
      <c r="A2136" s="11"/>
      <c r="B2136" s="11"/>
      <c r="C2136" s="11"/>
      <c r="Q2136" s="36"/>
    </row>
    <row r="2137">
      <c r="A2137" s="11"/>
      <c r="B2137" s="11"/>
      <c r="C2137" s="11"/>
      <c r="Q2137" s="36"/>
    </row>
    <row r="2138">
      <c r="A2138" s="11"/>
      <c r="B2138" s="11"/>
      <c r="C2138" s="11"/>
      <c r="Q2138" s="36"/>
    </row>
    <row r="2139">
      <c r="A2139" s="11"/>
      <c r="B2139" s="11"/>
      <c r="C2139" s="11"/>
      <c r="Q2139" s="36"/>
    </row>
    <row r="2140">
      <c r="A2140" s="11"/>
      <c r="B2140" s="11"/>
      <c r="C2140" s="11"/>
      <c r="Q2140" s="36"/>
    </row>
    <row r="2141">
      <c r="A2141" s="11"/>
      <c r="B2141" s="11"/>
      <c r="C2141" s="11"/>
      <c r="Q2141" s="36"/>
    </row>
    <row r="2142">
      <c r="A2142" s="11"/>
      <c r="B2142" s="11"/>
      <c r="C2142" s="11"/>
      <c r="Q2142" s="36"/>
    </row>
    <row r="2143">
      <c r="A2143" s="11"/>
      <c r="B2143" s="11"/>
      <c r="C2143" s="11"/>
      <c r="Q2143" s="36"/>
    </row>
    <row r="2144">
      <c r="A2144" s="11"/>
      <c r="B2144" s="11"/>
      <c r="C2144" s="11"/>
      <c r="Q2144" s="36"/>
    </row>
    <row r="2145">
      <c r="A2145" s="11"/>
      <c r="B2145" s="11"/>
      <c r="C2145" s="11"/>
      <c r="Q2145" s="36"/>
    </row>
    <row r="2146">
      <c r="A2146" s="11"/>
      <c r="B2146" s="11"/>
      <c r="C2146" s="11"/>
      <c r="Q2146" s="36"/>
    </row>
    <row r="2147">
      <c r="A2147" s="11"/>
      <c r="B2147" s="11"/>
      <c r="C2147" s="11"/>
      <c r="Q2147" s="36"/>
    </row>
    <row r="2148">
      <c r="A2148" s="11"/>
      <c r="B2148" s="11"/>
      <c r="C2148" s="11"/>
      <c r="Q2148" s="36"/>
    </row>
    <row r="2149">
      <c r="A2149" s="11"/>
      <c r="B2149" s="11"/>
      <c r="C2149" s="11"/>
      <c r="Q2149" s="36"/>
    </row>
    <row r="2150">
      <c r="A2150" s="11"/>
      <c r="B2150" s="11"/>
      <c r="C2150" s="11"/>
      <c r="Q2150" s="36"/>
    </row>
    <row r="2151">
      <c r="A2151" s="11"/>
      <c r="B2151" s="11"/>
      <c r="C2151" s="11"/>
      <c r="Q2151" s="36"/>
    </row>
    <row r="2152">
      <c r="A2152" s="11"/>
      <c r="B2152" s="11"/>
      <c r="C2152" s="11"/>
      <c r="Q2152" s="36"/>
    </row>
    <row r="2153">
      <c r="A2153" s="11"/>
      <c r="B2153" s="11"/>
      <c r="C2153" s="11"/>
      <c r="Q2153" s="36"/>
    </row>
    <row r="2154">
      <c r="A2154" s="11"/>
      <c r="B2154" s="11"/>
      <c r="C2154" s="11"/>
      <c r="Q2154" s="36"/>
    </row>
    <row r="2155">
      <c r="A2155" s="11"/>
      <c r="B2155" s="11"/>
      <c r="C2155" s="11"/>
      <c r="Q2155" s="36"/>
    </row>
    <row r="2156">
      <c r="A2156" s="11"/>
      <c r="B2156" s="11"/>
      <c r="C2156" s="11"/>
      <c r="Q2156" s="36"/>
    </row>
    <row r="2157">
      <c r="A2157" s="11"/>
      <c r="B2157" s="11"/>
      <c r="C2157" s="11"/>
      <c r="Q2157" s="36"/>
    </row>
    <row r="2158">
      <c r="A2158" s="11"/>
      <c r="B2158" s="11"/>
      <c r="C2158" s="11"/>
      <c r="Q2158" s="36"/>
    </row>
    <row r="2159">
      <c r="A2159" s="11"/>
      <c r="B2159" s="11"/>
      <c r="C2159" s="11"/>
      <c r="Q2159" s="36"/>
    </row>
    <row r="2160">
      <c r="A2160" s="11"/>
      <c r="B2160" s="11"/>
      <c r="C2160" s="11"/>
      <c r="Q2160" s="36"/>
    </row>
    <row r="2161">
      <c r="A2161" s="11"/>
      <c r="B2161" s="11"/>
      <c r="C2161" s="11"/>
      <c r="Q2161" s="36"/>
    </row>
    <row r="2162">
      <c r="A2162" s="11"/>
      <c r="B2162" s="11"/>
      <c r="C2162" s="11"/>
      <c r="Q2162" s="36"/>
    </row>
    <row r="2163">
      <c r="A2163" s="11"/>
      <c r="B2163" s="11"/>
      <c r="C2163" s="11"/>
      <c r="Q2163" s="36"/>
    </row>
    <row r="2164">
      <c r="A2164" s="11"/>
      <c r="B2164" s="11"/>
      <c r="C2164" s="11"/>
      <c r="Q2164" s="36"/>
    </row>
    <row r="2165">
      <c r="A2165" s="11"/>
      <c r="B2165" s="11"/>
      <c r="C2165" s="11"/>
      <c r="Q2165" s="36"/>
    </row>
    <row r="2166">
      <c r="A2166" s="11"/>
      <c r="B2166" s="11"/>
      <c r="C2166" s="11"/>
      <c r="Q2166" s="36"/>
    </row>
    <row r="2167">
      <c r="A2167" s="11"/>
      <c r="B2167" s="11"/>
      <c r="C2167" s="11"/>
      <c r="Q2167" s="36"/>
    </row>
    <row r="2168">
      <c r="A2168" s="11"/>
      <c r="B2168" s="11"/>
      <c r="C2168" s="11"/>
      <c r="Q2168" s="36"/>
    </row>
    <row r="2169">
      <c r="A2169" s="11"/>
      <c r="B2169" s="11"/>
      <c r="C2169" s="11"/>
      <c r="Q2169" s="36"/>
    </row>
    <row r="2170">
      <c r="A2170" s="11"/>
      <c r="B2170" s="11"/>
      <c r="C2170" s="11"/>
      <c r="Q2170" s="36"/>
    </row>
    <row r="2171">
      <c r="A2171" s="11"/>
      <c r="B2171" s="11"/>
      <c r="C2171" s="11"/>
      <c r="Q2171" s="36"/>
    </row>
    <row r="2172">
      <c r="A2172" s="11"/>
      <c r="B2172" s="11"/>
      <c r="C2172" s="11"/>
      <c r="Q2172" s="36"/>
    </row>
    <row r="2173">
      <c r="A2173" s="11"/>
      <c r="B2173" s="11"/>
      <c r="C2173" s="11"/>
      <c r="Q2173" s="36"/>
    </row>
    <row r="2174">
      <c r="A2174" s="11"/>
      <c r="B2174" s="11"/>
      <c r="C2174" s="11"/>
      <c r="Q2174" s="36"/>
    </row>
    <row r="2175">
      <c r="A2175" s="11"/>
      <c r="B2175" s="11"/>
      <c r="C2175" s="11"/>
      <c r="Q2175" s="36"/>
    </row>
    <row r="2176">
      <c r="A2176" s="11"/>
      <c r="B2176" s="11"/>
      <c r="C2176" s="11"/>
      <c r="Q2176" s="36"/>
    </row>
    <row r="2177">
      <c r="A2177" s="11"/>
      <c r="B2177" s="11"/>
      <c r="C2177" s="11"/>
      <c r="Q2177" s="36"/>
    </row>
    <row r="2178">
      <c r="A2178" s="11"/>
      <c r="B2178" s="11"/>
      <c r="C2178" s="11"/>
      <c r="Q2178" s="36"/>
    </row>
    <row r="2179">
      <c r="A2179" s="11"/>
      <c r="B2179" s="11"/>
      <c r="C2179" s="11"/>
      <c r="Q2179" s="36"/>
    </row>
    <row r="2180">
      <c r="A2180" s="11"/>
      <c r="B2180" s="11"/>
      <c r="C2180" s="11"/>
      <c r="Q2180" s="36"/>
    </row>
    <row r="2181">
      <c r="A2181" s="11"/>
      <c r="B2181" s="11"/>
      <c r="C2181" s="11"/>
      <c r="Q2181" s="36"/>
    </row>
    <row r="2182">
      <c r="A2182" s="11"/>
      <c r="B2182" s="11"/>
      <c r="C2182" s="11"/>
      <c r="Q2182" s="36"/>
    </row>
    <row r="2183">
      <c r="A2183" s="11"/>
      <c r="B2183" s="11"/>
      <c r="C2183" s="11"/>
      <c r="Q2183" s="36"/>
    </row>
    <row r="2184">
      <c r="A2184" s="11"/>
      <c r="B2184" s="11"/>
      <c r="C2184" s="11"/>
      <c r="Q2184" s="36"/>
    </row>
    <row r="2185">
      <c r="A2185" s="11"/>
      <c r="B2185" s="11"/>
      <c r="C2185" s="11"/>
      <c r="Q2185" s="36"/>
    </row>
    <row r="2186">
      <c r="A2186" s="11"/>
      <c r="B2186" s="11"/>
      <c r="C2186" s="11"/>
      <c r="Q2186" s="36"/>
    </row>
    <row r="2187">
      <c r="A2187" s="11"/>
      <c r="B2187" s="11"/>
      <c r="C2187" s="11"/>
      <c r="Q2187" s="36"/>
    </row>
    <row r="2188">
      <c r="A2188" s="11"/>
      <c r="B2188" s="11"/>
      <c r="C2188" s="11"/>
      <c r="Q2188" s="36"/>
    </row>
    <row r="2189">
      <c r="A2189" s="11"/>
      <c r="B2189" s="11"/>
      <c r="C2189" s="11"/>
      <c r="Q2189" s="36"/>
    </row>
    <row r="2190">
      <c r="A2190" s="11"/>
      <c r="B2190" s="11"/>
      <c r="C2190" s="11"/>
      <c r="Q2190" s="36"/>
    </row>
    <row r="2191">
      <c r="A2191" s="11"/>
      <c r="B2191" s="11"/>
      <c r="C2191" s="11"/>
      <c r="Q2191" s="36"/>
    </row>
    <row r="2192">
      <c r="A2192" s="11"/>
      <c r="B2192" s="11"/>
      <c r="C2192" s="11"/>
      <c r="Q2192" s="36"/>
    </row>
    <row r="2193">
      <c r="A2193" s="11"/>
      <c r="B2193" s="11"/>
      <c r="C2193" s="11"/>
      <c r="Q2193" s="36"/>
    </row>
    <row r="2194">
      <c r="A2194" s="11"/>
      <c r="B2194" s="11"/>
      <c r="C2194" s="11"/>
      <c r="Q2194" s="36"/>
    </row>
    <row r="2195">
      <c r="A2195" s="11"/>
      <c r="B2195" s="11"/>
      <c r="C2195" s="11"/>
      <c r="Q2195" s="36"/>
    </row>
    <row r="2196">
      <c r="A2196" s="11"/>
      <c r="B2196" s="11"/>
      <c r="C2196" s="11"/>
      <c r="Q2196" s="36"/>
    </row>
    <row r="2197">
      <c r="A2197" s="11"/>
      <c r="B2197" s="11"/>
      <c r="C2197" s="11"/>
      <c r="Q2197" s="36"/>
    </row>
    <row r="2198">
      <c r="A2198" s="11"/>
      <c r="B2198" s="11"/>
      <c r="C2198" s="11"/>
      <c r="Q2198" s="36"/>
    </row>
    <row r="2199">
      <c r="A2199" s="11"/>
      <c r="B2199" s="11"/>
      <c r="C2199" s="11"/>
      <c r="Q2199" s="36"/>
    </row>
    <row r="2200">
      <c r="A2200" s="11"/>
      <c r="B2200" s="11"/>
      <c r="C2200" s="11"/>
      <c r="Q2200" s="36"/>
    </row>
    <row r="2201">
      <c r="A2201" s="11"/>
      <c r="B2201" s="11"/>
      <c r="C2201" s="11"/>
      <c r="Q2201" s="36"/>
    </row>
    <row r="2202">
      <c r="A2202" s="11"/>
      <c r="B2202" s="11"/>
      <c r="C2202" s="11"/>
      <c r="Q2202" s="36"/>
    </row>
    <row r="2203">
      <c r="A2203" s="11"/>
      <c r="B2203" s="11"/>
      <c r="C2203" s="11"/>
      <c r="Q2203" s="36"/>
    </row>
    <row r="2204">
      <c r="A2204" s="11"/>
      <c r="B2204" s="11"/>
      <c r="C2204" s="11"/>
      <c r="Q2204" s="36"/>
    </row>
    <row r="2205">
      <c r="A2205" s="11"/>
      <c r="B2205" s="11"/>
      <c r="C2205" s="11"/>
      <c r="Q2205" s="36"/>
    </row>
    <row r="2206">
      <c r="A2206" s="11"/>
      <c r="B2206" s="11"/>
      <c r="C2206" s="11"/>
      <c r="Q2206" s="36"/>
    </row>
    <row r="2207">
      <c r="A2207" s="11"/>
      <c r="B2207" s="11"/>
      <c r="C2207" s="11"/>
      <c r="Q2207" s="36"/>
    </row>
    <row r="2208">
      <c r="A2208" s="11"/>
      <c r="B2208" s="11"/>
      <c r="C2208" s="11"/>
      <c r="Q2208" s="36"/>
    </row>
    <row r="2209">
      <c r="A2209" s="11"/>
      <c r="B2209" s="11"/>
      <c r="C2209" s="11"/>
      <c r="Q2209" s="36"/>
    </row>
    <row r="2210">
      <c r="A2210" s="11"/>
      <c r="B2210" s="11"/>
      <c r="C2210" s="11"/>
      <c r="Q2210" s="36"/>
    </row>
    <row r="2211">
      <c r="A2211" s="11"/>
      <c r="B2211" s="11"/>
      <c r="C2211" s="11"/>
      <c r="Q2211" s="36"/>
    </row>
    <row r="2212">
      <c r="A2212" s="11"/>
      <c r="B2212" s="11"/>
      <c r="C2212" s="11"/>
      <c r="Q2212" s="36"/>
    </row>
    <row r="2213">
      <c r="A2213" s="11"/>
      <c r="B2213" s="11"/>
      <c r="C2213" s="11"/>
      <c r="Q2213" s="36"/>
    </row>
    <row r="2214">
      <c r="A2214" s="11"/>
      <c r="B2214" s="11"/>
      <c r="C2214" s="11"/>
      <c r="Q2214" s="36"/>
    </row>
    <row r="2215">
      <c r="A2215" s="11"/>
      <c r="B2215" s="11"/>
      <c r="C2215" s="11"/>
      <c r="Q2215" s="36"/>
    </row>
    <row r="2216">
      <c r="A2216" s="11"/>
      <c r="B2216" s="11"/>
      <c r="C2216" s="11"/>
      <c r="Q2216" s="36"/>
    </row>
    <row r="2217">
      <c r="A2217" s="11"/>
      <c r="B2217" s="11"/>
      <c r="C2217" s="11"/>
      <c r="Q2217" s="36"/>
    </row>
    <row r="2218">
      <c r="A2218" s="11"/>
      <c r="B2218" s="11"/>
      <c r="C2218" s="11"/>
      <c r="Q2218" s="36"/>
    </row>
    <row r="2219">
      <c r="A2219" s="11"/>
      <c r="B2219" s="11"/>
      <c r="C2219" s="11"/>
      <c r="Q2219" s="36"/>
    </row>
    <row r="2220">
      <c r="A2220" s="11"/>
      <c r="B2220" s="11"/>
      <c r="C2220" s="11"/>
      <c r="Q2220" s="36"/>
    </row>
    <row r="2221">
      <c r="A2221" s="11"/>
      <c r="B2221" s="11"/>
      <c r="C2221" s="11"/>
      <c r="Q2221" s="36"/>
    </row>
    <row r="2222">
      <c r="A2222" s="11"/>
      <c r="B2222" s="11"/>
      <c r="C2222" s="11"/>
      <c r="Q2222" s="36"/>
    </row>
    <row r="2223">
      <c r="A2223" s="11"/>
      <c r="B2223" s="11"/>
      <c r="C2223" s="11"/>
      <c r="Q2223" s="36"/>
    </row>
    <row r="2224">
      <c r="A2224" s="11"/>
      <c r="B2224" s="11"/>
      <c r="C2224" s="11"/>
      <c r="Q2224" s="36"/>
    </row>
    <row r="2225">
      <c r="A2225" s="11"/>
      <c r="B2225" s="11"/>
      <c r="C2225" s="11"/>
      <c r="Q2225" s="36"/>
    </row>
    <row r="2226">
      <c r="A2226" s="11"/>
      <c r="B2226" s="11"/>
      <c r="C2226" s="11"/>
      <c r="Q2226" s="36"/>
    </row>
    <row r="2227">
      <c r="A2227" s="11"/>
      <c r="B2227" s="11"/>
      <c r="C2227" s="11"/>
      <c r="Q2227" s="36"/>
    </row>
    <row r="2228">
      <c r="A2228" s="11"/>
      <c r="B2228" s="11"/>
      <c r="C2228" s="11"/>
      <c r="Q2228" s="36"/>
    </row>
    <row r="2229">
      <c r="A2229" s="11"/>
      <c r="B2229" s="11"/>
      <c r="C2229" s="11"/>
      <c r="Q2229" s="36"/>
    </row>
    <row r="2230">
      <c r="A2230" s="11"/>
      <c r="B2230" s="11"/>
      <c r="C2230" s="11"/>
      <c r="Q2230" s="36"/>
    </row>
    <row r="2231">
      <c r="A2231" s="11"/>
      <c r="B2231" s="11"/>
      <c r="C2231" s="11"/>
      <c r="Q2231" s="36"/>
    </row>
    <row r="2232">
      <c r="A2232" s="11"/>
      <c r="B2232" s="11"/>
      <c r="C2232" s="11"/>
      <c r="Q2232" s="36"/>
    </row>
    <row r="2233">
      <c r="A2233" s="11"/>
      <c r="B2233" s="11"/>
      <c r="C2233" s="11"/>
      <c r="Q2233" s="36"/>
    </row>
    <row r="2234">
      <c r="A2234" s="11"/>
      <c r="B2234" s="11"/>
      <c r="C2234" s="11"/>
      <c r="Q2234" s="36"/>
    </row>
    <row r="2235">
      <c r="A2235" s="11"/>
      <c r="B2235" s="11"/>
      <c r="C2235" s="11"/>
      <c r="Q2235" s="36"/>
    </row>
    <row r="2236">
      <c r="A2236" s="11"/>
      <c r="B2236" s="11"/>
      <c r="C2236" s="11"/>
      <c r="Q2236" s="36"/>
    </row>
    <row r="2237">
      <c r="A2237" s="11"/>
      <c r="B2237" s="11"/>
      <c r="C2237" s="11"/>
      <c r="Q2237" s="36"/>
    </row>
    <row r="2238">
      <c r="A2238" s="11"/>
      <c r="B2238" s="11"/>
      <c r="C2238" s="11"/>
      <c r="Q2238" s="36"/>
    </row>
    <row r="2239">
      <c r="A2239" s="11"/>
      <c r="B2239" s="11"/>
      <c r="C2239" s="11"/>
      <c r="Q2239" s="36"/>
    </row>
    <row r="2240">
      <c r="A2240" s="11"/>
      <c r="B2240" s="11"/>
      <c r="C2240" s="11"/>
      <c r="Q2240" s="36"/>
    </row>
    <row r="2241">
      <c r="A2241" s="11"/>
      <c r="B2241" s="11"/>
      <c r="C2241" s="11"/>
      <c r="Q2241" s="36"/>
    </row>
    <row r="2242">
      <c r="A2242" s="11"/>
      <c r="B2242" s="11"/>
      <c r="C2242" s="11"/>
      <c r="Q2242" s="36"/>
    </row>
    <row r="2243">
      <c r="A2243" s="11"/>
      <c r="B2243" s="11"/>
      <c r="C2243" s="11"/>
      <c r="Q2243" s="36"/>
    </row>
    <row r="2244">
      <c r="A2244" s="11"/>
      <c r="B2244" s="11"/>
      <c r="C2244" s="11"/>
      <c r="Q2244" s="36"/>
    </row>
    <row r="2245">
      <c r="A2245" s="11"/>
      <c r="B2245" s="11"/>
      <c r="C2245" s="11"/>
      <c r="Q2245" s="36"/>
    </row>
    <row r="2246">
      <c r="A2246" s="11"/>
      <c r="B2246" s="11"/>
      <c r="C2246" s="11"/>
      <c r="Q2246" s="36"/>
    </row>
    <row r="2247">
      <c r="A2247" s="11"/>
      <c r="B2247" s="11"/>
      <c r="C2247" s="11"/>
      <c r="Q2247" s="36"/>
    </row>
    <row r="2248">
      <c r="A2248" s="11"/>
      <c r="B2248" s="11"/>
      <c r="C2248" s="11"/>
      <c r="Q2248" s="36"/>
    </row>
    <row r="2249">
      <c r="A2249" s="11"/>
      <c r="B2249" s="11"/>
      <c r="C2249" s="11"/>
      <c r="Q2249" s="36"/>
    </row>
    <row r="2250">
      <c r="A2250" s="11"/>
      <c r="B2250" s="11"/>
      <c r="C2250" s="11"/>
      <c r="Q2250" s="36"/>
    </row>
    <row r="2251">
      <c r="A2251" s="11"/>
      <c r="B2251" s="11"/>
      <c r="C2251" s="11"/>
      <c r="Q2251" s="36"/>
    </row>
    <row r="2252">
      <c r="A2252" s="11"/>
      <c r="B2252" s="11"/>
      <c r="C2252" s="11"/>
      <c r="Q2252" s="36"/>
    </row>
    <row r="2253">
      <c r="A2253" s="11"/>
      <c r="B2253" s="11"/>
      <c r="C2253" s="11"/>
      <c r="Q2253" s="36"/>
    </row>
    <row r="2254">
      <c r="A2254" s="11"/>
      <c r="B2254" s="11"/>
      <c r="C2254" s="11"/>
      <c r="Q2254" s="36"/>
    </row>
    <row r="2255">
      <c r="A2255" s="11"/>
      <c r="B2255" s="11"/>
      <c r="C2255" s="11"/>
      <c r="Q2255" s="36"/>
    </row>
    <row r="2256">
      <c r="A2256" s="11"/>
      <c r="B2256" s="11"/>
      <c r="C2256" s="11"/>
      <c r="Q2256" s="36"/>
    </row>
    <row r="2257">
      <c r="A2257" s="11"/>
      <c r="B2257" s="11"/>
      <c r="C2257" s="11"/>
      <c r="Q2257" s="36"/>
    </row>
    <row r="2258">
      <c r="A2258" s="11"/>
      <c r="B2258" s="11"/>
      <c r="C2258" s="11"/>
      <c r="Q2258" s="36"/>
    </row>
    <row r="2259">
      <c r="A2259" s="11"/>
      <c r="B2259" s="11"/>
      <c r="C2259" s="11"/>
      <c r="Q2259" s="36"/>
    </row>
    <row r="2260">
      <c r="A2260" s="11"/>
      <c r="B2260" s="11"/>
      <c r="C2260" s="11"/>
      <c r="Q2260" s="36"/>
    </row>
    <row r="2261">
      <c r="A2261" s="11"/>
      <c r="B2261" s="11"/>
      <c r="C2261" s="11"/>
      <c r="Q2261" s="36"/>
    </row>
    <row r="2262">
      <c r="A2262" s="11"/>
      <c r="B2262" s="11"/>
      <c r="C2262" s="11"/>
      <c r="Q2262" s="36"/>
    </row>
    <row r="2263">
      <c r="A2263" s="11"/>
      <c r="B2263" s="11"/>
      <c r="C2263" s="11"/>
      <c r="Q2263" s="36"/>
    </row>
    <row r="2264">
      <c r="A2264" s="11"/>
      <c r="B2264" s="11"/>
      <c r="C2264" s="11"/>
      <c r="Q2264" s="36"/>
    </row>
    <row r="2265">
      <c r="A2265" s="11"/>
      <c r="B2265" s="11"/>
      <c r="C2265" s="11"/>
      <c r="Q2265" s="36"/>
    </row>
    <row r="2266">
      <c r="A2266" s="11"/>
      <c r="B2266" s="11"/>
      <c r="C2266" s="11"/>
      <c r="Q2266" s="36"/>
    </row>
    <row r="2267">
      <c r="A2267" s="11"/>
      <c r="B2267" s="11"/>
      <c r="C2267" s="11"/>
      <c r="Q2267" s="36"/>
    </row>
    <row r="2268">
      <c r="A2268" s="11"/>
      <c r="B2268" s="11"/>
      <c r="C2268" s="11"/>
      <c r="Q2268" s="36"/>
    </row>
    <row r="2269">
      <c r="A2269" s="11"/>
      <c r="B2269" s="11"/>
      <c r="C2269" s="11"/>
      <c r="Q2269" s="36"/>
    </row>
    <row r="2270">
      <c r="A2270" s="11"/>
      <c r="B2270" s="11"/>
      <c r="C2270" s="11"/>
      <c r="Q2270" s="36"/>
    </row>
    <row r="2271">
      <c r="A2271" s="11"/>
      <c r="B2271" s="11"/>
      <c r="C2271" s="11"/>
      <c r="Q2271" s="36"/>
    </row>
    <row r="2272">
      <c r="A2272" s="11"/>
      <c r="B2272" s="11"/>
      <c r="C2272" s="11"/>
      <c r="Q2272" s="36"/>
    </row>
    <row r="2273">
      <c r="A2273" s="11"/>
      <c r="B2273" s="11"/>
      <c r="C2273" s="11"/>
      <c r="Q2273" s="36"/>
    </row>
    <row r="2274">
      <c r="A2274" s="11"/>
      <c r="B2274" s="11"/>
      <c r="C2274" s="11"/>
      <c r="Q2274" s="36"/>
    </row>
    <row r="2275">
      <c r="A2275" s="11"/>
      <c r="B2275" s="11"/>
      <c r="C2275" s="11"/>
      <c r="Q2275" s="36"/>
    </row>
    <row r="2276">
      <c r="A2276" s="11"/>
      <c r="B2276" s="11"/>
      <c r="C2276" s="11"/>
      <c r="Q2276" s="36"/>
    </row>
    <row r="2277">
      <c r="A2277" s="11"/>
      <c r="B2277" s="11"/>
      <c r="C2277" s="11"/>
      <c r="Q2277" s="36"/>
    </row>
    <row r="2278">
      <c r="A2278" s="11"/>
      <c r="B2278" s="11"/>
      <c r="C2278" s="11"/>
      <c r="Q2278" s="36"/>
    </row>
    <row r="2279">
      <c r="A2279" s="11"/>
      <c r="B2279" s="11"/>
      <c r="C2279" s="11"/>
      <c r="Q2279" s="36"/>
    </row>
    <row r="2280">
      <c r="A2280" s="11"/>
      <c r="B2280" s="11"/>
      <c r="C2280" s="11"/>
      <c r="Q2280" s="36"/>
    </row>
    <row r="2281">
      <c r="A2281" s="11"/>
      <c r="B2281" s="11"/>
      <c r="C2281" s="11"/>
      <c r="Q2281" s="36"/>
    </row>
    <row r="2282">
      <c r="A2282" s="11"/>
      <c r="B2282" s="11"/>
      <c r="C2282" s="11"/>
      <c r="Q2282" s="36"/>
    </row>
    <row r="2283">
      <c r="A2283" s="11"/>
      <c r="B2283" s="11"/>
      <c r="C2283" s="11"/>
      <c r="Q2283" s="36"/>
    </row>
    <row r="2284">
      <c r="A2284" s="11"/>
      <c r="B2284" s="11"/>
      <c r="C2284" s="11"/>
      <c r="Q2284" s="36"/>
    </row>
    <row r="2285">
      <c r="A2285" s="11"/>
      <c r="B2285" s="11"/>
      <c r="C2285" s="11"/>
      <c r="Q2285" s="36"/>
    </row>
    <row r="2286">
      <c r="A2286" s="11"/>
      <c r="B2286" s="11"/>
      <c r="C2286" s="11"/>
      <c r="Q2286" s="36"/>
    </row>
    <row r="2287">
      <c r="A2287" s="11"/>
      <c r="B2287" s="11"/>
      <c r="C2287" s="11"/>
      <c r="Q2287" s="36"/>
    </row>
    <row r="2288">
      <c r="A2288" s="11"/>
      <c r="B2288" s="11"/>
      <c r="C2288" s="11"/>
      <c r="Q2288" s="36"/>
    </row>
    <row r="2289">
      <c r="A2289" s="11"/>
      <c r="B2289" s="11"/>
      <c r="C2289" s="11"/>
      <c r="Q2289" s="36"/>
    </row>
    <row r="2290">
      <c r="A2290" s="11"/>
      <c r="B2290" s="11"/>
      <c r="C2290" s="11"/>
      <c r="Q2290" s="36"/>
    </row>
    <row r="2291">
      <c r="A2291" s="11"/>
      <c r="B2291" s="11"/>
      <c r="C2291" s="11"/>
      <c r="Q2291" s="36"/>
    </row>
    <row r="2292">
      <c r="A2292" s="11"/>
      <c r="B2292" s="11"/>
      <c r="C2292" s="11"/>
      <c r="Q2292" s="36"/>
    </row>
    <row r="2293">
      <c r="A2293" s="11"/>
      <c r="B2293" s="11"/>
      <c r="C2293" s="11"/>
      <c r="Q2293" s="36"/>
    </row>
    <row r="2294">
      <c r="A2294" s="11"/>
      <c r="B2294" s="11"/>
      <c r="C2294" s="11"/>
      <c r="Q2294" s="36"/>
    </row>
    <row r="2295">
      <c r="A2295" s="11"/>
      <c r="B2295" s="11"/>
      <c r="C2295" s="11"/>
      <c r="Q2295" s="36"/>
    </row>
    <row r="2296">
      <c r="A2296" s="11"/>
      <c r="B2296" s="11"/>
      <c r="C2296" s="11"/>
      <c r="Q2296" s="36"/>
    </row>
    <row r="2297">
      <c r="A2297" s="11"/>
      <c r="B2297" s="11"/>
      <c r="C2297" s="11"/>
      <c r="Q2297" s="36"/>
    </row>
    <row r="2298">
      <c r="A2298" s="11"/>
      <c r="B2298" s="11"/>
      <c r="C2298" s="11"/>
      <c r="Q2298" s="36"/>
    </row>
    <row r="2299">
      <c r="A2299" s="11"/>
      <c r="B2299" s="11"/>
      <c r="C2299" s="11"/>
      <c r="Q2299" s="36"/>
    </row>
    <row r="2300">
      <c r="A2300" s="11"/>
      <c r="B2300" s="11"/>
      <c r="C2300" s="11"/>
      <c r="Q2300" s="36"/>
    </row>
    <row r="2301">
      <c r="A2301" s="11"/>
      <c r="B2301" s="11"/>
      <c r="C2301" s="11"/>
      <c r="Q2301" s="36"/>
    </row>
    <row r="2302">
      <c r="A2302" s="11"/>
      <c r="B2302" s="11"/>
      <c r="C2302" s="11"/>
      <c r="Q2302" s="36"/>
    </row>
    <row r="2303">
      <c r="A2303" s="11"/>
      <c r="B2303" s="11"/>
      <c r="C2303" s="11"/>
      <c r="Q2303" s="36"/>
    </row>
    <row r="2304">
      <c r="A2304" s="11"/>
      <c r="B2304" s="11"/>
      <c r="C2304" s="11"/>
      <c r="Q2304" s="36"/>
    </row>
    <row r="2305">
      <c r="A2305" s="11"/>
      <c r="B2305" s="11"/>
      <c r="C2305" s="11"/>
      <c r="Q2305" s="36"/>
    </row>
    <row r="2306">
      <c r="A2306" s="11"/>
      <c r="B2306" s="11"/>
      <c r="C2306" s="11"/>
      <c r="Q2306" s="36"/>
    </row>
    <row r="2307">
      <c r="A2307" s="11"/>
      <c r="B2307" s="11"/>
      <c r="C2307" s="11"/>
      <c r="Q2307" s="36"/>
    </row>
    <row r="2308">
      <c r="A2308" s="11"/>
      <c r="B2308" s="11"/>
      <c r="C2308" s="11"/>
      <c r="Q2308" s="36"/>
    </row>
    <row r="2309">
      <c r="A2309" s="11"/>
      <c r="B2309" s="11"/>
      <c r="C2309" s="11"/>
      <c r="Q2309" s="36"/>
    </row>
    <row r="2310">
      <c r="A2310" s="11"/>
      <c r="B2310" s="11"/>
      <c r="C2310" s="11"/>
      <c r="Q2310" s="36"/>
    </row>
    <row r="2311">
      <c r="A2311" s="11"/>
      <c r="B2311" s="11"/>
      <c r="C2311" s="11"/>
      <c r="Q2311" s="36"/>
    </row>
    <row r="2312">
      <c r="A2312" s="11"/>
      <c r="B2312" s="11"/>
      <c r="C2312" s="11"/>
      <c r="Q2312" s="36"/>
    </row>
    <row r="2313">
      <c r="A2313" s="11"/>
      <c r="B2313" s="11"/>
      <c r="C2313" s="11"/>
      <c r="Q2313" s="36"/>
    </row>
    <row r="2314">
      <c r="A2314" s="11"/>
      <c r="B2314" s="11"/>
      <c r="C2314" s="11"/>
      <c r="Q2314" s="36"/>
    </row>
    <row r="2315">
      <c r="A2315" s="11"/>
      <c r="B2315" s="11"/>
      <c r="C2315" s="11"/>
      <c r="Q2315" s="36"/>
    </row>
    <row r="2316">
      <c r="A2316" s="11"/>
      <c r="B2316" s="11"/>
      <c r="C2316" s="11"/>
      <c r="Q2316" s="36"/>
    </row>
    <row r="2317">
      <c r="A2317" s="11"/>
      <c r="B2317" s="11"/>
      <c r="C2317" s="11"/>
      <c r="Q2317" s="36"/>
    </row>
    <row r="2318">
      <c r="A2318" s="11"/>
      <c r="B2318" s="11"/>
      <c r="C2318" s="11"/>
      <c r="Q2318" s="36"/>
    </row>
    <row r="2319">
      <c r="A2319" s="11"/>
      <c r="B2319" s="11"/>
      <c r="C2319" s="11"/>
      <c r="Q2319" s="36"/>
    </row>
    <row r="2320">
      <c r="A2320" s="11"/>
      <c r="B2320" s="11"/>
      <c r="C2320" s="11"/>
      <c r="Q2320" s="36"/>
    </row>
    <row r="2321">
      <c r="A2321" s="11"/>
      <c r="B2321" s="11"/>
      <c r="C2321" s="11"/>
      <c r="Q2321" s="36"/>
    </row>
    <row r="2322">
      <c r="A2322" s="11"/>
      <c r="B2322" s="11"/>
      <c r="C2322" s="11"/>
      <c r="Q2322" s="36"/>
    </row>
    <row r="2323">
      <c r="A2323" s="11"/>
      <c r="B2323" s="11"/>
      <c r="C2323" s="11"/>
      <c r="Q2323" s="36"/>
    </row>
    <row r="2324">
      <c r="A2324" s="11"/>
      <c r="B2324" s="11"/>
      <c r="C2324" s="11"/>
      <c r="Q2324" s="36"/>
    </row>
    <row r="2325">
      <c r="A2325" s="11"/>
      <c r="B2325" s="11"/>
      <c r="C2325" s="11"/>
      <c r="Q2325" s="36"/>
    </row>
    <row r="2326">
      <c r="A2326" s="11"/>
      <c r="B2326" s="11"/>
      <c r="C2326" s="11"/>
      <c r="Q2326" s="36"/>
    </row>
    <row r="2327">
      <c r="A2327" s="11"/>
      <c r="B2327" s="11"/>
      <c r="C2327" s="11"/>
      <c r="Q2327" s="36"/>
    </row>
    <row r="2328">
      <c r="A2328" s="11"/>
      <c r="B2328" s="11"/>
      <c r="C2328" s="11"/>
      <c r="Q2328" s="36"/>
    </row>
    <row r="2329">
      <c r="A2329" s="11"/>
      <c r="B2329" s="11"/>
      <c r="C2329" s="11"/>
      <c r="Q2329" s="36"/>
    </row>
    <row r="2330">
      <c r="A2330" s="11"/>
      <c r="B2330" s="11"/>
      <c r="C2330" s="11"/>
      <c r="Q2330" s="36"/>
    </row>
    <row r="2331">
      <c r="A2331" s="11"/>
      <c r="B2331" s="11"/>
      <c r="C2331" s="11"/>
      <c r="Q2331" s="36"/>
    </row>
    <row r="2332">
      <c r="A2332" s="11"/>
      <c r="B2332" s="11"/>
      <c r="C2332" s="11"/>
      <c r="Q2332" s="36"/>
    </row>
    <row r="2333">
      <c r="A2333" s="11"/>
      <c r="B2333" s="11"/>
      <c r="C2333" s="11"/>
      <c r="Q2333" s="36"/>
    </row>
    <row r="2334">
      <c r="A2334" s="11"/>
      <c r="B2334" s="11"/>
      <c r="C2334" s="11"/>
      <c r="Q2334" s="36"/>
    </row>
    <row r="2335">
      <c r="A2335" s="11"/>
      <c r="B2335" s="11"/>
      <c r="C2335" s="11"/>
      <c r="Q2335" s="36"/>
    </row>
    <row r="2336">
      <c r="A2336" s="11"/>
      <c r="B2336" s="11"/>
      <c r="C2336" s="11"/>
      <c r="Q2336" s="36"/>
    </row>
    <row r="2337">
      <c r="A2337" s="11"/>
      <c r="B2337" s="11"/>
      <c r="C2337" s="11"/>
      <c r="Q2337" s="36"/>
    </row>
    <row r="2338">
      <c r="A2338" s="11"/>
      <c r="B2338" s="11"/>
      <c r="C2338" s="11"/>
      <c r="Q2338" s="36"/>
    </row>
    <row r="2339">
      <c r="A2339" s="11"/>
      <c r="B2339" s="11"/>
      <c r="C2339" s="11"/>
      <c r="Q2339" s="36"/>
    </row>
    <row r="2340">
      <c r="A2340" s="11"/>
      <c r="B2340" s="11"/>
      <c r="C2340" s="11"/>
      <c r="Q2340" s="36"/>
    </row>
    <row r="2341">
      <c r="A2341" s="11"/>
      <c r="B2341" s="11"/>
      <c r="C2341" s="11"/>
      <c r="Q2341" s="36"/>
    </row>
    <row r="2342">
      <c r="A2342" s="11"/>
      <c r="B2342" s="11"/>
      <c r="C2342" s="11"/>
      <c r="Q2342" s="36"/>
    </row>
    <row r="2343">
      <c r="A2343" s="11"/>
      <c r="B2343" s="11"/>
      <c r="C2343" s="11"/>
      <c r="Q2343" s="36"/>
    </row>
    <row r="2344">
      <c r="A2344" s="11"/>
      <c r="B2344" s="11"/>
      <c r="C2344" s="11"/>
      <c r="Q2344" s="36"/>
    </row>
    <row r="2345">
      <c r="A2345" s="11"/>
      <c r="B2345" s="11"/>
      <c r="C2345" s="11"/>
      <c r="Q2345" s="36"/>
    </row>
    <row r="2346">
      <c r="A2346" s="11"/>
      <c r="B2346" s="11"/>
      <c r="C2346" s="11"/>
      <c r="Q2346" s="36"/>
    </row>
    <row r="2347">
      <c r="A2347" s="11"/>
      <c r="B2347" s="11"/>
      <c r="C2347" s="11"/>
      <c r="Q2347" s="36"/>
    </row>
    <row r="2348">
      <c r="A2348" s="11"/>
      <c r="B2348" s="11"/>
      <c r="C2348" s="11"/>
      <c r="Q2348" s="36"/>
    </row>
    <row r="2349">
      <c r="A2349" s="11"/>
      <c r="B2349" s="11"/>
      <c r="C2349" s="11"/>
      <c r="Q2349" s="36"/>
    </row>
    <row r="2350">
      <c r="A2350" s="11"/>
      <c r="B2350" s="11"/>
      <c r="C2350" s="11"/>
      <c r="Q2350" s="36"/>
    </row>
    <row r="2351">
      <c r="A2351" s="11"/>
      <c r="B2351" s="11"/>
      <c r="C2351" s="11"/>
      <c r="Q2351" s="36"/>
    </row>
    <row r="2352">
      <c r="A2352" s="11"/>
      <c r="B2352" s="11"/>
      <c r="C2352" s="11"/>
      <c r="Q2352" s="36"/>
    </row>
    <row r="2353">
      <c r="A2353" s="11"/>
      <c r="B2353" s="11"/>
      <c r="C2353" s="11"/>
      <c r="Q2353" s="36"/>
    </row>
    <row r="2354">
      <c r="A2354" s="11"/>
      <c r="B2354" s="11"/>
      <c r="C2354" s="11"/>
      <c r="Q2354" s="36"/>
    </row>
    <row r="2355">
      <c r="A2355" s="11"/>
      <c r="B2355" s="11"/>
      <c r="C2355" s="11"/>
      <c r="Q2355" s="36"/>
    </row>
    <row r="2356">
      <c r="A2356" s="11"/>
      <c r="B2356" s="11"/>
      <c r="C2356" s="11"/>
      <c r="Q2356" s="36"/>
    </row>
    <row r="2357">
      <c r="A2357" s="11"/>
      <c r="B2357" s="11"/>
      <c r="C2357" s="11"/>
      <c r="Q2357" s="36"/>
    </row>
    <row r="2358">
      <c r="A2358" s="11"/>
      <c r="B2358" s="11"/>
      <c r="C2358" s="11"/>
      <c r="Q2358" s="36"/>
    </row>
    <row r="2359">
      <c r="A2359" s="11"/>
      <c r="B2359" s="11"/>
      <c r="C2359" s="11"/>
      <c r="Q2359" s="36"/>
    </row>
    <row r="2360">
      <c r="A2360" s="11"/>
      <c r="B2360" s="11"/>
      <c r="C2360" s="11"/>
      <c r="Q2360" s="36"/>
    </row>
    <row r="2361">
      <c r="A2361" s="11"/>
      <c r="B2361" s="11"/>
      <c r="C2361" s="11"/>
      <c r="Q2361" s="36"/>
    </row>
    <row r="2362">
      <c r="A2362" s="11"/>
      <c r="B2362" s="11"/>
      <c r="C2362" s="11"/>
      <c r="Q2362" s="36"/>
    </row>
    <row r="2363">
      <c r="A2363" s="11"/>
      <c r="B2363" s="11"/>
      <c r="C2363" s="11"/>
      <c r="Q2363" s="36"/>
    </row>
    <row r="2364">
      <c r="A2364" s="11"/>
      <c r="B2364" s="11"/>
      <c r="C2364" s="11"/>
      <c r="Q2364" s="36"/>
    </row>
    <row r="2365">
      <c r="A2365" s="11"/>
      <c r="B2365" s="11"/>
      <c r="C2365" s="11"/>
      <c r="Q2365" s="36"/>
    </row>
    <row r="2366">
      <c r="A2366" s="11"/>
      <c r="B2366" s="11"/>
      <c r="C2366" s="11"/>
      <c r="Q2366" s="36"/>
    </row>
    <row r="2367">
      <c r="A2367" s="11"/>
      <c r="B2367" s="11"/>
      <c r="C2367" s="11"/>
      <c r="Q2367" s="36"/>
    </row>
    <row r="2368">
      <c r="A2368" s="11"/>
      <c r="B2368" s="11"/>
      <c r="C2368" s="11"/>
      <c r="Q2368" s="36"/>
    </row>
    <row r="2369">
      <c r="A2369" s="11"/>
      <c r="B2369" s="11"/>
      <c r="C2369" s="11"/>
      <c r="Q2369" s="36"/>
    </row>
    <row r="2370">
      <c r="A2370" s="11"/>
      <c r="B2370" s="11"/>
      <c r="C2370" s="11"/>
      <c r="Q2370" s="36"/>
    </row>
    <row r="2371">
      <c r="A2371" s="11"/>
      <c r="B2371" s="11"/>
      <c r="C2371" s="11"/>
      <c r="Q2371" s="36"/>
    </row>
    <row r="2372">
      <c r="A2372" s="11"/>
      <c r="B2372" s="11"/>
      <c r="C2372" s="11"/>
      <c r="Q2372" s="36"/>
    </row>
    <row r="2373">
      <c r="A2373" s="11"/>
      <c r="B2373" s="11"/>
      <c r="C2373" s="11"/>
      <c r="Q2373" s="36"/>
    </row>
    <row r="2374">
      <c r="A2374" s="11"/>
      <c r="B2374" s="11"/>
      <c r="C2374" s="11"/>
      <c r="Q2374" s="36"/>
    </row>
    <row r="2375">
      <c r="A2375" s="11"/>
      <c r="B2375" s="11"/>
      <c r="C2375" s="11"/>
      <c r="Q2375" s="36"/>
    </row>
    <row r="2376">
      <c r="A2376" s="11"/>
      <c r="B2376" s="11"/>
      <c r="C2376" s="11"/>
      <c r="Q2376" s="36"/>
    </row>
    <row r="2377">
      <c r="A2377" s="11"/>
      <c r="B2377" s="11"/>
      <c r="C2377" s="11"/>
      <c r="Q2377" s="36"/>
    </row>
    <row r="2378">
      <c r="A2378" s="11"/>
      <c r="B2378" s="11"/>
      <c r="C2378" s="11"/>
      <c r="Q2378" s="36"/>
    </row>
    <row r="2379">
      <c r="A2379" s="11"/>
      <c r="B2379" s="11"/>
      <c r="C2379" s="11"/>
      <c r="Q2379" s="36"/>
    </row>
    <row r="2380">
      <c r="A2380" s="11"/>
      <c r="B2380" s="11"/>
      <c r="C2380" s="11"/>
      <c r="Q2380" s="36"/>
    </row>
    <row r="2381">
      <c r="A2381" s="11"/>
      <c r="B2381" s="11"/>
      <c r="C2381" s="11"/>
      <c r="Q2381" s="36"/>
    </row>
    <row r="2382">
      <c r="A2382" s="11"/>
      <c r="B2382" s="11"/>
      <c r="C2382" s="11"/>
      <c r="Q2382" s="36"/>
    </row>
    <row r="2383">
      <c r="A2383" s="11"/>
      <c r="B2383" s="11"/>
      <c r="C2383" s="11"/>
      <c r="Q2383" s="36"/>
    </row>
    <row r="2384">
      <c r="A2384" s="11"/>
      <c r="B2384" s="11"/>
      <c r="C2384" s="11"/>
      <c r="Q2384" s="36"/>
    </row>
    <row r="2385">
      <c r="A2385" s="11"/>
      <c r="B2385" s="11"/>
      <c r="C2385" s="11"/>
      <c r="Q2385" s="36"/>
    </row>
    <row r="2386">
      <c r="A2386" s="11"/>
      <c r="B2386" s="11"/>
      <c r="C2386" s="11"/>
      <c r="Q2386" s="36"/>
    </row>
    <row r="2387">
      <c r="A2387" s="11"/>
      <c r="B2387" s="11"/>
      <c r="C2387" s="11"/>
      <c r="Q2387" s="36"/>
    </row>
    <row r="2388">
      <c r="A2388" s="11"/>
      <c r="B2388" s="11"/>
      <c r="C2388" s="11"/>
      <c r="Q2388" s="36"/>
    </row>
    <row r="2389">
      <c r="A2389" s="11"/>
      <c r="B2389" s="11"/>
      <c r="C2389" s="11"/>
      <c r="Q2389" s="36"/>
    </row>
    <row r="2390">
      <c r="A2390" s="11"/>
      <c r="B2390" s="11"/>
      <c r="C2390" s="11"/>
      <c r="Q2390" s="36"/>
    </row>
    <row r="2391">
      <c r="A2391" s="11"/>
      <c r="B2391" s="11"/>
      <c r="C2391" s="11"/>
      <c r="Q2391" s="36"/>
    </row>
    <row r="2392">
      <c r="A2392" s="11"/>
      <c r="B2392" s="11"/>
      <c r="C2392" s="11"/>
      <c r="Q2392" s="36"/>
    </row>
    <row r="2393">
      <c r="A2393" s="11"/>
      <c r="B2393" s="11"/>
      <c r="C2393" s="11"/>
      <c r="Q2393" s="36"/>
    </row>
    <row r="2394">
      <c r="A2394" s="11"/>
      <c r="B2394" s="11"/>
      <c r="C2394" s="11"/>
      <c r="Q2394" s="36"/>
    </row>
    <row r="2395">
      <c r="A2395" s="11"/>
      <c r="B2395" s="11"/>
      <c r="C2395" s="11"/>
      <c r="Q2395" s="36"/>
    </row>
    <row r="2396">
      <c r="A2396" s="11"/>
      <c r="B2396" s="11"/>
      <c r="C2396" s="11"/>
      <c r="Q2396" s="36"/>
    </row>
    <row r="2397">
      <c r="A2397" s="11"/>
      <c r="B2397" s="11"/>
      <c r="C2397" s="11"/>
      <c r="Q2397" s="36"/>
    </row>
    <row r="2398">
      <c r="A2398" s="11"/>
      <c r="B2398" s="11"/>
      <c r="C2398" s="11"/>
      <c r="Q2398" s="36"/>
    </row>
    <row r="2399">
      <c r="A2399" s="11"/>
      <c r="B2399" s="11"/>
      <c r="C2399" s="11"/>
      <c r="Q2399" s="36"/>
    </row>
    <row r="2400">
      <c r="A2400" s="11"/>
      <c r="B2400" s="11"/>
      <c r="C2400" s="11"/>
      <c r="Q2400" s="36"/>
    </row>
    <row r="2401">
      <c r="A2401" s="11"/>
      <c r="B2401" s="11"/>
      <c r="C2401" s="11"/>
      <c r="Q2401" s="36"/>
    </row>
    <row r="2402">
      <c r="A2402" s="11"/>
      <c r="B2402" s="11"/>
      <c r="C2402" s="11"/>
      <c r="Q2402" s="36"/>
    </row>
    <row r="2403">
      <c r="A2403" s="11"/>
      <c r="B2403" s="11"/>
      <c r="C2403" s="11"/>
      <c r="Q2403" s="36"/>
    </row>
    <row r="2404">
      <c r="A2404" s="11"/>
      <c r="B2404" s="11"/>
      <c r="C2404" s="11"/>
      <c r="Q2404" s="36"/>
    </row>
    <row r="2405">
      <c r="A2405" s="11"/>
      <c r="B2405" s="11"/>
      <c r="C2405" s="11"/>
      <c r="Q2405" s="36"/>
    </row>
    <row r="2406">
      <c r="A2406" s="11"/>
      <c r="B2406" s="11"/>
      <c r="C2406" s="11"/>
      <c r="Q2406" s="36"/>
    </row>
    <row r="2407">
      <c r="A2407" s="11"/>
      <c r="B2407" s="11"/>
      <c r="C2407" s="11"/>
      <c r="Q2407" s="36"/>
    </row>
    <row r="2408">
      <c r="A2408" s="11"/>
      <c r="B2408" s="11"/>
      <c r="C2408" s="11"/>
      <c r="Q2408" s="36"/>
    </row>
    <row r="2409">
      <c r="A2409" s="11"/>
      <c r="B2409" s="11"/>
      <c r="C2409" s="11"/>
      <c r="Q2409" s="36"/>
    </row>
    <row r="2410">
      <c r="A2410" s="11"/>
      <c r="B2410" s="11"/>
      <c r="C2410" s="11"/>
      <c r="Q2410" s="36"/>
    </row>
    <row r="2411">
      <c r="A2411" s="11"/>
      <c r="B2411" s="11"/>
      <c r="C2411" s="11"/>
      <c r="Q2411" s="36"/>
    </row>
    <row r="2412">
      <c r="A2412" s="11"/>
      <c r="B2412" s="11"/>
      <c r="C2412" s="11"/>
      <c r="Q2412" s="36"/>
    </row>
    <row r="2413">
      <c r="A2413" s="11"/>
      <c r="B2413" s="11"/>
      <c r="C2413" s="11"/>
      <c r="Q2413" s="36"/>
    </row>
    <row r="2414">
      <c r="A2414" s="11"/>
      <c r="B2414" s="11"/>
      <c r="C2414" s="11"/>
      <c r="Q2414" s="36"/>
    </row>
    <row r="2415">
      <c r="A2415" s="11"/>
      <c r="B2415" s="11"/>
      <c r="C2415" s="11"/>
      <c r="Q2415" s="36"/>
    </row>
    <row r="2416">
      <c r="A2416" s="11"/>
      <c r="B2416" s="11"/>
      <c r="C2416" s="11"/>
      <c r="Q2416" s="36"/>
    </row>
    <row r="2417">
      <c r="A2417" s="11"/>
      <c r="B2417" s="11"/>
      <c r="C2417" s="11"/>
      <c r="Q2417" s="36"/>
    </row>
    <row r="2418">
      <c r="A2418" s="11"/>
      <c r="B2418" s="11"/>
      <c r="C2418" s="11"/>
      <c r="Q2418" s="36"/>
    </row>
    <row r="2419">
      <c r="A2419" s="11"/>
      <c r="B2419" s="11"/>
      <c r="C2419" s="11"/>
      <c r="Q2419" s="36"/>
    </row>
    <row r="2420">
      <c r="A2420" s="11"/>
      <c r="B2420" s="11"/>
      <c r="C2420" s="11"/>
      <c r="Q2420" s="36"/>
    </row>
    <row r="2421">
      <c r="A2421" s="11"/>
      <c r="B2421" s="11"/>
      <c r="C2421" s="11"/>
      <c r="Q2421" s="36"/>
    </row>
    <row r="2422">
      <c r="A2422" s="11"/>
      <c r="B2422" s="11"/>
      <c r="C2422" s="11"/>
      <c r="Q2422" s="36"/>
    </row>
    <row r="2423">
      <c r="A2423" s="11"/>
      <c r="B2423" s="11"/>
      <c r="C2423" s="11"/>
      <c r="Q2423" s="36"/>
    </row>
    <row r="2424">
      <c r="A2424" s="11"/>
      <c r="B2424" s="11"/>
      <c r="C2424" s="11"/>
      <c r="Q2424" s="36"/>
    </row>
    <row r="2425">
      <c r="A2425" s="11"/>
      <c r="B2425" s="11"/>
      <c r="C2425" s="11"/>
      <c r="Q2425" s="36"/>
    </row>
    <row r="2426">
      <c r="A2426" s="11"/>
      <c r="B2426" s="11"/>
      <c r="C2426" s="11"/>
      <c r="Q2426" s="36"/>
    </row>
    <row r="2427">
      <c r="A2427" s="11"/>
      <c r="B2427" s="11"/>
      <c r="C2427" s="11"/>
      <c r="Q2427" s="36"/>
    </row>
    <row r="2428">
      <c r="A2428" s="11"/>
      <c r="B2428" s="11"/>
      <c r="C2428" s="11"/>
      <c r="Q2428" s="36"/>
    </row>
    <row r="2429">
      <c r="A2429" s="11"/>
      <c r="B2429" s="11"/>
      <c r="C2429" s="11"/>
      <c r="Q2429" s="36"/>
    </row>
    <row r="2430">
      <c r="A2430" s="11"/>
      <c r="B2430" s="11"/>
      <c r="C2430" s="11"/>
      <c r="Q2430" s="36"/>
    </row>
    <row r="2431">
      <c r="A2431" s="11"/>
      <c r="B2431" s="11"/>
      <c r="C2431" s="11"/>
      <c r="Q2431" s="36"/>
    </row>
    <row r="2432">
      <c r="A2432" s="11"/>
      <c r="B2432" s="11"/>
      <c r="C2432" s="11"/>
      <c r="Q2432" s="36"/>
    </row>
    <row r="2433">
      <c r="A2433" s="11"/>
      <c r="B2433" s="11"/>
      <c r="C2433" s="11"/>
      <c r="Q2433" s="36"/>
    </row>
    <row r="2434">
      <c r="A2434" s="11"/>
      <c r="B2434" s="11"/>
      <c r="C2434" s="11"/>
      <c r="Q2434" s="36"/>
    </row>
    <row r="2435">
      <c r="A2435" s="11"/>
      <c r="B2435" s="11"/>
      <c r="C2435" s="11"/>
      <c r="Q2435" s="36"/>
    </row>
    <row r="2436">
      <c r="A2436" s="11"/>
      <c r="B2436" s="11"/>
      <c r="C2436" s="11"/>
      <c r="Q2436" s="36"/>
    </row>
    <row r="2437">
      <c r="A2437" s="11"/>
      <c r="B2437" s="11"/>
      <c r="C2437" s="11"/>
      <c r="Q2437" s="36"/>
    </row>
    <row r="2438">
      <c r="A2438" s="11"/>
      <c r="B2438" s="11"/>
      <c r="C2438" s="11"/>
      <c r="Q2438" s="36"/>
    </row>
    <row r="2439">
      <c r="A2439" s="11"/>
      <c r="B2439" s="11"/>
      <c r="C2439" s="11"/>
      <c r="Q2439" s="36"/>
    </row>
    <row r="2440">
      <c r="A2440" s="11"/>
      <c r="B2440" s="11"/>
      <c r="C2440" s="11"/>
      <c r="Q2440" s="36"/>
    </row>
    <row r="2441">
      <c r="A2441" s="11"/>
      <c r="B2441" s="11"/>
      <c r="C2441" s="11"/>
      <c r="Q2441" s="36"/>
    </row>
    <row r="2442">
      <c r="A2442" s="11"/>
      <c r="B2442" s="11"/>
      <c r="C2442" s="11"/>
      <c r="Q2442" s="36"/>
    </row>
    <row r="2443">
      <c r="A2443" s="11"/>
      <c r="B2443" s="11"/>
      <c r="C2443" s="11"/>
      <c r="Q2443" s="36"/>
    </row>
    <row r="2444">
      <c r="A2444" s="11"/>
      <c r="B2444" s="11"/>
      <c r="C2444" s="11"/>
      <c r="Q2444" s="36"/>
    </row>
    <row r="2445">
      <c r="A2445" s="11"/>
      <c r="B2445" s="11"/>
      <c r="C2445" s="11"/>
      <c r="Q2445" s="36"/>
    </row>
    <row r="2446">
      <c r="A2446" s="11"/>
      <c r="B2446" s="11"/>
      <c r="C2446" s="11"/>
      <c r="Q2446" s="36"/>
    </row>
    <row r="2447">
      <c r="A2447" s="11"/>
      <c r="B2447" s="11"/>
      <c r="C2447" s="11"/>
      <c r="Q2447" s="36"/>
    </row>
    <row r="2448">
      <c r="A2448" s="11"/>
      <c r="B2448" s="11"/>
      <c r="C2448" s="11"/>
      <c r="Q2448" s="36"/>
    </row>
    <row r="2449">
      <c r="A2449" s="11"/>
      <c r="B2449" s="11"/>
      <c r="C2449" s="11"/>
      <c r="Q2449" s="36"/>
    </row>
    <row r="2450">
      <c r="A2450" s="11"/>
      <c r="B2450" s="11"/>
      <c r="C2450" s="11"/>
      <c r="Q2450" s="36"/>
    </row>
    <row r="2451">
      <c r="A2451" s="11"/>
      <c r="B2451" s="11"/>
      <c r="C2451" s="11"/>
      <c r="Q2451" s="36"/>
    </row>
    <row r="2452">
      <c r="A2452" s="11"/>
      <c r="B2452" s="11"/>
      <c r="C2452" s="11"/>
      <c r="Q2452" s="36"/>
    </row>
    <row r="2453">
      <c r="A2453" s="11"/>
      <c r="B2453" s="11"/>
      <c r="C2453" s="11"/>
      <c r="Q2453" s="36"/>
    </row>
    <row r="2454">
      <c r="A2454" s="11"/>
      <c r="B2454" s="11"/>
      <c r="C2454" s="11"/>
      <c r="Q2454" s="36"/>
    </row>
    <row r="2455">
      <c r="A2455" s="11"/>
      <c r="B2455" s="11"/>
      <c r="C2455" s="11"/>
      <c r="Q2455" s="36"/>
    </row>
    <row r="2456">
      <c r="A2456" s="11"/>
      <c r="B2456" s="11"/>
      <c r="C2456" s="11"/>
      <c r="Q2456" s="36"/>
    </row>
    <row r="2457">
      <c r="A2457" s="11"/>
      <c r="B2457" s="11"/>
      <c r="C2457" s="11"/>
      <c r="Q2457" s="36"/>
    </row>
    <row r="2458">
      <c r="A2458" s="11"/>
      <c r="B2458" s="11"/>
      <c r="C2458" s="11"/>
      <c r="Q2458" s="36"/>
    </row>
    <row r="2459">
      <c r="A2459" s="11"/>
      <c r="B2459" s="11"/>
      <c r="C2459" s="11"/>
      <c r="Q2459" s="36"/>
    </row>
    <row r="2460">
      <c r="A2460" s="11"/>
      <c r="B2460" s="11"/>
      <c r="C2460" s="11"/>
      <c r="Q2460" s="36"/>
    </row>
    <row r="2461">
      <c r="A2461" s="11"/>
      <c r="B2461" s="11"/>
      <c r="C2461" s="11"/>
      <c r="Q2461" s="36"/>
    </row>
    <row r="2462">
      <c r="A2462" s="11"/>
      <c r="B2462" s="11"/>
      <c r="C2462" s="11"/>
      <c r="Q2462" s="36"/>
    </row>
    <row r="2463">
      <c r="A2463" s="11"/>
      <c r="B2463" s="11"/>
      <c r="C2463" s="11"/>
      <c r="Q2463" s="36"/>
    </row>
    <row r="2464">
      <c r="A2464" s="11"/>
      <c r="B2464" s="11"/>
      <c r="C2464" s="11"/>
      <c r="Q2464" s="36"/>
    </row>
    <row r="2465">
      <c r="A2465" s="11"/>
      <c r="B2465" s="11"/>
      <c r="C2465" s="11"/>
      <c r="Q2465" s="36"/>
    </row>
    <row r="2466">
      <c r="A2466" s="11"/>
      <c r="B2466" s="11"/>
      <c r="C2466" s="11"/>
      <c r="Q2466" s="36"/>
    </row>
    <row r="2467">
      <c r="A2467" s="11"/>
      <c r="B2467" s="11"/>
      <c r="C2467" s="11"/>
      <c r="Q2467" s="36"/>
    </row>
    <row r="2468">
      <c r="A2468" s="11"/>
      <c r="B2468" s="11"/>
      <c r="C2468" s="11"/>
      <c r="Q2468" s="36"/>
    </row>
    <row r="2469">
      <c r="A2469" s="11"/>
      <c r="B2469" s="11"/>
      <c r="C2469" s="11"/>
      <c r="Q2469" s="36"/>
    </row>
    <row r="2470">
      <c r="A2470" s="11"/>
      <c r="B2470" s="11"/>
      <c r="C2470" s="11"/>
      <c r="Q2470" s="36"/>
    </row>
    <row r="2471">
      <c r="A2471" s="11"/>
      <c r="B2471" s="11"/>
      <c r="C2471" s="11"/>
      <c r="Q2471" s="36"/>
    </row>
    <row r="2472">
      <c r="A2472" s="11"/>
      <c r="B2472" s="11"/>
      <c r="C2472" s="11"/>
      <c r="Q2472" s="36"/>
    </row>
    <row r="2473">
      <c r="A2473" s="11"/>
      <c r="B2473" s="11"/>
      <c r="C2473" s="11"/>
      <c r="Q2473" s="36"/>
    </row>
    <row r="2474">
      <c r="A2474" s="11"/>
      <c r="B2474" s="11"/>
      <c r="C2474" s="11"/>
      <c r="Q2474" s="36"/>
    </row>
    <row r="2475">
      <c r="A2475" s="11"/>
      <c r="B2475" s="11"/>
      <c r="C2475" s="11"/>
      <c r="Q2475" s="36"/>
    </row>
    <row r="2476">
      <c r="A2476" s="11"/>
      <c r="B2476" s="11"/>
      <c r="C2476" s="11"/>
      <c r="Q2476" s="36"/>
    </row>
    <row r="2477">
      <c r="A2477" s="11"/>
      <c r="B2477" s="11"/>
      <c r="C2477" s="11"/>
      <c r="Q2477" s="36"/>
    </row>
    <row r="2478">
      <c r="A2478" s="11"/>
      <c r="B2478" s="11"/>
      <c r="C2478" s="11"/>
      <c r="Q2478" s="36"/>
    </row>
    <row r="2479">
      <c r="A2479" s="11"/>
      <c r="B2479" s="11"/>
      <c r="C2479" s="11"/>
      <c r="Q2479" s="36"/>
    </row>
    <row r="2480">
      <c r="A2480" s="11"/>
      <c r="B2480" s="11"/>
      <c r="C2480" s="11"/>
      <c r="Q2480" s="36"/>
    </row>
    <row r="2481">
      <c r="A2481" s="11"/>
      <c r="B2481" s="11"/>
      <c r="C2481" s="11"/>
      <c r="Q2481" s="36"/>
    </row>
    <row r="2482">
      <c r="A2482" s="11"/>
      <c r="B2482" s="11"/>
      <c r="C2482" s="11"/>
      <c r="Q2482" s="36"/>
    </row>
    <row r="2483">
      <c r="A2483" s="11"/>
      <c r="B2483" s="11"/>
      <c r="C2483" s="11"/>
      <c r="Q2483" s="36"/>
    </row>
    <row r="2484">
      <c r="A2484" s="11"/>
      <c r="B2484" s="11"/>
      <c r="C2484" s="11"/>
      <c r="Q2484" s="36"/>
    </row>
    <row r="2485">
      <c r="A2485" s="11"/>
      <c r="B2485" s="11"/>
      <c r="C2485" s="11"/>
      <c r="Q2485" s="36"/>
    </row>
    <row r="2486">
      <c r="A2486" s="11"/>
      <c r="B2486" s="11"/>
      <c r="C2486" s="11"/>
      <c r="Q2486" s="36"/>
    </row>
    <row r="2487">
      <c r="A2487" s="11"/>
      <c r="B2487" s="11"/>
      <c r="C2487" s="11"/>
      <c r="Q2487" s="36"/>
    </row>
    <row r="2488">
      <c r="A2488" s="11"/>
      <c r="B2488" s="11"/>
      <c r="C2488" s="11"/>
      <c r="Q2488" s="36"/>
    </row>
    <row r="2489">
      <c r="A2489" s="11"/>
      <c r="B2489" s="11"/>
      <c r="C2489" s="11"/>
      <c r="Q2489" s="36"/>
    </row>
    <row r="2490">
      <c r="A2490" s="11"/>
      <c r="B2490" s="11"/>
      <c r="C2490" s="11"/>
      <c r="Q2490" s="36"/>
    </row>
    <row r="2491">
      <c r="A2491" s="11"/>
      <c r="B2491" s="11"/>
      <c r="C2491" s="11"/>
      <c r="Q2491" s="36"/>
    </row>
    <row r="2492">
      <c r="A2492" s="11"/>
      <c r="B2492" s="11"/>
      <c r="C2492" s="11"/>
      <c r="Q2492" s="36"/>
    </row>
    <row r="2493">
      <c r="A2493" s="11"/>
      <c r="B2493" s="11"/>
      <c r="C2493" s="11"/>
      <c r="Q2493" s="36"/>
    </row>
    <row r="2494">
      <c r="A2494" s="11"/>
      <c r="B2494" s="11"/>
      <c r="C2494" s="11"/>
      <c r="Q2494" s="36"/>
    </row>
    <row r="2495">
      <c r="A2495" s="11"/>
      <c r="B2495" s="11"/>
      <c r="C2495" s="11"/>
      <c r="Q2495" s="36"/>
    </row>
    <row r="2496">
      <c r="A2496" s="11"/>
      <c r="B2496" s="11"/>
      <c r="C2496" s="11"/>
      <c r="Q2496" s="36"/>
    </row>
    <row r="2497">
      <c r="A2497" s="11"/>
      <c r="B2497" s="11"/>
      <c r="C2497" s="11"/>
      <c r="Q2497" s="36"/>
    </row>
    <row r="2498">
      <c r="A2498" s="11"/>
      <c r="B2498" s="11"/>
      <c r="C2498" s="11"/>
      <c r="Q2498" s="36"/>
    </row>
    <row r="2499">
      <c r="A2499" s="11"/>
      <c r="B2499" s="11"/>
      <c r="C2499" s="11"/>
      <c r="Q2499" s="36"/>
    </row>
    <row r="2500">
      <c r="A2500" s="11"/>
      <c r="B2500" s="11"/>
      <c r="C2500" s="11"/>
      <c r="Q2500" s="36"/>
    </row>
    <row r="2501">
      <c r="A2501" s="11"/>
      <c r="B2501" s="11"/>
      <c r="C2501" s="11"/>
      <c r="Q2501" s="36"/>
    </row>
    <row r="2502">
      <c r="A2502" s="11"/>
      <c r="B2502" s="11"/>
      <c r="C2502" s="11"/>
      <c r="Q2502" s="36"/>
    </row>
    <row r="2503">
      <c r="A2503" s="11"/>
      <c r="B2503" s="11"/>
      <c r="C2503" s="11"/>
      <c r="Q2503" s="36"/>
    </row>
    <row r="2504">
      <c r="A2504" s="11"/>
      <c r="B2504" s="11"/>
      <c r="C2504" s="11"/>
      <c r="Q2504" s="36"/>
    </row>
    <row r="2505">
      <c r="A2505" s="11"/>
      <c r="B2505" s="11"/>
      <c r="C2505" s="11"/>
      <c r="Q2505" s="36"/>
    </row>
    <row r="2506">
      <c r="A2506" s="11"/>
      <c r="B2506" s="11"/>
      <c r="C2506" s="11"/>
      <c r="Q2506" s="36"/>
    </row>
    <row r="2507">
      <c r="A2507" s="11"/>
      <c r="B2507" s="11"/>
      <c r="C2507" s="11"/>
      <c r="Q2507" s="36"/>
    </row>
    <row r="2508">
      <c r="A2508" s="11"/>
      <c r="B2508" s="11"/>
      <c r="C2508" s="11"/>
      <c r="Q2508" s="36"/>
    </row>
    <row r="2509">
      <c r="A2509" s="11"/>
      <c r="B2509" s="11"/>
      <c r="C2509" s="11"/>
      <c r="Q2509" s="36"/>
    </row>
    <row r="2510">
      <c r="A2510" s="11"/>
      <c r="B2510" s="11"/>
      <c r="C2510" s="11"/>
      <c r="Q2510" s="36"/>
    </row>
    <row r="2511">
      <c r="A2511" s="11"/>
      <c r="B2511" s="11"/>
      <c r="C2511" s="11"/>
      <c r="Q2511" s="36"/>
    </row>
    <row r="2512">
      <c r="A2512" s="11"/>
      <c r="B2512" s="11"/>
      <c r="C2512" s="11"/>
      <c r="Q2512" s="36"/>
    </row>
    <row r="2513">
      <c r="A2513" s="11"/>
      <c r="B2513" s="11"/>
      <c r="C2513" s="11"/>
      <c r="Q2513" s="36"/>
    </row>
    <row r="2514">
      <c r="A2514" s="11"/>
      <c r="B2514" s="11"/>
      <c r="C2514" s="11"/>
      <c r="Q2514" s="36"/>
    </row>
    <row r="2515">
      <c r="A2515" s="11"/>
      <c r="B2515" s="11"/>
      <c r="C2515" s="11"/>
      <c r="Q2515" s="36"/>
    </row>
    <row r="2516">
      <c r="A2516" s="11"/>
      <c r="B2516" s="11"/>
      <c r="C2516" s="11"/>
      <c r="Q2516" s="36"/>
    </row>
    <row r="2517">
      <c r="A2517" s="11"/>
      <c r="B2517" s="11"/>
      <c r="C2517" s="11"/>
      <c r="Q2517" s="36"/>
    </row>
    <row r="2518">
      <c r="A2518" s="11"/>
      <c r="B2518" s="11"/>
      <c r="C2518" s="11"/>
      <c r="Q2518" s="36"/>
    </row>
    <row r="2519">
      <c r="A2519" s="11"/>
      <c r="B2519" s="11"/>
      <c r="C2519" s="11"/>
      <c r="Q2519" s="36"/>
    </row>
    <row r="2520">
      <c r="A2520" s="11"/>
      <c r="B2520" s="11"/>
      <c r="C2520" s="11"/>
      <c r="Q2520" s="36"/>
    </row>
    <row r="2521">
      <c r="A2521" s="11"/>
      <c r="B2521" s="11"/>
      <c r="C2521" s="11"/>
      <c r="Q2521" s="36"/>
    </row>
    <row r="2522">
      <c r="A2522" s="11"/>
      <c r="B2522" s="11"/>
      <c r="C2522" s="11"/>
      <c r="Q2522" s="36"/>
    </row>
    <row r="2523">
      <c r="A2523" s="11"/>
      <c r="B2523" s="11"/>
      <c r="C2523" s="11"/>
      <c r="Q2523" s="36"/>
    </row>
    <row r="2524">
      <c r="A2524" s="11"/>
      <c r="B2524" s="11"/>
      <c r="C2524" s="11"/>
      <c r="Q2524" s="36"/>
    </row>
    <row r="2525">
      <c r="A2525" s="11"/>
      <c r="B2525" s="11"/>
      <c r="C2525" s="11"/>
      <c r="Q2525" s="36"/>
    </row>
    <row r="2526">
      <c r="A2526" s="11"/>
      <c r="B2526" s="11"/>
      <c r="C2526" s="11"/>
      <c r="Q2526" s="36"/>
    </row>
    <row r="2527">
      <c r="A2527" s="11"/>
      <c r="B2527" s="11"/>
      <c r="C2527" s="11"/>
      <c r="Q2527" s="36"/>
    </row>
    <row r="2528">
      <c r="A2528" s="11"/>
      <c r="B2528" s="11"/>
      <c r="C2528" s="11"/>
      <c r="Q2528" s="36"/>
    </row>
    <row r="2529">
      <c r="A2529" s="11"/>
      <c r="B2529" s="11"/>
      <c r="C2529" s="11"/>
      <c r="Q2529" s="36"/>
    </row>
    <row r="2530">
      <c r="A2530" s="11"/>
      <c r="B2530" s="11"/>
      <c r="C2530" s="11"/>
      <c r="Q2530" s="36"/>
    </row>
    <row r="2531">
      <c r="A2531" s="11"/>
      <c r="B2531" s="11"/>
      <c r="C2531" s="11"/>
      <c r="Q2531" s="36"/>
    </row>
    <row r="2532">
      <c r="A2532" s="11"/>
      <c r="B2532" s="11"/>
      <c r="C2532" s="11"/>
      <c r="Q2532" s="36"/>
    </row>
    <row r="2533">
      <c r="A2533" s="11"/>
      <c r="B2533" s="11"/>
      <c r="C2533" s="11"/>
      <c r="Q2533" s="36"/>
    </row>
    <row r="2534">
      <c r="A2534" s="11"/>
      <c r="B2534" s="11"/>
      <c r="C2534" s="11"/>
      <c r="Q2534" s="36"/>
    </row>
    <row r="2535">
      <c r="A2535" s="11"/>
      <c r="B2535" s="11"/>
      <c r="C2535" s="11"/>
      <c r="Q2535" s="36"/>
    </row>
    <row r="2536">
      <c r="A2536" s="11"/>
      <c r="B2536" s="11"/>
      <c r="C2536" s="11"/>
      <c r="Q2536" s="36"/>
    </row>
    <row r="2537">
      <c r="A2537" s="11"/>
      <c r="B2537" s="11"/>
      <c r="C2537" s="11"/>
      <c r="Q2537" s="36"/>
    </row>
    <row r="2538">
      <c r="A2538" s="11"/>
      <c r="B2538" s="11"/>
      <c r="C2538" s="11"/>
      <c r="Q2538" s="36"/>
    </row>
    <row r="2539">
      <c r="A2539" s="11"/>
      <c r="B2539" s="11"/>
      <c r="C2539" s="11"/>
      <c r="Q2539" s="36"/>
    </row>
    <row r="2540">
      <c r="A2540" s="11"/>
      <c r="B2540" s="11"/>
      <c r="C2540" s="11"/>
      <c r="Q2540" s="36"/>
    </row>
    <row r="2541">
      <c r="A2541" s="11"/>
      <c r="B2541" s="11"/>
      <c r="C2541" s="11"/>
      <c r="Q2541" s="36"/>
    </row>
    <row r="2542">
      <c r="A2542" s="11"/>
      <c r="B2542" s="11"/>
      <c r="C2542" s="11"/>
      <c r="Q2542" s="36"/>
    </row>
    <row r="2543">
      <c r="A2543" s="11"/>
      <c r="B2543" s="11"/>
      <c r="C2543" s="11"/>
      <c r="Q2543" s="36"/>
    </row>
    <row r="2544">
      <c r="A2544" s="11"/>
      <c r="B2544" s="11"/>
      <c r="C2544" s="11"/>
      <c r="Q2544" s="36"/>
    </row>
    <row r="2545">
      <c r="A2545" s="11"/>
      <c r="B2545" s="11"/>
      <c r="C2545" s="11"/>
      <c r="Q2545" s="36"/>
    </row>
    <row r="2546">
      <c r="A2546" s="11"/>
      <c r="B2546" s="11"/>
      <c r="C2546" s="11"/>
      <c r="Q2546" s="36"/>
    </row>
    <row r="2547">
      <c r="A2547" s="11"/>
      <c r="B2547" s="11"/>
      <c r="C2547" s="11"/>
      <c r="Q2547" s="36"/>
    </row>
    <row r="2548">
      <c r="A2548" s="11"/>
      <c r="B2548" s="11"/>
      <c r="C2548" s="11"/>
      <c r="Q2548" s="36"/>
    </row>
    <row r="2549">
      <c r="A2549" s="11"/>
      <c r="B2549" s="11"/>
      <c r="C2549" s="11"/>
      <c r="Q2549" s="36"/>
    </row>
    <row r="2550">
      <c r="A2550" s="11"/>
      <c r="B2550" s="11"/>
      <c r="C2550" s="11"/>
      <c r="Q2550" s="36"/>
    </row>
    <row r="2551">
      <c r="A2551" s="11"/>
      <c r="B2551" s="11"/>
      <c r="C2551" s="11"/>
      <c r="Q2551" s="36"/>
    </row>
    <row r="2552">
      <c r="A2552" s="11"/>
      <c r="B2552" s="11"/>
      <c r="C2552" s="11"/>
      <c r="Q2552" s="36"/>
    </row>
    <row r="2553">
      <c r="A2553" s="11"/>
      <c r="B2553" s="11"/>
      <c r="C2553" s="11"/>
      <c r="Q2553" s="36"/>
    </row>
    <row r="2554">
      <c r="A2554" s="11"/>
      <c r="B2554" s="11"/>
      <c r="C2554" s="11"/>
      <c r="Q2554" s="36"/>
    </row>
    <row r="2555">
      <c r="A2555" s="11"/>
      <c r="B2555" s="11"/>
      <c r="C2555" s="11"/>
      <c r="Q2555" s="36"/>
    </row>
    <row r="2556">
      <c r="A2556" s="11"/>
      <c r="B2556" s="11"/>
      <c r="C2556" s="11"/>
      <c r="Q2556" s="36"/>
    </row>
    <row r="2557">
      <c r="A2557" s="11"/>
      <c r="B2557" s="11"/>
      <c r="C2557" s="11"/>
      <c r="Q2557" s="36"/>
    </row>
    <row r="2558">
      <c r="A2558" s="11"/>
      <c r="B2558" s="11"/>
      <c r="C2558" s="11"/>
      <c r="Q2558" s="36"/>
    </row>
    <row r="2559">
      <c r="A2559" s="11"/>
      <c r="B2559" s="11"/>
      <c r="C2559" s="11"/>
      <c r="Q2559" s="36"/>
    </row>
    <row r="2560">
      <c r="A2560" s="11"/>
      <c r="B2560" s="11"/>
      <c r="C2560" s="11"/>
      <c r="Q2560" s="36"/>
    </row>
    <row r="2561">
      <c r="A2561" s="11"/>
      <c r="B2561" s="11"/>
      <c r="C2561" s="11"/>
      <c r="Q2561" s="36"/>
    </row>
    <row r="2562">
      <c r="A2562" s="11"/>
      <c r="B2562" s="11"/>
      <c r="C2562" s="11"/>
      <c r="Q2562" s="36"/>
    </row>
    <row r="2563">
      <c r="A2563" s="11"/>
      <c r="B2563" s="11"/>
      <c r="C2563" s="11"/>
      <c r="Q2563" s="36"/>
    </row>
    <row r="2564">
      <c r="A2564" s="11"/>
      <c r="B2564" s="11"/>
      <c r="C2564" s="11"/>
      <c r="Q2564" s="36"/>
    </row>
    <row r="2565">
      <c r="A2565" s="11"/>
      <c r="B2565" s="11"/>
      <c r="C2565" s="11"/>
      <c r="Q2565" s="36"/>
    </row>
    <row r="2566">
      <c r="A2566" s="11"/>
      <c r="B2566" s="11"/>
      <c r="C2566" s="11"/>
      <c r="Q2566" s="36"/>
    </row>
    <row r="2567">
      <c r="A2567" s="11"/>
      <c r="B2567" s="11"/>
      <c r="C2567" s="11"/>
      <c r="Q2567" s="36"/>
    </row>
    <row r="2568">
      <c r="A2568" s="11"/>
      <c r="B2568" s="11"/>
      <c r="C2568" s="11"/>
      <c r="Q2568" s="36"/>
    </row>
    <row r="2569">
      <c r="A2569" s="11"/>
      <c r="B2569" s="11"/>
      <c r="C2569" s="11"/>
      <c r="Q2569" s="36"/>
    </row>
    <row r="2570">
      <c r="A2570" s="11"/>
      <c r="B2570" s="11"/>
      <c r="C2570" s="11"/>
      <c r="Q2570" s="36"/>
    </row>
    <row r="2571">
      <c r="A2571" s="11"/>
      <c r="B2571" s="11"/>
      <c r="C2571" s="11"/>
      <c r="Q2571" s="36"/>
    </row>
    <row r="2572">
      <c r="A2572" s="11"/>
      <c r="B2572" s="11"/>
      <c r="C2572" s="11"/>
      <c r="Q2572" s="36"/>
    </row>
    <row r="2573">
      <c r="A2573" s="11"/>
      <c r="B2573" s="11"/>
      <c r="C2573" s="11"/>
      <c r="Q2573" s="36"/>
    </row>
    <row r="2574">
      <c r="A2574" s="11"/>
      <c r="B2574" s="11"/>
      <c r="C2574" s="11"/>
      <c r="Q2574" s="36"/>
    </row>
    <row r="2575">
      <c r="A2575" s="11"/>
      <c r="B2575" s="11"/>
      <c r="C2575" s="11"/>
      <c r="Q2575" s="36"/>
    </row>
    <row r="2576">
      <c r="A2576" s="11"/>
      <c r="B2576" s="11"/>
      <c r="C2576" s="11"/>
      <c r="Q2576" s="36"/>
    </row>
    <row r="2577">
      <c r="A2577" s="11"/>
      <c r="B2577" s="11"/>
      <c r="C2577" s="11"/>
      <c r="Q2577" s="36"/>
    </row>
    <row r="2578">
      <c r="A2578" s="11"/>
      <c r="B2578" s="11"/>
      <c r="C2578" s="11"/>
      <c r="Q2578" s="36"/>
    </row>
    <row r="2579">
      <c r="A2579" s="11"/>
      <c r="B2579" s="11"/>
      <c r="C2579" s="11"/>
      <c r="Q2579" s="36"/>
    </row>
    <row r="2580">
      <c r="A2580" s="11"/>
      <c r="B2580" s="11"/>
      <c r="C2580" s="11"/>
      <c r="Q2580" s="36"/>
    </row>
    <row r="2581">
      <c r="A2581" s="11"/>
      <c r="B2581" s="11"/>
      <c r="C2581" s="11"/>
      <c r="Q2581" s="36"/>
    </row>
    <row r="2582">
      <c r="A2582" s="11"/>
      <c r="B2582" s="11"/>
      <c r="C2582" s="11"/>
      <c r="Q2582" s="36"/>
    </row>
    <row r="2583">
      <c r="A2583" s="11"/>
      <c r="B2583" s="11"/>
      <c r="C2583" s="11"/>
      <c r="Q2583" s="36"/>
    </row>
    <row r="2584">
      <c r="A2584" s="11"/>
      <c r="B2584" s="11"/>
      <c r="C2584" s="11"/>
      <c r="Q2584" s="36"/>
    </row>
    <row r="2585">
      <c r="A2585" s="11"/>
      <c r="B2585" s="11"/>
      <c r="C2585" s="11"/>
      <c r="Q2585" s="36"/>
    </row>
    <row r="2586">
      <c r="A2586" s="11"/>
      <c r="B2586" s="11"/>
      <c r="C2586" s="11"/>
      <c r="Q2586" s="36"/>
    </row>
    <row r="2587">
      <c r="A2587" s="11"/>
      <c r="B2587" s="11"/>
      <c r="C2587" s="11"/>
      <c r="Q2587" s="36"/>
    </row>
    <row r="2588">
      <c r="A2588" s="11"/>
      <c r="B2588" s="11"/>
      <c r="C2588" s="11"/>
      <c r="Q2588" s="36"/>
    </row>
    <row r="2589">
      <c r="A2589" s="11"/>
      <c r="B2589" s="11"/>
      <c r="C2589" s="11"/>
      <c r="Q2589" s="36"/>
    </row>
    <row r="2590">
      <c r="A2590" s="11"/>
      <c r="B2590" s="11"/>
      <c r="C2590" s="11"/>
      <c r="Q2590" s="36"/>
    </row>
    <row r="2591">
      <c r="A2591" s="11"/>
      <c r="B2591" s="11"/>
      <c r="C2591" s="11"/>
      <c r="Q2591" s="36"/>
    </row>
    <row r="2592">
      <c r="A2592" s="11"/>
      <c r="B2592" s="11"/>
      <c r="C2592" s="11"/>
      <c r="Q2592" s="36"/>
    </row>
    <row r="2593">
      <c r="A2593" s="11"/>
      <c r="B2593" s="11"/>
      <c r="C2593" s="11"/>
      <c r="Q2593" s="36"/>
    </row>
    <row r="2594">
      <c r="A2594" s="11"/>
      <c r="B2594" s="11"/>
      <c r="C2594" s="11"/>
      <c r="Q2594" s="36"/>
    </row>
    <row r="2595">
      <c r="A2595" s="11"/>
      <c r="B2595" s="11"/>
      <c r="C2595" s="11"/>
      <c r="Q2595" s="36"/>
    </row>
    <row r="2596">
      <c r="A2596" s="11"/>
      <c r="B2596" s="11"/>
      <c r="C2596" s="11"/>
      <c r="Q2596" s="36"/>
    </row>
    <row r="2597">
      <c r="A2597" s="11"/>
      <c r="B2597" s="11"/>
      <c r="C2597" s="11"/>
      <c r="Q2597" s="36"/>
    </row>
    <row r="2598">
      <c r="A2598" s="11"/>
      <c r="B2598" s="11"/>
      <c r="C2598" s="11"/>
      <c r="Q2598" s="36"/>
    </row>
    <row r="2599">
      <c r="A2599" s="11"/>
      <c r="B2599" s="11"/>
      <c r="C2599" s="11"/>
      <c r="Q2599" s="36"/>
    </row>
    <row r="2600">
      <c r="A2600" s="11"/>
      <c r="B2600" s="11"/>
      <c r="C2600" s="11"/>
      <c r="Q2600" s="36"/>
    </row>
    <row r="2601">
      <c r="A2601" s="11"/>
      <c r="B2601" s="11"/>
      <c r="C2601" s="11"/>
      <c r="Q2601" s="36"/>
    </row>
    <row r="2602">
      <c r="A2602" s="11"/>
      <c r="B2602" s="11"/>
      <c r="C2602" s="11"/>
      <c r="Q2602" s="36"/>
    </row>
    <row r="2603">
      <c r="A2603" s="11"/>
      <c r="B2603" s="11"/>
      <c r="C2603" s="11"/>
      <c r="Q2603" s="36"/>
    </row>
    <row r="2604">
      <c r="A2604" s="11"/>
      <c r="B2604" s="11"/>
      <c r="C2604" s="11"/>
      <c r="Q2604" s="36"/>
    </row>
    <row r="2605">
      <c r="A2605" s="11"/>
      <c r="B2605" s="11"/>
      <c r="C2605" s="11"/>
      <c r="Q2605" s="36"/>
    </row>
    <row r="2606">
      <c r="A2606" s="11"/>
      <c r="B2606" s="11"/>
      <c r="C2606" s="11"/>
      <c r="Q2606" s="36"/>
    </row>
    <row r="2607">
      <c r="A2607" s="11"/>
      <c r="B2607" s="11"/>
      <c r="C2607" s="11"/>
      <c r="Q2607" s="36"/>
    </row>
    <row r="2608">
      <c r="A2608" s="11"/>
      <c r="B2608" s="11"/>
      <c r="C2608" s="11"/>
      <c r="Q2608" s="36"/>
    </row>
    <row r="2609">
      <c r="A2609" s="11"/>
      <c r="B2609" s="11"/>
      <c r="C2609" s="11"/>
      <c r="Q2609" s="36"/>
    </row>
    <row r="2610">
      <c r="A2610" s="11"/>
      <c r="B2610" s="11"/>
      <c r="C2610" s="11"/>
      <c r="Q2610" s="36"/>
    </row>
    <row r="2611">
      <c r="A2611" s="11"/>
      <c r="B2611" s="11"/>
      <c r="C2611" s="11"/>
      <c r="Q2611" s="36"/>
    </row>
    <row r="2612">
      <c r="A2612" s="11"/>
      <c r="B2612" s="11"/>
      <c r="C2612" s="11"/>
      <c r="Q2612" s="36"/>
    </row>
    <row r="2613">
      <c r="A2613" s="11"/>
      <c r="B2613" s="11"/>
      <c r="C2613" s="11"/>
      <c r="Q2613" s="36"/>
    </row>
    <row r="2614">
      <c r="A2614" s="11"/>
      <c r="B2614" s="11"/>
      <c r="C2614" s="11"/>
      <c r="Q2614" s="36"/>
    </row>
    <row r="2615">
      <c r="A2615" s="11"/>
      <c r="B2615" s="11"/>
      <c r="C2615" s="11"/>
      <c r="Q2615" s="36"/>
    </row>
    <row r="2616">
      <c r="A2616" s="11"/>
      <c r="B2616" s="11"/>
      <c r="C2616" s="11"/>
      <c r="Q2616" s="36"/>
    </row>
    <row r="2617">
      <c r="A2617" s="11"/>
      <c r="B2617" s="11"/>
      <c r="C2617" s="11"/>
      <c r="Q2617" s="36"/>
    </row>
    <row r="2618">
      <c r="A2618" s="11"/>
      <c r="B2618" s="11"/>
      <c r="C2618" s="11"/>
      <c r="Q2618" s="36"/>
    </row>
    <row r="2619">
      <c r="A2619" s="11"/>
      <c r="B2619" s="11"/>
      <c r="C2619" s="11"/>
      <c r="Q2619" s="36"/>
    </row>
    <row r="2620">
      <c r="A2620" s="11"/>
      <c r="B2620" s="11"/>
      <c r="C2620" s="11"/>
      <c r="Q2620" s="36"/>
    </row>
    <row r="2621">
      <c r="A2621" s="11"/>
      <c r="B2621" s="11"/>
      <c r="C2621" s="11"/>
      <c r="Q2621" s="36"/>
    </row>
    <row r="2622">
      <c r="A2622" s="11"/>
      <c r="B2622" s="11"/>
      <c r="C2622" s="11"/>
      <c r="Q2622" s="36"/>
    </row>
    <row r="2623">
      <c r="A2623" s="11"/>
      <c r="B2623" s="11"/>
      <c r="C2623" s="11"/>
      <c r="Q2623" s="36"/>
    </row>
    <row r="2624">
      <c r="A2624" s="11"/>
      <c r="B2624" s="11"/>
      <c r="C2624" s="11"/>
      <c r="Q2624" s="36"/>
    </row>
    <row r="2625">
      <c r="A2625" s="11"/>
      <c r="B2625" s="11"/>
      <c r="C2625" s="11"/>
      <c r="Q2625" s="36"/>
    </row>
    <row r="2626">
      <c r="A2626" s="11"/>
      <c r="B2626" s="11"/>
      <c r="C2626" s="11"/>
      <c r="Q2626" s="36"/>
    </row>
    <row r="2627">
      <c r="A2627" s="11"/>
      <c r="B2627" s="11"/>
      <c r="C2627" s="11"/>
      <c r="Q2627" s="36"/>
    </row>
    <row r="2628">
      <c r="A2628" s="11"/>
      <c r="B2628" s="11"/>
      <c r="C2628" s="11"/>
      <c r="Q2628" s="36"/>
    </row>
    <row r="2629">
      <c r="A2629" s="11"/>
      <c r="B2629" s="11"/>
      <c r="C2629" s="11"/>
      <c r="Q2629" s="36"/>
    </row>
    <row r="2630">
      <c r="A2630" s="11"/>
      <c r="B2630" s="11"/>
      <c r="C2630" s="11"/>
      <c r="Q2630" s="36"/>
    </row>
    <row r="2631">
      <c r="A2631" s="11"/>
      <c r="B2631" s="11"/>
      <c r="C2631" s="11"/>
      <c r="Q2631" s="36"/>
    </row>
    <row r="2632">
      <c r="A2632" s="11"/>
      <c r="B2632" s="11"/>
      <c r="C2632" s="11"/>
      <c r="Q2632" s="36"/>
    </row>
    <row r="2633">
      <c r="A2633" s="11"/>
      <c r="B2633" s="11"/>
      <c r="C2633" s="11"/>
      <c r="Q2633" s="36"/>
    </row>
    <row r="2634">
      <c r="A2634" s="11"/>
      <c r="B2634" s="11"/>
      <c r="C2634" s="11"/>
      <c r="Q2634" s="36"/>
    </row>
    <row r="2635">
      <c r="A2635" s="11"/>
      <c r="B2635" s="11"/>
      <c r="C2635" s="11"/>
      <c r="Q2635" s="36"/>
    </row>
    <row r="2636">
      <c r="A2636" s="11"/>
      <c r="B2636" s="11"/>
      <c r="C2636" s="11"/>
      <c r="Q2636" s="36"/>
    </row>
    <row r="2637">
      <c r="A2637" s="11"/>
      <c r="B2637" s="11"/>
      <c r="C2637" s="11"/>
      <c r="Q2637" s="36"/>
    </row>
    <row r="2638">
      <c r="A2638" s="11"/>
      <c r="B2638" s="11"/>
      <c r="C2638" s="11"/>
      <c r="Q2638" s="36"/>
    </row>
    <row r="2639">
      <c r="A2639" s="11"/>
      <c r="B2639" s="11"/>
      <c r="C2639" s="11"/>
      <c r="Q2639" s="36"/>
    </row>
    <row r="2640">
      <c r="A2640" s="11"/>
      <c r="B2640" s="11"/>
      <c r="C2640" s="11"/>
      <c r="Q2640" s="36"/>
    </row>
    <row r="2641">
      <c r="A2641" s="11"/>
      <c r="B2641" s="11"/>
      <c r="C2641" s="11"/>
      <c r="Q2641" s="36"/>
    </row>
    <row r="2642">
      <c r="A2642" s="11"/>
      <c r="B2642" s="11"/>
      <c r="C2642" s="11"/>
      <c r="Q2642" s="36"/>
    </row>
    <row r="2643">
      <c r="A2643" s="11"/>
      <c r="B2643" s="11"/>
      <c r="C2643" s="11"/>
      <c r="Q2643" s="36"/>
    </row>
    <row r="2644">
      <c r="A2644" s="11"/>
      <c r="B2644" s="11"/>
      <c r="C2644" s="11"/>
      <c r="Q2644" s="36"/>
    </row>
    <row r="2645">
      <c r="A2645" s="11"/>
      <c r="B2645" s="11"/>
      <c r="C2645" s="11"/>
      <c r="Q2645" s="36"/>
    </row>
    <row r="2646">
      <c r="A2646" s="11"/>
      <c r="B2646" s="11"/>
      <c r="C2646" s="11"/>
      <c r="Q2646" s="36"/>
    </row>
    <row r="2647">
      <c r="A2647" s="11"/>
      <c r="B2647" s="11"/>
      <c r="C2647" s="11"/>
      <c r="Q2647" s="36"/>
    </row>
    <row r="2648">
      <c r="A2648" s="11"/>
      <c r="B2648" s="11"/>
      <c r="C2648" s="11"/>
      <c r="Q2648" s="36"/>
    </row>
    <row r="2649">
      <c r="A2649" s="11"/>
      <c r="B2649" s="11"/>
      <c r="C2649" s="11"/>
      <c r="Q2649" s="36"/>
    </row>
    <row r="2650">
      <c r="A2650" s="11"/>
      <c r="B2650" s="11"/>
      <c r="C2650" s="11"/>
      <c r="Q2650" s="36"/>
    </row>
    <row r="2651">
      <c r="A2651" s="11"/>
      <c r="B2651" s="11"/>
      <c r="C2651" s="11"/>
      <c r="Q2651" s="36"/>
    </row>
    <row r="2652">
      <c r="A2652" s="11"/>
      <c r="B2652" s="11"/>
      <c r="C2652" s="11"/>
      <c r="Q2652" s="36"/>
    </row>
    <row r="2653">
      <c r="A2653" s="11"/>
      <c r="B2653" s="11"/>
      <c r="C2653" s="11"/>
      <c r="Q2653" s="36"/>
    </row>
    <row r="2654">
      <c r="A2654" s="11"/>
      <c r="B2654" s="11"/>
      <c r="C2654" s="11"/>
      <c r="Q2654" s="36"/>
    </row>
    <row r="2655">
      <c r="A2655" s="11"/>
      <c r="B2655" s="11"/>
      <c r="C2655" s="11"/>
      <c r="Q2655" s="36"/>
    </row>
    <row r="2656">
      <c r="A2656" s="11"/>
      <c r="B2656" s="11"/>
      <c r="C2656" s="11"/>
      <c r="Q2656" s="36"/>
    </row>
    <row r="2657">
      <c r="A2657" s="11"/>
      <c r="B2657" s="11"/>
      <c r="C2657" s="11"/>
      <c r="Q2657" s="36"/>
    </row>
    <row r="2658">
      <c r="A2658" s="11"/>
      <c r="B2658" s="11"/>
      <c r="C2658" s="11"/>
      <c r="Q2658" s="36"/>
    </row>
    <row r="2659">
      <c r="A2659" s="11"/>
      <c r="B2659" s="11"/>
      <c r="C2659" s="11"/>
      <c r="Q2659" s="36"/>
    </row>
    <row r="2660">
      <c r="A2660" s="11"/>
      <c r="B2660" s="11"/>
      <c r="C2660" s="11"/>
      <c r="Q2660" s="36"/>
    </row>
    <row r="2661">
      <c r="A2661" s="11"/>
      <c r="B2661" s="11"/>
      <c r="C2661" s="11"/>
      <c r="Q2661" s="36"/>
    </row>
    <row r="2662">
      <c r="A2662" s="11"/>
      <c r="B2662" s="11"/>
      <c r="C2662" s="11"/>
      <c r="Q2662" s="36"/>
    </row>
    <row r="2663">
      <c r="A2663" s="11"/>
      <c r="B2663" s="11"/>
      <c r="C2663" s="11"/>
      <c r="Q2663" s="36"/>
    </row>
    <row r="2664">
      <c r="A2664" s="11"/>
      <c r="B2664" s="11"/>
      <c r="C2664" s="11"/>
      <c r="Q2664" s="36"/>
    </row>
    <row r="2665">
      <c r="A2665" s="11"/>
      <c r="B2665" s="11"/>
      <c r="C2665" s="11"/>
      <c r="Q2665" s="36"/>
    </row>
    <row r="2666">
      <c r="A2666" s="11"/>
      <c r="B2666" s="11"/>
      <c r="C2666" s="11"/>
      <c r="Q2666" s="36"/>
    </row>
    <row r="2667">
      <c r="A2667" s="11"/>
      <c r="B2667" s="11"/>
      <c r="C2667" s="11"/>
      <c r="Q2667" s="36"/>
    </row>
    <row r="2668">
      <c r="A2668" s="11"/>
      <c r="B2668" s="11"/>
      <c r="C2668" s="11"/>
      <c r="Q2668" s="36"/>
    </row>
    <row r="2669">
      <c r="A2669" s="11"/>
      <c r="B2669" s="11"/>
      <c r="C2669" s="11"/>
      <c r="Q2669" s="36"/>
    </row>
    <row r="2670">
      <c r="A2670" s="11"/>
      <c r="B2670" s="11"/>
      <c r="C2670" s="11"/>
      <c r="Q2670" s="36"/>
    </row>
    <row r="2671">
      <c r="A2671" s="11"/>
      <c r="B2671" s="11"/>
      <c r="C2671" s="11"/>
      <c r="Q2671" s="36"/>
    </row>
    <row r="2672">
      <c r="A2672" s="11"/>
      <c r="B2672" s="11"/>
      <c r="C2672" s="11"/>
      <c r="Q2672" s="36"/>
    </row>
    <row r="2673">
      <c r="A2673" s="11"/>
      <c r="B2673" s="11"/>
      <c r="C2673" s="11"/>
      <c r="Q2673" s="36"/>
    </row>
    <row r="2674">
      <c r="A2674" s="11"/>
      <c r="B2674" s="11"/>
      <c r="C2674" s="11"/>
      <c r="Q2674" s="36"/>
    </row>
    <row r="2675">
      <c r="A2675" s="11"/>
      <c r="B2675" s="11"/>
      <c r="C2675" s="11"/>
      <c r="Q2675" s="36"/>
    </row>
    <row r="2676">
      <c r="A2676" s="11"/>
      <c r="B2676" s="11"/>
      <c r="C2676" s="11"/>
      <c r="Q2676" s="36"/>
    </row>
    <row r="2677">
      <c r="A2677" s="11"/>
      <c r="B2677" s="11"/>
      <c r="C2677" s="11"/>
      <c r="Q2677" s="36"/>
    </row>
    <row r="2678">
      <c r="A2678" s="11"/>
      <c r="B2678" s="11"/>
      <c r="C2678" s="11"/>
      <c r="Q2678" s="36"/>
    </row>
    <row r="2679">
      <c r="A2679" s="11"/>
      <c r="B2679" s="11"/>
      <c r="C2679" s="11"/>
      <c r="Q2679" s="36"/>
    </row>
    <row r="2680">
      <c r="A2680" s="11"/>
      <c r="B2680" s="11"/>
      <c r="C2680" s="11"/>
      <c r="Q2680" s="36"/>
    </row>
    <row r="2681">
      <c r="A2681" s="11"/>
      <c r="B2681" s="11"/>
      <c r="C2681" s="11"/>
      <c r="Q2681" s="36"/>
    </row>
    <row r="2682">
      <c r="A2682" s="11"/>
      <c r="B2682" s="11"/>
      <c r="C2682" s="11"/>
      <c r="Q2682" s="36"/>
    </row>
    <row r="2683">
      <c r="A2683" s="11"/>
      <c r="B2683" s="11"/>
      <c r="C2683" s="11"/>
      <c r="Q2683" s="36"/>
    </row>
    <row r="2684">
      <c r="A2684" s="11"/>
      <c r="B2684" s="11"/>
      <c r="C2684" s="11"/>
      <c r="Q2684" s="36"/>
    </row>
    <row r="2685">
      <c r="A2685" s="11"/>
      <c r="B2685" s="11"/>
      <c r="C2685" s="11"/>
      <c r="Q2685" s="36"/>
    </row>
    <row r="2686">
      <c r="A2686" s="11"/>
      <c r="B2686" s="11"/>
      <c r="C2686" s="11"/>
      <c r="Q2686" s="36"/>
    </row>
    <row r="2687">
      <c r="A2687" s="11"/>
      <c r="B2687" s="11"/>
      <c r="C2687" s="11"/>
      <c r="Q2687" s="36"/>
    </row>
    <row r="2688">
      <c r="A2688" s="11"/>
      <c r="B2688" s="11"/>
      <c r="C2688" s="11"/>
      <c r="Q2688" s="36"/>
    </row>
    <row r="2689">
      <c r="A2689" s="11"/>
      <c r="B2689" s="11"/>
      <c r="C2689" s="11"/>
      <c r="Q2689" s="36"/>
    </row>
    <row r="2690">
      <c r="A2690" s="11"/>
      <c r="B2690" s="11"/>
      <c r="C2690" s="11"/>
      <c r="Q2690" s="36"/>
    </row>
    <row r="2691">
      <c r="A2691" s="11"/>
      <c r="B2691" s="11"/>
      <c r="C2691" s="11"/>
      <c r="Q2691" s="36"/>
    </row>
    <row r="2692">
      <c r="A2692" s="11"/>
      <c r="B2692" s="11"/>
      <c r="C2692" s="11"/>
      <c r="Q2692" s="36"/>
    </row>
    <row r="2693">
      <c r="A2693" s="11"/>
      <c r="B2693" s="11"/>
      <c r="C2693" s="11"/>
      <c r="Q2693" s="36"/>
    </row>
    <row r="2694">
      <c r="A2694" s="11"/>
      <c r="B2694" s="11"/>
      <c r="C2694" s="11"/>
      <c r="Q2694" s="36"/>
    </row>
    <row r="2695">
      <c r="A2695" s="11"/>
      <c r="B2695" s="11"/>
      <c r="C2695" s="11"/>
      <c r="Q2695" s="36"/>
    </row>
    <row r="2696">
      <c r="A2696" s="11"/>
      <c r="B2696" s="11"/>
      <c r="C2696" s="11"/>
      <c r="Q2696" s="36"/>
    </row>
    <row r="2697">
      <c r="A2697" s="11"/>
      <c r="B2697" s="11"/>
      <c r="C2697" s="11"/>
      <c r="Q2697" s="36"/>
    </row>
    <row r="2698">
      <c r="A2698" s="11"/>
      <c r="B2698" s="11"/>
      <c r="C2698" s="11"/>
      <c r="Q2698" s="36"/>
    </row>
    <row r="2699">
      <c r="A2699" s="11"/>
      <c r="B2699" s="11"/>
      <c r="C2699" s="11"/>
      <c r="Q2699" s="36"/>
    </row>
    <row r="2700">
      <c r="A2700" s="11"/>
      <c r="B2700" s="11"/>
      <c r="C2700" s="11"/>
      <c r="Q2700" s="36"/>
    </row>
    <row r="2701">
      <c r="A2701" s="11"/>
      <c r="B2701" s="11"/>
      <c r="C2701" s="11"/>
      <c r="Q2701" s="36"/>
    </row>
    <row r="2702">
      <c r="A2702" s="11"/>
      <c r="B2702" s="11"/>
      <c r="C2702" s="11"/>
      <c r="Q2702" s="36"/>
    </row>
    <row r="2703">
      <c r="A2703" s="11"/>
      <c r="B2703" s="11"/>
      <c r="C2703" s="11"/>
      <c r="Q2703" s="36"/>
    </row>
    <row r="2704">
      <c r="A2704" s="11"/>
      <c r="B2704" s="11"/>
      <c r="C2704" s="11"/>
      <c r="Q2704" s="36"/>
    </row>
    <row r="2705">
      <c r="A2705" s="11"/>
      <c r="B2705" s="11"/>
      <c r="C2705" s="11"/>
      <c r="Q2705" s="36"/>
    </row>
    <row r="2706">
      <c r="A2706" s="11"/>
      <c r="B2706" s="11"/>
      <c r="C2706" s="11"/>
      <c r="Q2706" s="36"/>
    </row>
    <row r="2707">
      <c r="A2707" s="11"/>
      <c r="B2707" s="11"/>
      <c r="C2707" s="11"/>
      <c r="Q2707" s="36"/>
    </row>
    <row r="2708">
      <c r="A2708" s="11"/>
      <c r="B2708" s="11"/>
      <c r="C2708" s="11"/>
      <c r="Q2708" s="36"/>
    </row>
    <row r="2709">
      <c r="A2709" s="11"/>
      <c r="B2709" s="11"/>
      <c r="C2709" s="11"/>
      <c r="Q2709" s="36"/>
    </row>
    <row r="2710">
      <c r="A2710" s="11"/>
      <c r="B2710" s="11"/>
      <c r="C2710" s="11"/>
      <c r="Q2710" s="36"/>
    </row>
    <row r="2711">
      <c r="A2711" s="11"/>
      <c r="B2711" s="11"/>
      <c r="C2711" s="11"/>
      <c r="Q2711" s="36"/>
    </row>
    <row r="2712">
      <c r="A2712" s="11"/>
      <c r="B2712" s="11"/>
      <c r="C2712" s="11"/>
      <c r="Q2712" s="36"/>
    </row>
    <row r="2713">
      <c r="A2713" s="11"/>
      <c r="B2713" s="11"/>
      <c r="C2713" s="11"/>
      <c r="Q2713" s="36"/>
    </row>
    <row r="2714">
      <c r="A2714" s="11"/>
      <c r="B2714" s="11"/>
      <c r="C2714" s="11"/>
      <c r="Q2714" s="36"/>
    </row>
    <row r="2715">
      <c r="A2715" s="11"/>
      <c r="B2715" s="11"/>
      <c r="C2715" s="11"/>
      <c r="Q2715" s="36"/>
    </row>
    <row r="2716">
      <c r="A2716" s="11"/>
      <c r="B2716" s="11"/>
      <c r="C2716" s="11"/>
      <c r="Q2716" s="36"/>
    </row>
    <row r="2717">
      <c r="A2717" s="11"/>
      <c r="B2717" s="11"/>
      <c r="C2717" s="11"/>
      <c r="Q2717" s="36"/>
    </row>
    <row r="2718">
      <c r="A2718" s="11"/>
      <c r="B2718" s="11"/>
      <c r="C2718" s="11"/>
      <c r="Q2718" s="36"/>
    </row>
    <row r="2719">
      <c r="A2719" s="11"/>
      <c r="B2719" s="11"/>
      <c r="C2719" s="11"/>
      <c r="Q2719" s="36"/>
    </row>
    <row r="2720">
      <c r="A2720" s="11"/>
      <c r="B2720" s="11"/>
      <c r="C2720" s="11"/>
      <c r="Q2720" s="36"/>
    </row>
    <row r="2721">
      <c r="A2721" s="11"/>
      <c r="B2721" s="11"/>
      <c r="C2721" s="11"/>
      <c r="Q2721" s="36"/>
    </row>
    <row r="2722">
      <c r="A2722" s="11"/>
      <c r="B2722" s="11"/>
      <c r="C2722" s="11"/>
      <c r="Q2722" s="36"/>
    </row>
    <row r="2723">
      <c r="A2723" s="11"/>
      <c r="B2723" s="11"/>
      <c r="C2723" s="11"/>
      <c r="Q2723" s="36"/>
    </row>
    <row r="2724">
      <c r="A2724" s="11"/>
      <c r="B2724" s="11"/>
      <c r="C2724" s="11"/>
      <c r="Q2724" s="36"/>
    </row>
    <row r="2725">
      <c r="A2725" s="11"/>
      <c r="B2725" s="11"/>
      <c r="C2725" s="11"/>
      <c r="Q2725" s="36"/>
    </row>
    <row r="2726">
      <c r="A2726" s="11"/>
      <c r="B2726" s="11"/>
      <c r="C2726" s="11"/>
      <c r="Q2726" s="36"/>
    </row>
    <row r="2727">
      <c r="A2727" s="11"/>
      <c r="B2727" s="11"/>
      <c r="C2727" s="11"/>
      <c r="Q2727" s="36"/>
    </row>
    <row r="2728">
      <c r="A2728" s="11"/>
      <c r="B2728" s="11"/>
      <c r="C2728" s="11"/>
      <c r="Q2728" s="36"/>
    </row>
    <row r="2729">
      <c r="A2729" s="11"/>
      <c r="B2729" s="11"/>
      <c r="C2729" s="11"/>
      <c r="Q2729" s="36"/>
    </row>
    <row r="2730">
      <c r="A2730" s="11"/>
      <c r="B2730" s="11"/>
      <c r="C2730" s="11"/>
      <c r="Q2730" s="36"/>
    </row>
    <row r="2731">
      <c r="A2731" s="11"/>
      <c r="B2731" s="11"/>
      <c r="C2731" s="11"/>
      <c r="Q2731" s="36"/>
    </row>
    <row r="2732">
      <c r="A2732" s="11"/>
      <c r="B2732" s="11"/>
      <c r="C2732" s="11"/>
      <c r="Q2732" s="36"/>
    </row>
    <row r="2733">
      <c r="A2733" s="11"/>
      <c r="B2733" s="11"/>
      <c r="C2733" s="11"/>
      <c r="Q2733" s="36"/>
    </row>
    <row r="2734">
      <c r="A2734" s="11"/>
      <c r="B2734" s="11"/>
      <c r="C2734" s="11"/>
      <c r="Q2734" s="36"/>
    </row>
    <row r="2735">
      <c r="A2735" s="11"/>
      <c r="B2735" s="11"/>
      <c r="C2735" s="11"/>
      <c r="Q2735" s="36"/>
    </row>
    <row r="2736">
      <c r="A2736" s="11"/>
      <c r="B2736" s="11"/>
      <c r="C2736" s="11"/>
      <c r="Q2736" s="36"/>
    </row>
    <row r="2737">
      <c r="A2737" s="11"/>
      <c r="B2737" s="11"/>
      <c r="C2737" s="11"/>
      <c r="Q2737" s="36"/>
    </row>
    <row r="2738">
      <c r="A2738" s="11"/>
      <c r="B2738" s="11"/>
      <c r="C2738" s="11"/>
      <c r="Q2738" s="36"/>
    </row>
    <row r="2739">
      <c r="A2739" s="11"/>
      <c r="B2739" s="11"/>
      <c r="C2739" s="11"/>
      <c r="Q2739" s="36"/>
    </row>
    <row r="2740">
      <c r="A2740" s="11"/>
      <c r="B2740" s="11"/>
      <c r="C2740" s="11"/>
      <c r="Q2740" s="36"/>
    </row>
    <row r="2741">
      <c r="A2741" s="11"/>
      <c r="B2741" s="11"/>
      <c r="C2741" s="11"/>
      <c r="Q2741" s="36"/>
    </row>
    <row r="2742">
      <c r="A2742" s="11"/>
      <c r="B2742" s="11"/>
      <c r="C2742" s="11"/>
      <c r="Q2742" s="36"/>
    </row>
    <row r="2743">
      <c r="A2743" s="11"/>
      <c r="B2743" s="11"/>
      <c r="C2743" s="11"/>
      <c r="Q2743" s="36"/>
    </row>
    <row r="2744">
      <c r="A2744" s="11"/>
      <c r="B2744" s="11"/>
      <c r="C2744" s="11"/>
      <c r="Q2744" s="36"/>
    </row>
    <row r="2745">
      <c r="A2745" s="11"/>
      <c r="B2745" s="11"/>
      <c r="C2745" s="11"/>
      <c r="Q2745" s="36"/>
    </row>
    <row r="2746">
      <c r="A2746" s="11"/>
      <c r="B2746" s="11"/>
      <c r="C2746" s="11"/>
      <c r="Q2746" s="36"/>
    </row>
    <row r="2747">
      <c r="A2747" s="11"/>
      <c r="B2747" s="11"/>
      <c r="C2747" s="11"/>
      <c r="Q2747" s="36"/>
    </row>
    <row r="2748">
      <c r="A2748" s="11"/>
      <c r="B2748" s="11"/>
      <c r="C2748" s="11"/>
      <c r="Q2748" s="36"/>
    </row>
    <row r="2749">
      <c r="A2749" s="11"/>
      <c r="B2749" s="11"/>
      <c r="C2749" s="11"/>
      <c r="Q2749" s="36"/>
    </row>
    <row r="2750">
      <c r="A2750" s="11"/>
      <c r="B2750" s="11"/>
      <c r="C2750" s="11"/>
      <c r="Q2750" s="36"/>
    </row>
    <row r="2751">
      <c r="A2751" s="11"/>
      <c r="B2751" s="11"/>
      <c r="C2751" s="11"/>
      <c r="Q2751" s="36"/>
    </row>
    <row r="2752">
      <c r="A2752" s="11"/>
      <c r="B2752" s="11"/>
      <c r="C2752" s="11"/>
      <c r="Q2752" s="36"/>
    </row>
    <row r="2753">
      <c r="A2753" s="11"/>
      <c r="B2753" s="11"/>
      <c r="C2753" s="11"/>
      <c r="Q2753" s="36"/>
    </row>
    <row r="2754">
      <c r="A2754" s="11"/>
      <c r="B2754" s="11"/>
      <c r="C2754" s="11"/>
      <c r="Q2754" s="36"/>
    </row>
    <row r="2755">
      <c r="A2755" s="11"/>
      <c r="B2755" s="11"/>
      <c r="C2755" s="11"/>
      <c r="Q2755" s="36"/>
    </row>
    <row r="2756">
      <c r="A2756" s="11"/>
      <c r="B2756" s="11"/>
      <c r="C2756" s="11"/>
      <c r="Q2756" s="36"/>
    </row>
    <row r="2757">
      <c r="A2757" s="11"/>
      <c r="B2757" s="11"/>
      <c r="C2757" s="11"/>
      <c r="Q2757" s="36"/>
    </row>
    <row r="2758">
      <c r="A2758" s="11"/>
      <c r="B2758" s="11"/>
      <c r="C2758" s="11"/>
      <c r="Q2758" s="36"/>
    </row>
    <row r="2759">
      <c r="A2759" s="11"/>
      <c r="B2759" s="11"/>
      <c r="C2759" s="11"/>
      <c r="Q2759" s="36"/>
    </row>
    <row r="2760">
      <c r="A2760" s="11"/>
      <c r="B2760" s="11"/>
      <c r="C2760" s="11"/>
      <c r="Q2760" s="36"/>
    </row>
    <row r="2761">
      <c r="A2761" s="11"/>
      <c r="B2761" s="11"/>
      <c r="C2761" s="11"/>
      <c r="Q2761" s="36"/>
    </row>
    <row r="2762">
      <c r="A2762" s="11"/>
      <c r="B2762" s="11"/>
      <c r="C2762" s="11"/>
      <c r="Q2762" s="36"/>
    </row>
    <row r="2763">
      <c r="A2763" s="11"/>
      <c r="B2763" s="11"/>
      <c r="C2763" s="11"/>
      <c r="Q2763" s="36"/>
    </row>
    <row r="2764">
      <c r="A2764" s="11"/>
      <c r="B2764" s="11"/>
      <c r="C2764" s="11"/>
      <c r="Q2764" s="36"/>
    </row>
    <row r="2765">
      <c r="A2765" s="11"/>
      <c r="B2765" s="11"/>
      <c r="C2765" s="11"/>
      <c r="Q2765" s="36"/>
    </row>
    <row r="2766">
      <c r="A2766" s="11"/>
      <c r="B2766" s="11"/>
      <c r="C2766" s="11"/>
      <c r="Q2766" s="36"/>
    </row>
    <row r="2767">
      <c r="A2767" s="11"/>
      <c r="B2767" s="11"/>
      <c r="C2767" s="11"/>
      <c r="Q2767" s="36"/>
    </row>
    <row r="2768">
      <c r="A2768" s="11"/>
      <c r="B2768" s="11"/>
      <c r="C2768" s="11"/>
      <c r="Q2768" s="36"/>
    </row>
    <row r="2769">
      <c r="A2769" s="11"/>
      <c r="B2769" s="11"/>
      <c r="C2769" s="11"/>
      <c r="Q2769" s="36"/>
    </row>
    <row r="2770">
      <c r="A2770" s="11"/>
      <c r="B2770" s="11"/>
      <c r="C2770" s="11"/>
      <c r="Q2770" s="36"/>
    </row>
    <row r="2771">
      <c r="A2771" s="11"/>
      <c r="B2771" s="11"/>
      <c r="C2771" s="11"/>
      <c r="Q2771" s="36"/>
    </row>
    <row r="2772">
      <c r="A2772" s="11"/>
      <c r="B2772" s="11"/>
      <c r="C2772" s="11"/>
      <c r="Q2772" s="36"/>
    </row>
    <row r="2773">
      <c r="A2773" s="11"/>
      <c r="B2773" s="11"/>
      <c r="C2773" s="11"/>
      <c r="Q2773" s="36"/>
    </row>
    <row r="2774">
      <c r="A2774" s="11"/>
      <c r="B2774" s="11"/>
      <c r="C2774" s="11"/>
      <c r="Q2774" s="36"/>
    </row>
    <row r="2775">
      <c r="A2775" s="11"/>
      <c r="B2775" s="11"/>
      <c r="C2775" s="11"/>
      <c r="Q2775" s="36"/>
    </row>
    <row r="2776">
      <c r="A2776" s="11"/>
      <c r="B2776" s="11"/>
      <c r="C2776" s="11"/>
      <c r="Q2776" s="36"/>
    </row>
    <row r="2777">
      <c r="A2777" s="11"/>
      <c r="B2777" s="11"/>
      <c r="C2777" s="11"/>
      <c r="Q2777" s="36"/>
    </row>
    <row r="2778">
      <c r="A2778" s="11"/>
      <c r="B2778" s="11"/>
      <c r="C2778" s="11"/>
      <c r="Q2778" s="36"/>
    </row>
    <row r="2779">
      <c r="A2779" s="11"/>
      <c r="B2779" s="11"/>
      <c r="C2779" s="11"/>
      <c r="Q2779" s="36"/>
    </row>
    <row r="2780">
      <c r="A2780" s="11"/>
      <c r="B2780" s="11"/>
      <c r="C2780" s="11"/>
      <c r="Q2780" s="36"/>
    </row>
    <row r="2781">
      <c r="A2781" s="11"/>
      <c r="B2781" s="11"/>
      <c r="C2781" s="11"/>
      <c r="Q2781" s="36"/>
    </row>
    <row r="2782">
      <c r="A2782" s="11"/>
      <c r="B2782" s="11"/>
      <c r="C2782" s="11"/>
      <c r="Q2782" s="36"/>
    </row>
    <row r="2783">
      <c r="A2783" s="11"/>
      <c r="B2783" s="11"/>
      <c r="C2783" s="11"/>
      <c r="Q2783" s="36"/>
    </row>
    <row r="2784">
      <c r="A2784" s="11"/>
      <c r="B2784" s="11"/>
      <c r="C2784" s="11"/>
      <c r="Q2784" s="36"/>
    </row>
    <row r="2785">
      <c r="A2785" s="11"/>
      <c r="B2785" s="11"/>
      <c r="C2785" s="11"/>
      <c r="Q2785" s="36"/>
    </row>
    <row r="2786">
      <c r="A2786" s="11"/>
      <c r="B2786" s="11"/>
      <c r="C2786" s="11"/>
      <c r="Q2786" s="36"/>
    </row>
    <row r="2787">
      <c r="A2787" s="11"/>
      <c r="B2787" s="11"/>
      <c r="C2787" s="11"/>
      <c r="Q2787" s="36"/>
    </row>
    <row r="2788">
      <c r="A2788" s="11"/>
      <c r="B2788" s="11"/>
      <c r="C2788" s="11"/>
      <c r="Q2788" s="36"/>
    </row>
    <row r="2789">
      <c r="A2789" s="11"/>
      <c r="B2789" s="11"/>
      <c r="C2789" s="11"/>
      <c r="Q2789" s="36"/>
    </row>
    <row r="2790">
      <c r="A2790" s="11"/>
      <c r="B2790" s="11"/>
      <c r="C2790" s="11"/>
      <c r="Q2790" s="36"/>
    </row>
    <row r="2791">
      <c r="A2791" s="11"/>
      <c r="B2791" s="11"/>
      <c r="C2791" s="11"/>
      <c r="Q2791" s="36"/>
    </row>
    <row r="2792">
      <c r="A2792" s="11"/>
      <c r="B2792" s="11"/>
      <c r="C2792" s="11"/>
      <c r="Q2792" s="36"/>
    </row>
    <row r="2793">
      <c r="A2793" s="11"/>
      <c r="B2793" s="11"/>
      <c r="C2793" s="11"/>
      <c r="Q2793" s="36"/>
    </row>
    <row r="2794">
      <c r="A2794" s="11"/>
      <c r="B2794" s="11"/>
      <c r="C2794" s="11"/>
      <c r="Q2794" s="36"/>
    </row>
    <row r="2795">
      <c r="A2795" s="11"/>
      <c r="B2795" s="11"/>
      <c r="C2795" s="11"/>
      <c r="Q2795" s="36"/>
    </row>
    <row r="2796">
      <c r="A2796" s="11"/>
      <c r="B2796" s="11"/>
      <c r="C2796" s="11"/>
      <c r="Q2796" s="36"/>
    </row>
    <row r="2797">
      <c r="A2797" s="11"/>
      <c r="B2797" s="11"/>
      <c r="C2797" s="11"/>
      <c r="Q2797" s="36"/>
    </row>
    <row r="2798">
      <c r="A2798" s="11"/>
      <c r="B2798" s="11"/>
      <c r="C2798" s="11"/>
      <c r="Q2798" s="36"/>
    </row>
    <row r="2799">
      <c r="A2799" s="11"/>
      <c r="B2799" s="11"/>
      <c r="C2799" s="11"/>
      <c r="Q2799" s="36"/>
    </row>
    <row r="2800">
      <c r="A2800" s="11"/>
      <c r="B2800" s="11"/>
      <c r="C2800" s="11"/>
      <c r="Q2800" s="36"/>
    </row>
    <row r="2801">
      <c r="A2801" s="11"/>
      <c r="B2801" s="11"/>
      <c r="C2801" s="11"/>
      <c r="Q2801" s="36"/>
    </row>
    <row r="2802">
      <c r="A2802" s="11"/>
      <c r="B2802" s="11"/>
      <c r="C2802" s="11"/>
      <c r="Q2802" s="36"/>
    </row>
    <row r="2803">
      <c r="A2803" s="11"/>
      <c r="B2803" s="11"/>
      <c r="C2803" s="11"/>
      <c r="Q2803" s="36"/>
    </row>
    <row r="2804">
      <c r="A2804" s="11"/>
      <c r="B2804" s="11"/>
      <c r="C2804" s="11"/>
      <c r="Q2804" s="36"/>
    </row>
    <row r="2805">
      <c r="A2805" s="11"/>
      <c r="B2805" s="11"/>
      <c r="C2805" s="11"/>
      <c r="Q2805" s="36"/>
    </row>
    <row r="2806">
      <c r="A2806" s="11"/>
      <c r="B2806" s="11"/>
      <c r="C2806" s="11"/>
      <c r="Q2806" s="36"/>
    </row>
    <row r="2807">
      <c r="A2807" s="11"/>
      <c r="B2807" s="11"/>
      <c r="C2807" s="11"/>
      <c r="Q2807" s="36"/>
    </row>
    <row r="2808">
      <c r="A2808" s="11"/>
      <c r="B2808" s="11"/>
      <c r="C2808" s="11"/>
      <c r="Q2808" s="36"/>
    </row>
    <row r="2809">
      <c r="A2809" s="11"/>
      <c r="B2809" s="11"/>
      <c r="C2809" s="11"/>
      <c r="Q2809" s="36"/>
    </row>
    <row r="2810">
      <c r="A2810" s="11"/>
      <c r="B2810" s="11"/>
      <c r="C2810" s="11"/>
      <c r="Q2810" s="36"/>
    </row>
    <row r="2811">
      <c r="A2811" s="11"/>
      <c r="B2811" s="11"/>
      <c r="C2811" s="11"/>
      <c r="Q2811" s="36"/>
    </row>
    <row r="2812">
      <c r="A2812" s="11"/>
      <c r="B2812" s="11"/>
      <c r="C2812" s="11"/>
      <c r="Q2812" s="36"/>
    </row>
    <row r="2813">
      <c r="A2813" s="11"/>
      <c r="B2813" s="11"/>
      <c r="C2813" s="11"/>
      <c r="Q2813" s="36"/>
    </row>
    <row r="2814">
      <c r="A2814" s="11"/>
      <c r="B2814" s="11"/>
      <c r="C2814" s="11"/>
      <c r="Q2814" s="36"/>
    </row>
    <row r="2815">
      <c r="A2815" s="11"/>
      <c r="B2815" s="11"/>
      <c r="C2815" s="11"/>
      <c r="Q2815" s="36"/>
    </row>
    <row r="2816">
      <c r="A2816" s="11"/>
      <c r="B2816" s="11"/>
      <c r="C2816" s="11"/>
      <c r="Q2816" s="36"/>
    </row>
    <row r="2817">
      <c r="A2817" s="11"/>
      <c r="B2817" s="11"/>
      <c r="C2817" s="11"/>
      <c r="Q2817" s="36"/>
    </row>
    <row r="2818">
      <c r="A2818" s="11"/>
      <c r="B2818" s="11"/>
      <c r="C2818" s="11"/>
      <c r="Q2818" s="36"/>
    </row>
    <row r="2819">
      <c r="A2819" s="11"/>
      <c r="B2819" s="11"/>
      <c r="C2819" s="11"/>
      <c r="Q2819" s="36"/>
    </row>
    <row r="2820">
      <c r="A2820" s="11"/>
      <c r="B2820" s="11"/>
      <c r="C2820" s="11"/>
      <c r="Q2820" s="36"/>
    </row>
    <row r="2821">
      <c r="A2821" s="11"/>
      <c r="B2821" s="11"/>
      <c r="C2821" s="11"/>
      <c r="Q2821" s="36"/>
    </row>
    <row r="2822">
      <c r="A2822" s="11"/>
      <c r="B2822" s="11"/>
      <c r="C2822" s="11"/>
      <c r="Q2822" s="36"/>
    </row>
    <row r="2823">
      <c r="A2823" s="11"/>
      <c r="B2823" s="11"/>
      <c r="C2823" s="11"/>
      <c r="Q2823" s="36"/>
    </row>
    <row r="2824">
      <c r="A2824" s="11"/>
      <c r="B2824" s="11"/>
      <c r="C2824" s="11"/>
      <c r="Q2824" s="36"/>
    </row>
    <row r="2825">
      <c r="A2825" s="11"/>
      <c r="B2825" s="11"/>
      <c r="C2825" s="11"/>
      <c r="Q2825" s="36"/>
    </row>
    <row r="2826">
      <c r="A2826" s="11"/>
      <c r="B2826" s="11"/>
      <c r="C2826" s="11"/>
      <c r="Q2826" s="36"/>
    </row>
    <row r="2827">
      <c r="A2827" s="11"/>
      <c r="B2827" s="11"/>
      <c r="C2827" s="11"/>
      <c r="Q2827" s="36"/>
    </row>
    <row r="2828">
      <c r="A2828" s="11"/>
      <c r="B2828" s="11"/>
      <c r="C2828" s="11"/>
      <c r="Q2828" s="36"/>
    </row>
    <row r="2829">
      <c r="A2829" s="11"/>
      <c r="B2829" s="11"/>
      <c r="C2829" s="11"/>
      <c r="Q2829" s="36"/>
    </row>
    <row r="2830">
      <c r="A2830" s="11"/>
      <c r="B2830" s="11"/>
      <c r="C2830" s="11"/>
      <c r="Q2830" s="36"/>
    </row>
    <row r="2831">
      <c r="A2831" s="11"/>
      <c r="B2831" s="11"/>
      <c r="C2831" s="11"/>
      <c r="Q2831" s="36"/>
    </row>
    <row r="2832">
      <c r="A2832" s="11"/>
      <c r="B2832" s="11"/>
      <c r="C2832" s="11"/>
      <c r="Q2832" s="36"/>
    </row>
    <row r="2833">
      <c r="A2833" s="11"/>
      <c r="B2833" s="11"/>
      <c r="C2833" s="11"/>
      <c r="Q2833" s="36"/>
    </row>
    <row r="2834">
      <c r="A2834" s="11"/>
      <c r="B2834" s="11"/>
      <c r="C2834" s="11"/>
      <c r="Q2834" s="36"/>
    </row>
    <row r="2835">
      <c r="A2835" s="11"/>
      <c r="B2835" s="11"/>
      <c r="C2835" s="11"/>
      <c r="Q2835" s="36"/>
    </row>
    <row r="2836">
      <c r="A2836" s="11"/>
      <c r="B2836" s="11"/>
      <c r="C2836" s="11"/>
      <c r="Q2836" s="36"/>
    </row>
    <row r="2837">
      <c r="A2837" s="11"/>
      <c r="B2837" s="11"/>
      <c r="C2837" s="11"/>
      <c r="Q2837" s="36"/>
    </row>
    <row r="2838">
      <c r="A2838" s="11"/>
      <c r="B2838" s="11"/>
      <c r="C2838" s="11"/>
      <c r="Q2838" s="36"/>
    </row>
    <row r="2839">
      <c r="A2839" s="11"/>
      <c r="B2839" s="11"/>
      <c r="C2839" s="11"/>
      <c r="Q2839" s="36"/>
    </row>
    <row r="2840">
      <c r="A2840" s="11"/>
      <c r="B2840" s="11"/>
      <c r="C2840" s="11"/>
      <c r="Q2840" s="36"/>
    </row>
    <row r="2841">
      <c r="A2841" s="11"/>
      <c r="B2841" s="11"/>
      <c r="C2841" s="11"/>
      <c r="Q2841" s="36"/>
    </row>
    <row r="2842">
      <c r="A2842" s="11"/>
      <c r="B2842" s="11"/>
      <c r="C2842" s="11"/>
      <c r="Q2842" s="36"/>
    </row>
    <row r="2843">
      <c r="A2843" s="11"/>
      <c r="B2843" s="11"/>
      <c r="C2843" s="11"/>
      <c r="Q2843" s="36"/>
    </row>
    <row r="2844">
      <c r="A2844" s="11"/>
      <c r="B2844" s="11"/>
      <c r="C2844" s="11"/>
      <c r="Q2844" s="36"/>
    </row>
    <row r="2845">
      <c r="A2845" s="11"/>
      <c r="B2845" s="11"/>
      <c r="C2845" s="11"/>
      <c r="Q2845" s="36"/>
    </row>
    <row r="2846">
      <c r="A2846" s="11"/>
      <c r="B2846" s="11"/>
      <c r="C2846" s="11"/>
      <c r="Q2846" s="36"/>
    </row>
    <row r="2847">
      <c r="A2847" s="11"/>
      <c r="B2847" s="11"/>
      <c r="C2847" s="11"/>
      <c r="Q2847" s="36"/>
    </row>
    <row r="2848">
      <c r="A2848" s="11"/>
      <c r="B2848" s="11"/>
      <c r="C2848" s="11"/>
      <c r="Q2848" s="36"/>
    </row>
    <row r="2849">
      <c r="A2849" s="11"/>
      <c r="B2849" s="11"/>
      <c r="C2849" s="11"/>
      <c r="Q2849" s="36"/>
    </row>
    <row r="2850">
      <c r="A2850" s="11"/>
      <c r="B2850" s="11"/>
      <c r="C2850" s="11"/>
      <c r="Q2850" s="36"/>
    </row>
    <row r="2851">
      <c r="A2851" s="11"/>
      <c r="B2851" s="11"/>
      <c r="C2851" s="11"/>
      <c r="Q2851" s="36"/>
    </row>
    <row r="2852">
      <c r="A2852" s="11"/>
      <c r="B2852" s="11"/>
      <c r="C2852" s="11"/>
      <c r="Q2852" s="36"/>
    </row>
    <row r="2853">
      <c r="A2853" s="11"/>
      <c r="B2853" s="11"/>
      <c r="C2853" s="11"/>
      <c r="Q2853" s="36"/>
    </row>
    <row r="2854">
      <c r="A2854" s="11"/>
      <c r="B2854" s="11"/>
      <c r="C2854" s="11"/>
      <c r="Q2854" s="36"/>
    </row>
    <row r="2855">
      <c r="A2855" s="11"/>
      <c r="B2855" s="11"/>
      <c r="C2855" s="11"/>
      <c r="Q2855" s="36"/>
    </row>
    <row r="2856">
      <c r="A2856" s="11"/>
      <c r="B2856" s="11"/>
      <c r="C2856" s="11"/>
      <c r="Q2856" s="36"/>
    </row>
    <row r="2857">
      <c r="A2857" s="11"/>
      <c r="B2857" s="11"/>
      <c r="C2857" s="11"/>
      <c r="Q2857" s="36"/>
    </row>
    <row r="2858">
      <c r="A2858" s="11"/>
      <c r="B2858" s="11"/>
      <c r="C2858" s="11"/>
      <c r="Q2858" s="36"/>
    </row>
    <row r="2859">
      <c r="A2859" s="11"/>
      <c r="B2859" s="11"/>
      <c r="C2859" s="11"/>
      <c r="Q2859" s="36"/>
    </row>
    <row r="2860">
      <c r="A2860" s="11"/>
      <c r="B2860" s="11"/>
      <c r="C2860" s="11"/>
      <c r="Q2860" s="36"/>
    </row>
    <row r="2861">
      <c r="A2861" s="11"/>
      <c r="B2861" s="11"/>
      <c r="C2861" s="11"/>
      <c r="Q2861" s="36"/>
    </row>
    <row r="2862">
      <c r="A2862" s="11"/>
      <c r="B2862" s="11"/>
      <c r="C2862" s="11"/>
      <c r="Q2862" s="36"/>
    </row>
    <row r="2863">
      <c r="A2863" s="11"/>
      <c r="B2863" s="11"/>
      <c r="C2863" s="11"/>
      <c r="Q2863" s="36"/>
    </row>
    <row r="2864">
      <c r="A2864" s="11"/>
      <c r="B2864" s="11"/>
      <c r="C2864" s="11"/>
      <c r="Q2864" s="36"/>
    </row>
    <row r="2865">
      <c r="A2865" s="11"/>
      <c r="B2865" s="11"/>
      <c r="C2865" s="11"/>
      <c r="Q2865" s="36"/>
    </row>
    <row r="2866">
      <c r="A2866" s="11"/>
      <c r="B2866" s="11"/>
      <c r="C2866" s="11"/>
      <c r="Q2866" s="36"/>
    </row>
    <row r="2867">
      <c r="A2867" s="11"/>
      <c r="B2867" s="11"/>
      <c r="C2867" s="11"/>
      <c r="Q2867" s="36"/>
    </row>
    <row r="2868">
      <c r="A2868" s="11"/>
      <c r="B2868" s="11"/>
      <c r="C2868" s="11"/>
      <c r="Q2868" s="36"/>
    </row>
    <row r="2869">
      <c r="A2869" s="11"/>
      <c r="B2869" s="11"/>
      <c r="C2869" s="11"/>
      <c r="Q2869" s="36"/>
    </row>
    <row r="2870">
      <c r="A2870" s="11"/>
      <c r="B2870" s="11"/>
      <c r="C2870" s="11"/>
      <c r="Q2870" s="36"/>
    </row>
    <row r="2871">
      <c r="A2871" s="11"/>
      <c r="B2871" s="11"/>
      <c r="C2871" s="11"/>
      <c r="Q2871" s="36"/>
    </row>
    <row r="2872">
      <c r="A2872" s="11"/>
      <c r="B2872" s="11"/>
      <c r="C2872" s="11"/>
      <c r="Q2872" s="36"/>
    </row>
    <row r="2873">
      <c r="A2873" s="11"/>
      <c r="B2873" s="11"/>
      <c r="C2873" s="11"/>
      <c r="Q2873" s="36"/>
    </row>
    <row r="2874">
      <c r="A2874" s="11"/>
      <c r="B2874" s="11"/>
      <c r="C2874" s="11"/>
      <c r="Q2874" s="36"/>
    </row>
    <row r="2875">
      <c r="A2875" s="11"/>
      <c r="B2875" s="11"/>
      <c r="C2875" s="11"/>
      <c r="Q2875" s="36"/>
    </row>
    <row r="2876">
      <c r="A2876" s="11"/>
      <c r="B2876" s="11"/>
      <c r="C2876" s="11"/>
      <c r="Q2876" s="36"/>
    </row>
    <row r="2877">
      <c r="A2877" s="11"/>
      <c r="B2877" s="11"/>
      <c r="C2877" s="11"/>
      <c r="Q2877" s="36"/>
    </row>
    <row r="2878">
      <c r="A2878" s="11"/>
      <c r="B2878" s="11"/>
      <c r="C2878" s="11"/>
      <c r="Q2878" s="36"/>
    </row>
    <row r="2879">
      <c r="A2879" s="11"/>
      <c r="B2879" s="11"/>
      <c r="C2879" s="11"/>
      <c r="Q2879" s="36"/>
    </row>
    <row r="2880">
      <c r="A2880" s="11"/>
      <c r="B2880" s="11"/>
      <c r="C2880" s="11"/>
      <c r="Q2880" s="36"/>
    </row>
    <row r="2881">
      <c r="A2881" s="11"/>
      <c r="B2881" s="11"/>
      <c r="C2881" s="11"/>
      <c r="Q2881" s="36"/>
    </row>
    <row r="2882">
      <c r="A2882" s="11"/>
      <c r="B2882" s="11"/>
      <c r="C2882" s="11"/>
      <c r="Q2882" s="36"/>
    </row>
    <row r="2883">
      <c r="A2883" s="11"/>
      <c r="B2883" s="11"/>
      <c r="C2883" s="11"/>
      <c r="Q2883" s="36"/>
    </row>
    <row r="2884">
      <c r="A2884" s="11"/>
      <c r="B2884" s="11"/>
      <c r="C2884" s="11"/>
      <c r="Q2884" s="36"/>
    </row>
    <row r="2885">
      <c r="A2885" s="11"/>
      <c r="B2885" s="11"/>
      <c r="C2885" s="11"/>
      <c r="Q2885" s="36"/>
    </row>
    <row r="2886">
      <c r="A2886" s="11"/>
      <c r="B2886" s="11"/>
      <c r="C2886" s="11"/>
      <c r="Q2886" s="36"/>
    </row>
    <row r="2887">
      <c r="A2887" s="11"/>
      <c r="B2887" s="11"/>
      <c r="C2887" s="11"/>
      <c r="Q2887" s="36"/>
    </row>
    <row r="2888">
      <c r="A2888" s="11"/>
      <c r="B2888" s="11"/>
      <c r="C2888" s="11"/>
      <c r="Q2888" s="36"/>
    </row>
    <row r="2889">
      <c r="A2889" s="11"/>
      <c r="B2889" s="11"/>
      <c r="C2889" s="11"/>
      <c r="Q2889" s="36"/>
    </row>
    <row r="2890">
      <c r="A2890" s="11"/>
      <c r="B2890" s="11"/>
      <c r="C2890" s="11"/>
      <c r="Q2890" s="36"/>
    </row>
    <row r="2891">
      <c r="A2891" s="11"/>
      <c r="B2891" s="11"/>
      <c r="C2891" s="11"/>
      <c r="Q2891" s="36"/>
    </row>
    <row r="2892">
      <c r="A2892" s="11"/>
      <c r="B2892" s="11"/>
      <c r="C2892" s="11"/>
      <c r="Q2892" s="36"/>
    </row>
    <row r="2893">
      <c r="A2893" s="11"/>
      <c r="B2893" s="11"/>
      <c r="C2893" s="11"/>
      <c r="Q2893" s="36"/>
    </row>
    <row r="2894">
      <c r="A2894" s="11"/>
      <c r="B2894" s="11"/>
      <c r="C2894" s="11"/>
      <c r="Q2894" s="36"/>
    </row>
    <row r="2895">
      <c r="A2895" s="11"/>
      <c r="B2895" s="11"/>
      <c r="C2895" s="11"/>
      <c r="Q2895" s="36"/>
    </row>
    <row r="2896">
      <c r="A2896" s="11"/>
      <c r="B2896" s="11"/>
      <c r="C2896" s="11"/>
      <c r="Q2896" s="36"/>
    </row>
    <row r="2897">
      <c r="A2897" s="11"/>
      <c r="B2897" s="11"/>
      <c r="C2897" s="11"/>
      <c r="Q2897" s="36"/>
    </row>
    <row r="2898">
      <c r="A2898" s="11"/>
      <c r="B2898" s="11"/>
      <c r="C2898" s="11"/>
      <c r="Q2898" s="36"/>
    </row>
    <row r="2899">
      <c r="A2899" s="11"/>
      <c r="B2899" s="11"/>
      <c r="C2899" s="11"/>
      <c r="Q2899" s="36"/>
    </row>
    <row r="2900">
      <c r="A2900" s="11"/>
      <c r="B2900" s="11"/>
      <c r="C2900" s="11"/>
      <c r="Q2900" s="36"/>
    </row>
    <row r="2901">
      <c r="A2901" s="11"/>
      <c r="B2901" s="11"/>
      <c r="C2901" s="11"/>
      <c r="Q2901" s="36"/>
    </row>
    <row r="2902">
      <c r="A2902" s="11"/>
      <c r="B2902" s="11"/>
      <c r="C2902" s="11"/>
      <c r="Q2902" s="36"/>
    </row>
    <row r="2903">
      <c r="A2903" s="11"/>
      <c r="B2903" s="11"/>
      <c r="C2903" s="11"/>
      <c r="Q2903" s="36"/>
    </row>
    <row r="2904">
      <c r="A2904" s="11"/>
      <c r="B2904" s="11"/>
      <c r="C2904" s="11"/>
      <c r="Q2904" s="36"/>
    </row>
    <row r="2905">
      <c r="A2905" s="11"/>
      <c r="B2905" s="11"/>
      <c r="C2905" s="11"/>
      <c r="Q2905" s="36"/>
    </row>
    <row r="2906">
      <c r="A2906" s="11"/>
      <c r="B2906" s="11"/>
      <c r="C2906" s="11"/>
      <c r="Q2906" s="36"/>
    </row>
    <row r="2907">
      <c r="A2907" s="11"/>
      <c r="B2907" s="11"/>
      <c r="C2907" s="11"/>
      <c r="Q2907" s="36"/>
    </row>
    <row r="2908">
      <c r="A2908" s="11"/>
      <c r="B2908" s="11"/>
      <c r="C2908" s="11"/>
      <c r="Q2908" s="36"/>
    </row>
    <row r="2909">
      <c r="A2909" s="11"/>
      <c r="B2909" s="11"/>
      <c r="C2909" s="11"/>
      <c r="Q2909" s="36"/>
    </row>
    <row r="2910">
      <c r="A2910" s="11"/>
      <c r="B2910" s="11"/>
      <c r="C2910" s="11"/>
      <c r="Q2910" s="36"/>
    </row>
    <row r="2911">
      <c r="A2911" s="11"/>
      <c r="B2911" s="11"/>
      <c r="C2911" s="11"/>
      <c r="Q2911" s="36"/>
    </row>
    <row r="2912">
      <c r="A2912" s="11"/>
      <c r="B2912" s="11"/>
      <c r="C2912" s="11"/>
      <c r="Q2912" s="36"/>
    </row>
    <row r="2913">
      <c r="A2913" s="11"/>
      <c r="B2913" s="11"/>
      <c r="C2913" s="11"/>
      <c r="Q2913" s="36"/>
    </row>
    <row r="2914">
      <c r="A2914" s="11"/>
      <c r="B2914" s="11"/>
      <c r="C2914" s="11"/>
      <c r="Q2914" s="36"/>
    </row>
    <row r="2915">
      <c r="A2915" s="11"/>
      <c r="B2915" s="11"/>
      <c r="C2915" s="11"/>
      <c r="Q2915" s="36"/>
    </row>
    <row r="2916">
      <c r="A2916" s="11"/>
      <c r="B2916" s="11"/>
      <c r="C2916" s="11"/>
      <c r="Q2916" s="36"/>
    </row>
    <row r="2917">
      <c r="A2917" s="11"/>
      <c r="B2917" s="11"/>
      <c r="C2917" s="11"/>
      <c r="Q2917" s="36"/>
    </row>
    <row r="2918">
      <c r="A2918" s="11"/>
      <c r="B2918" s="11"/>
      <c r="C2918" s="11"/>
      <c r="Q2918" s="36"/>
    </row>
    <row r="2919">
      <c r="A2919" s="11"/>
      <c r="B2919" s="11"/>
      <c r="C2919" s="11"/>
      <c r="Q2919" s="36"/>
    </row>
    <row r="2920">
      <c r="A2920" s="11"/>
      <c r="B2920" s="11"/>
      <c r="C2920" s="11"/>
      <c r="Q2920" s="36"/>
    </row>
    <row r="2921">
      <c r="A2921" s="11"/>
      <c r="B2921" s="11"/>
      <c r="C2921" s="11"/>
      <c r="Q2921" s="36"/>
    </row>
    <row r="2922">
      <c r="A2922" s="11"/>
      <c r="B2922" s="11"/>
      <c r="C2922" s="11"/>
      <c r="Q2922" s="36"/>
    </row>
    <row r="2923">
      <c r="A2923" s="11"/>
      <c r="B2923" s="11"/>
      <c r="C2923" s="11"/>
      <c r="Q2923" s="36"/>
    </row>
    <row r="2924">
      <c r="A2924" s="11"/>
      <c r="B2924" s="11"/>
      <c r="C2924" s="11"/>
      <c r="Q2924" s="36"/>
    </row>
    <row r="2925">
      <c r="A2925" s="11"/>
      <c r="B2925" s="11"/>
      <c r="C2925" s="11"/>
      <c r="Q2925" s="36"/>
    </row>
    <row r="2926">
      <c r="A2926" s="11"/>
      <c r="B2926" s="11"/>
      <c r="C2926" s="11"/>
      <c r="Q2926" s="36"/>
    </row>
    <row r="2927">
      <c r="A2927" s="11"/>
      <c r="B2927" s="11"/>
      <c r="C2927" s="11"/>
      <c r="Q2927" s="36"/>
    </row>
    <row r="2928">
      <c r="A2928" s="11"/>
      <c r="B2928" s="11"/>
      <c r="C2928" s="11"/>
      <c r="Q2928" s="36"/>
    </row>
    <row r="2929">
      <c r="A2929" s="11"/>
      <c r="B2929" s="11"/>
      <c r="C2929" s="11"/>
      <c r="Q2929" s="36"/>
    </row>
    <row r="2930">
      <c r="A2930" s="11"/>
      <c r="B2930" s="11"/>
      <c r="C2930" s="11"/>
      <c r="Q2930" s="36"/>
    </row>
    <row r="2931">
      <c r="A2931" s="11"/>
      <c r="B2931" s="11"/>
      <c r="C2931" s="11"/>
      <c r="Q2931" s="36"/>
    </row>
    <row r="2932">
      <c r="A2932" s="11"/>
      <c r="B2932" s="11"/>
      <c r="C2932" s="11"/>
      <c r="Q2932" s="36"/>
    </row>
    <row r="2933">
      <c r="A2933" s="11"/>
      <c r="B2933" s="11"/>
      <c r="C2933" s="11"/>
      <c r="Q2933" s="36"/>
    </row>
    <row r="2934">
      <c r="A2934" s="11"/>
      <c r="B2934" s="11"/>
      <c r="C2934" s="11"/>
      <c r="Q2934" s="36"/>
    </row>
    <row r="2935">
      <c r="A2935" s="11"/>
      <c r="B2935" s="11"/>
      <c r="C2935" s="11"/>
      <c r="Q2935" s="36"/>
    </row>
    <row r="2936">
      <c r="A2936" s="11"/>
      <c r="B2936" s="11"/>
      <c r="C2936" s="11"/>
      <c r="Q2936" s="36"/>
    </row>
    <row r="2937">
      <c r="A2937" s="11"/>
      <c r="B2937" s="11"/>
      <c r="C2937" s="11"/>
      <c r="Q2937" s="36"/>
    </row>
    <row r="2938">
      <c r="A2938" s="11"/>
      <c r="B2938" s="11"/>
      <c r="C2938" s="11"/>
      <c r="Q2938" s="36"/>
    </row>
    <row r="2939">
      <c r="A2939" s="11"/>
      <c r="B2939" s="11"/>
      <c r="C2939" s="11"/>
      <c r="Q2939" s="36"/>
    </row>
    <row r="2940">
      <c r="A2940" s="11"/>
      <c r="B2940" s="11"/>
      <c r="C2940" s="11"/>
      <c r="Q2940" s="36"/>
    </row>
    <row r="2941">
      <c r="A2941" s="11"/>
      <c r="B2941" s="11"/>
      <c r="C2941" s="11"/>
      <c r="Q2941" s="36"/>
    </row>
    <row r="2942">
      <c r="A2942" s="11"/>
      <c r="B2942" s="11"/>
      <c r="C2942" s="11"/>
      <c r="Q2942" s="36"/>
    </row>
    <row r="2943">
      <c r="A2943" s="11"/>
      <c r="B2943" s="11"/>
      <c r="C2943" s="11"/>
      <c r="Q2943" s="36"/>
    </row>
    <row r="2944">
      <c r="A2944" s="11"/>
      <c r="B2944" s="11"/>
      <c r="C2944" s="11"/>
      <c r="Q2944" s="36"/>
    </row>
    <row r="2945">
      <c r="A2945" s="11"/>
      <c r="B2945" s="11"/>
      <c r="C2945" s="11"/>
      <c r="Q2945" s="36"/>
    </row>
    <row r="2946">
      <c r="A2946" s="11"/>
      <c r="B2946" s="11"/>
      <c r="C2946" s="11"/>
      <c r="Q2946" s="36"/>
    </row>
    <row r="2947">
      <c r="A2947" s="11"/>
      <c r="B2947" s="11"/>
      <c r="C2947" s="11"/>
      <c r="Q2947" s="36"/>
    </row>
    <row r="2948">
      <c r="A2948" s="11"/>
      <c r="B2948" s="11"/>
      <c r="C2948" s="11"/>
      <c r="Q2948" s="36"/>
    </row>
    <row r="2949">
      <c r="A2949" s="11"/>
      <c r="B2949" s="11"/>
      <c r="C2949" s="11"/>
      <c r="Q2949" s="36"/>
    </row>
    <row r="2950">
      <c r="A2950" s="11"/>
      <c r="B2950" s="11"/>
      <c r="C2950" s="11"/>
      <c r="Q2950" s="36"/>
    </row>
    <row r="2951">
      <c r="A2951" s="11"/>
      <c r="B2951" s="11"/>
      <c r="C2951" s="11"/>
      <c r="Q2951" s="36"/>
    </row>
    <row r="2952">
      <c r="A2952" s="11"/>
      <c r="B2952" s="11"/>
      <c r="C2952" s="11"/>
      <c r="Q2952" s="36"/>
    </row>
    <row r="2953">
      <c r="A2953" s="11"/>
      <c r="B2953" s="11"/>
      <c r="C2953" s="11"/>
      <c r="Q2953" s="36"/>
    </row>
    <row r="2954">
      <c r="A2954" s="11"/>
      <c r="B2954" s="11"/>
      <c r="C2954" s="11"/>
      <c r="Q2954" s="36"/>
    </row>
    <row r="2955">
      <c r="A2955" s="11"/>
      <c r="B2955" s="11"/>
      <c r="C2955" s="11"/>
      <c r="Q2955" s="36"/>
    </row>
    <row r="2956">
      <c r="A2956" s="11"/>
      <c r="B2956" s="11"/>
      <c r="C2956" s="11"/>
      <c r="Q2956" s="36"/>
    </row>
    <row r="2957">
      <c r="A2957" s="11"/>
      <c r="B2957" s="11"/>
      <c r="C2957" s="11"/>
      <c r="Q2957" s="36"/>
    </row>
    <row r="2958">
      <c r="A2958" s="11"/>
      <c r="B2958" s="11"/>
      <c r="C2958" s="11"/>
      <c r="Q2958" s="36"/>
    </row>
    <row r="2959">
      <c r="A2959" s="11"/>
      <c r="B2959" s="11"/>
      <c r="C2959" s="11"/>
      <c r="Q2959" s="36"/>
    </row>
    <row r="2960">
      <c r="A2960" s="11"/>
      <c r="B2960" s="11"/>
      <c r="C2960" s="11"/>
      <c r="Q2960" s="36"/>
    </row>
    <row r="2961">
      <c r="A2961" s="11"/>
      <c r="B2961" s="11"/>
      <c r="C2961" s="11"/>
      <c r="Q2961" s="36"/>
    </row>
    <row r="2962">
      <c r="A2962" s="11"/>
      <c r="B2962" s="11"/>
      <c r="C2962" s="11"/>
      <c r="Q2962" s="36"/>
    </row>
    <row r="2963">
      <c r="A2963" s="11"/>
      <c r="B2963" s="11"/>
      <c r="C2963" s="11"/>
      <c r="Q2963" s="36"/>
    </row>
    <row r="2964">
      <c r="A2964" s="11"/>
      <c r="B2964" s="11"/>
      <c r="C2964" s="11"/>
      <c r="Q2964" s="36"/>
    </row>
    <row r="2965">
      <c r="A2965" s="11"/>
      <c r="B2965" s="11"/>
      <c r="C2965" s="11"/>
      <c r="Q2965" s="36"/>
    </row>
    <row r="2966">
      <c r="A2966" s="11"/>
      <c r="B2966" s="11"/>
      <c r="C2966" s="11"/>
      <c r="Q2966" s="36"/>
    </row>
    <row r="2967">
      <c r="A2967" s="11"/>
      <c r="B2967" s="11"/>
      <c r="C2967" s="11"/>
      <c r="Q2967" s="36"/>
    </row>
    <row r="2968">
      <c r="A2968" s="11"/>
      <c r="B2968" s="11"/>
      <c r="C2968" s="11"/>
      <c r="Q2968" s="36"/>
    </row>
    <row r="2969">
      <c r="A2969" s="11"/>
      <c r="B2969" s="11"/>
      <c r="C2969" s="11"/>
      <c r="Q2969" s="36"/>
    </row>
    <row r="2970">
      <c r="A2970" s="11"/>
      <c r="B2970" s="11"/>
      <c r="C2970" s="11"/>
      <c r="Q2970" s="36"/>
    </row>
    <row r="2971">
      <c r="A2971" s="11"/>
      <c r="B2971" s="11"/>
      <c r="C2971" s="11"/>
      <c r="Q2971" s="36"/>
    </row>
    <row r="2972">
      <c r="A2972" s="11"/>
      <c r="B2972" s="11"/>
      <c r="C2972" s="11"/>
      <c r="Q2972" s="36"/>
    </row>
    <row r="2973">
      <c r="A2973" s="11"/>
      <c r="B2973" s="11"/>
      <c r="C2973" s="11"/>
      <c r="Q2973" s="36"/>
    </row>
    <row r="2974">
      <c r="A2974" s="11"/>
      <c r="B2974" s="11"/>
      <c r="C2974" s="11"/>
      <c r="Q2974" s="36"/>
    </row>
    <row r="2975">
      <c r="A2975" s="11"/>
      <c r="B2975" s="11"/>
      <c r="C2975" s="11"/>
      <c r="Q2975" s="36"/>
    </row>
    <row r="2976">
      <c r="A2976" s="11"/>
      <c r="B2976" s="11"/>
      <c r="C2976" s="11"/>
      <c r="Q2976" s="36"/>
    </row>
    <row r="2977">
      <c r="A2977" s="11"/>
      <c r="B2977" s="11"/>
      <c r="C2977" s="11"/>
      <c r="Q2977" s="36"/>
    </row>
    <row r="2978">
      <c r="A2978" s="11"/>
      <c r="B2978" s="11"/>
      <c r="C2978" s="11"/>
      <c r="Q2978" s="36"/>
    </row>
    <row r="2979">
      <c r="A2979" s="11"/>
      <c r="B2979" s="11"/>
      <c r="C2979" s="11"/>
      <c r="Q2979" s="36"/>
    </row>
    <row r="2980">
      <c r="A2980" s="11"/>
      <c r="B2980" s="11"/>
      <c r="C2980" s="11"/>
      <c r="Q2980" s="36"/>
    </row>
    <row r="2981">
      <c r="A2981" s="11"/>
      <c r="B2981" s="11"/>
      <c r="C2981" s="11"/>
      <c r="Q2981" s="36"/>
    </row>
    <row r="2982">
      <c r="A2982" s="11"/>
      <c r="B2982" s="11"/>
      <c r="C2982" s="11"/>
      <c r="Q2982" s="36"/>
    </row>
    <row r="2983">
      <c r="A2983" s="11"/>
      <c r="B2983" s="11"/>
      <c r="C2983" s="11"/>
      <c r="Q2983" s="36"/>
    </row>
    <row r="2984">
      <c r="A2984" s="11"/>
      <c r="B2984" s="11"/>
      <c r="C2984" s="11"/>
      <c r="Q2984" s="36"/>
    </row>
    <row r="2985">
      <c r="A2985" s="11"/>
      <c r="B2985" s="11"/>
      <c r="C2985" s="11"/>
      <c r="Q2985" s="36"/>
    </row>
    <row r="2986">
      <c r="A2986" s="11"/>
      <c r="B2986" s="11"/>
      <c r="C2986" s="11"/>
      <c r="Q2986" s="36"/>
    </row>
    <row r="2987">
      <c r="A2987" s="11"/>
      <c r="B2987" s="11"/>
      <c r="C2987" s="11"/>
      <c r="Q2987" s="36"/>
    </row>
    <row r="2988">
      <c r="A2988" s="11"/>
      <c r="B2988" s="11"/>
      <c r="C2988" s="11"/>
      <c r="Q2988" s="36"/>
    </row>
    <row r="2989">
      <c r="A2989" s="11"/>
      <c r="B2989" s="11"/>
      <c r="C2989" s="11"/>
      <c r="Q2989" s="36"/>
    </row>
    <row r="2990">
      <c r="A2990" s="11"/>
      <c r="B2990" s="11"/>
      <c r="C2990" s="11"/>
      <c r="Q2990" s="36"/>
    </row>
    <row r="2991">
      <c r="A2991" s="11"/>
      <c r="B2991" s="11"/>
      <c r="C2991" s="11"/>
      <c r="Q2991" s="36"/>
    </row>
    <row r="2992">
      <c r="A2992" s="11"/>
      <c r="B2992" s="11"/>
      <c r="C2992" s="11"/>
      <c r="Q2992" s="36"/>
    </row>
    <row r="2993">
      <c r="A2993" s="11"/>
      <c r="B2993" s="11"/>
      <c r="C2993" s="11"/>
      <c r="Q2993" s="36"/>
    </row>
    <row r="2994">
      <c r="A2994" s="11"/>
      <c r="B2994" s="11"/>
      <c r="C2994" s="11"/>
      <c r="Q2994" s="36"/>
    </row>
    <row r="2995">
      <c r="A2995" s="11"/>
      <c r="B2995" s="11"/>
      <c r="C2995" s="11"/>
      <c r="Q2995" s="36"/>
    </row>
    <row r="2996">
      <c r="A2996" s="11"/>
      <c r="B2996" s="11"/>
      <c r="C2996" s="11"/>
      <c r="Q2996" s="36"/>
    </row>
    <row r="2997">
      <c r="A2997" s="11"/>
      <c r="B2997" s="11"/>
      <c r="C2997" s="11"/>
      <c r="Q2997" s="36"/>
    </row>
    <row r="2998">
      <c r="A2998" s="11"/>
      <c r="B2998" s="11"/>
      <c r="C2998" s="11"/>
      <c r="Q2998" s="36"/>
    </row>
    <row r="2999">
      <c r="A2999" s="11"/>
      <c r="B2999" s="11"/>
      <c r="C2999" s="11"/>
      <c r="Q2999" s="36"/>
    </row>
    <row r="3000">
      <c r="A3000" s="11"/>
      <c r="B3000" s="11"/>
      <c r="C3000" s="11"/>
      <c r="Q3000" s="36"/>
    </row>
    <row r="3001">
      <c r="A3001" s="11"/>
      <c r="B3001" s="11"/>
      <c r="C3001" s="11"/>
      <c r="Q3001" s="36"/>
    </row>
    <row r="3002">
      <c r="A3002" s="11"/>
      <c r="B3002" s="11"/>
      <c r="C3002" s="11"/>
      <c r="Q3002" s="36"/>
    </row>
    <row r="3003">
      <c r="A3003" s="11"/>
      <c r="B3003" s="11"/>
      <c r="C3003" s="11"/>
      <c r="Q3003" s="36"/>
    </row>
    <row r="3004">
      <c r="A3004" s="11"/>
      <c r="B3004" s="11"/>
      <c r="C3004" s="11"/>
      <c r="Q3004" s="36"/>
    </row>
    <row r="3005">
      <c r="A3005" s="11"/>
      <c r="B3005" s="11"/>
      <c r="C3005" s="11"/>
      <c r="Q3005" s="36"/>
    </row>
    <row r="3006">
      <c r="A3006" s="11"/>
      <c r="B3006" s="11"/>
      <c r="C3006" s="11"/>
      <c r="Q3006" s="36"/>
    </row>
    <row r="3007">
      <c r="A3007" s="11"/>
      <c r="B3007" s="11"/>
      <c r="C3007" s="11"/>
      <c r="Q3007" s="36"/>
    </row>
    <row r="3008">
      <c r="A3008" s="11"/>
      <c r="B3008" s="11"/>
      <c r="C3008" s="11"/>
      <c r="Q3008" s="36"/>
    </row>
    <row r="3009">
      <c r="A3009" s="11"/>
      <c r="B3009" s="11"/>
      <c r="C3009" s="11"/>
      <c r="Q3009" s="36"/>
    </row>
    <row r="3010">
      <c r="A3010" s="11"/>
      <c r="B3010" s="11"/>
      <c r="C3010" s="11"/>
      <c r="Q3010" s="36"/>
    </row>
    <row r="3011">
      <c r="A3011" s="11"/>
      <c r="B3011" s="11"/>
      <c r="C3011" s="11"/>
      <c r="Q3011" s="36"/>
    </row>
    <row r="3012">
      <c r="A3012" s="11"/>
      <c r="B3012" s="11"/>
      <c r="C3012" s="11"/>
      <c r="Q3012" s="36"/>
    </row>
    <row r="3013">
      <c r="A3013" s="11"/>
      <c r="B3013" s="11"/>
      <c r="C3013" s="11"/>
      <c r="Q3013" s="36"/>
    </row>
    <row r="3014">
      <c r="A3014" s="11"/>
      <c r="B3014" s="11"/>
      <c r="C3014" s="11"/>
      <c r="Q3014" s="36"/>
    </row>
    <row r="3015">
      <c r="A3015" s="11"/>
      <c r="B3015" s="11"/>
      <c r="C3015" s="11"/>
      <c r="Q3015" s="36"/>
    </row>
    <row r="3016">
      <c r="A3016" s="11"/>
      <c r="B3016" s="11"/>
      <c r="C3016" s="11"/>
      <c r="Q3016" s="36"/>
    </row>
    <row r="3017">
      <c r="A3017" s="11"/>
      <c r="B3017" s="11"/>
      <c r="C3017" s="11"/>
      <c r="Q3017" s="36"/>
    </row>
    <row r="3018">
      <c r="A3018" s="11"/>
      <c r="B3018" s="11"/>
      <c r="C3018" s="11"/>
      <c r="Q3018" s="36"/>
    </row>
    <row r="3019">
      <c r="A3019" s="11"/>
      <c r="B3019" s="11"/>
      <c r="C3019" s="11"/>
      <c r="Q3019" s="36"/>
    </row>
    <row r="3020">
      <c r="A3020" s="11"/>
      <c r="B3020" s="11"/>
      <c r="C3020" s="11"/>
      <c r="Q3020" s="36"/>
    </row>
    <row r="3021">
      <c r="A3021" s="11"/>
      <c r="B3021" s="11"/>
      <c r="C3021" s="11"/>
      <c r="Q3021" s="36"/>
    </row>
    <row r="3022">
      <c r="A3022" s="11"/>
      <c r="B3022" s="11"/>
      <c r="C3022" s="11"/>
      <c r="Q3022" s="36"/>
    </row>
    <row r="3023">
      <c r="A3023" s="11"/>
      <c r="B3023" s="11"/>
      <c r="C3023" s="11"/>
      <c r="Q3023" s="36"/>
    </row>
    <row r="3024">
      <c r="A3024" s="11"/>
      <c r="B3024" s="11"/>
      <c r="C3024" s="11"/>
      <c r="Q3024" s="36"/>
    </row>
    <row r="3025">
      <c r="A3025" s="11"/>
      <c r="B3025" s="11"/>
      <c r="C3025" s="11"/>
      <c r="Q3025" s="36"/>
    </row>
    <row r="3026">
      <c r="A3026" s="11"/>
      <c r="B3026" s="11"/>
      <c r="C3026" s="11"/>
      <c r="Q3026" s="36"/>
    </row>
    <row r="3027">
      <c r="A3027" s="11"/>
      <c r="B3027" s="11"/>
      <c r="C3027" s="11"/>
      <c r="Q3027" s="36"/>
    </row>
    <row r="3028">
      <c r="A3028" s="11"/>
      <c r="B3028" s="11"/>
      <c r="C3028" s="11"/>
      <c r="Q3028" s="36"/>
    </row>
    <row r="3029">
      <c r="A3029" s="11"/>
      <c r="B3029" s="11"/>
      <c r="C3029" s="11"/>
      <c r="Q3029" s="36"/>
    </row>
    <row r="3030">
      <c r="A3030" s="11"/>
      <c r="B3030" s="11"/>
      <c r="C3030" s="11"/>
      <c r="Q3030" s="36"/>
    </row>
    <row r="3031">
      <c r="A3031" s="11"/>
      <c r="B3031" s="11"/>
      <c r="C3031" s="11"/>
      <c r="Q3031" s="36"/>
    </row>
    <row r="3032">
      <c r="A3032" s="11"/>
      <c r="B3032" s="11"/>
      <c r="C3032" s="11"/>
      <c r="Q3032" s="36"/>
    </row>
    <row r="3033">
      <c r="A3033" s="11"/>
      <c r="B3033" s="11"/>
      <c r="C3033" s="11"/>
      <c r="Q3033" s="36"/>
    </row>
    <row r="3034">
      <c r="A3034" s="11"/>
      <c r="B3034" s="11"/>
      <c r="C3034" s="11"/>
      <c r="Q3034" s="36"/>
    </row>
    <row r="3035">
      <c r="A3035" s="11"/>
      <c r="B3035" s="11"/>
      <c r="C3035" s="11"/>
      <c r="Q3035" s="36"/>
    </row>
    <row r="3036">
      <c r="A3036" s="11"/>
      <c r="B3036" s="11"/>
      <c r="C3036" s="11"/>
      <c r="Q3036" s="36"/>
    </row>
    <row r="3037">
      <c r="A3037" s="11"/>
      <c r="B3037" s="11"/>
      <c r="C3037" s="11"/>
      <c r="Q3037" s="36"/>
    </row>
    <row r="3038">
      <c r="A3038" s="11"/>
      <c r="B3038" s="11"/>
      <c r="C3038" s="11"/>
      <c r="Q3038" s="36"/>
    </row>
    <row r="3039">
      <c r="A3039" s="11"/>
      <c r="B3039" s="11"/>
      <c r="C3039" s="11"/>
      <c r="Q3039" s="36"/>
    </row>
    <row r="3040">
      <c r="A3040" s="11"/>
      <c r="B3040" s="11"/>
      <c r="C3040" s="11"/>
      <c r="Q3040" s="36"/>
    </row>
    <row r="3041">
      <c r="A3041" s="11"/>
      <c r="B3041" s="11"/>
      <c r="C3041" s="11"/>
      <c r="Q3041" s="36"/>
    </row>
    <row r="3042">
      <c r="A3042" s="11"/>
      <c r="B3042" s="11"/>
      <c r="C3042" s="11"/>
      <c r="Q3042" s="36"/>
    </row>
    <row r="3043">
      <c r="A3043" s="11"/>
      <c r="B3043" s="11"/>
      <c r="C3043" s="11"/>
      <c r="Q3043" s="36"/>
    </row>
    <row r="3044">
      <c r="A3044" s="11"/>
      <c r="B3044" s="11"/>
      <c r="C3044" s="11"/>
      <c r="Q3044" s="36"/>
    </row>
    <row r="3045">
      <c r="A3045" s="11"/>
      <c r="B3045" s="11"/>
      <c r="C3045" s="11"/>
      <c r="Q3045" s="36"/>
    </row>
    <row r="3046">
      <c r="A3046" s="11"/>
      <c r="B3046" s="11"/>
      <c r="C3046" s="11"/>
      <c r="Q3046" s="36"/>
    </row>
    <row r="3047">
      <c r="A3047" s="11"/>
      <c r="B3047" s="11"/>
      <c r="C3047" s="11"/>
      <c r="Q3047" s="36"/>
    </row>
    <row r="3048">
      <c r="A3048" s="11"/>
      <c r="B3048" s="11"/>
      <c r="C3048" s="11"/>
      <c r="Q3048" s="36"/>
    </row>
    <row r="3049">
      <c r="A3049" s="11"/>
      <c r="B3049" s="11"/>
      <c r="C3049" s="11"/>
      <c r="Q3049" s="36"/>
    </row>
    <row r="3050">
      <c r="A3050" s="11"/>
      <c r="B3050" s="11"/>
      <c r="C3050" s="11"/>
      <c r="Q3050" s="36"/>
    </row>
    <row r="3051">
      <c r="A3051" s="11"/>
      <c r="B3051" s="11"/>
      <c r="C3051" s="11"/>
      <c r="Q3051" s="36"/>
    </row>
    <row r="3052">
      <c r="A3052" s="11"/>
      <c r="B3052" s="11"/>
      <c r="C3052" s="11"/>
      <c r="Q3052" s="36"/>
    </row>
    <row r="3053">
      <c r="A3053" s="11"/>
      <c r="B3053" s="11"/>
      <c r="C3053" s="11"/>
      <c r="Q3053" s="36"/>
    </row>
    <row r="3054">
      <c r="A3054" s="11"/>
      <c r="B3054" s="11"/>
      <c r="C3054" s="11"/>
      <c r="Q3054" s="36"/>
    </row>
    <row r="3055">
      <c r="A3055" s="11"/>
      <c r="B3055" s="11"/>
      <c r="C3055" s="11"/>
      <c r="Q3055" s="36"/>
    </row>
    <row r="3056">
      <c r="A3056" s="11"/>
      <c r="B3056" s="11"/>
      <c r="C3056" s="11"/>
      <c r="Q3056" s="36"/>
    </row>
    <row r="3057">
      <c r="A3057" s="11"/>
      <c r="B3057" s="11"/>
      <c r="C3057" s="11"/>
      <c r="Q3057" s="36"/>
    </row>
    <row r="3058">
      <c r="A3058" s="11"/>
      <c r="B3058" s="11"/>
      <c r="C3058" s="11"/>
      <c r="Q3058" s="36"/>
    </row>
    <row r="3059">
      <c r="A3059" s="11"/>
      <c r="B3059" s="11"/>
      <c r="C3059" s="11"/>
      <c r="Q3059" s="36"/>
    </row>
    <row r="3060">
      <c r="A3060" s="11"/>
      <c r="B3060" s="11"/>
      <c r="C3060" s="11"/>
      <c r="Q3060" s="36"/>
    </row>
    <row r="3061">
      <c r="A3061" s="11"/>
      <c r="B3061" s="11"/>
      <c r="C3061" s="11"/>
      <c r="Q3061" s="36"/>
    </row>
    <row r="3062">
      <c r="A3062" s="11"/>
      <c r="B3062" s="11"/>
      <c r="C3062" s="11"/>
      <c r="Q3062" s="36"/>
    </row>
    <row r="3063">
      <c r="A3063" s="11"/>
      <c r="B3063" s="11"/>
      <c r="C3063" s="11"/>
      <c r="Q3063" s="36"/>
    </row>
    <row r="3064">
      <c r="A3064" s="11"/>
      <c r="B3064" s="11"/>
      <c r="C3064" s="11"/>
      <c r="Q3064" s="36"/>
    </row>
    <row r="3065">
      <c r="A3065" s="11"/>
      <c r="B3065" s="11"/>
      <c r="C3065" s="11"/>
      <c r="Q3065" s="36"/>
    </row>
    <row r="3066">
      <c r="A3066" s="11"/>
      <c r="B3066" s="11"/>
      <c r="C3066" s="11"/>
      <c r="Q3066" s="36"/>
    </row>
    <row r="3067">
      <c r="A3067" s="11"/>
      <c r="B3067" s="11"/>
      <c r="C3067" s="11"/>
      <c r="Q3067" s="36"/>
    </row>
    <row r="3068">
      <c r="A3068" s="11"/>
      <c r="B3068" s="11"/>
      <c r="C3068" s="11"/>
      <c r="Q3068" s="36"/>
    </row>
    <row r="3069">
      <c r="A3069" s="11"/>
      <c r="B3069" s="11"/>
      <c r="C3069" s="11"/>
      <c r="Q3069" s="36"/>
    </row>
    <row r="3070">
      <c r="A3070" s="11"/>
      <c r="B3070" s="11"/>
      <c r="C3070" s="11"/>
      <c r="Q3070" s="36"/>
    </row>
    <row r="3071">
      <c r="A3071" s="11"/>
      <c r="B3071" s="11"/>
      <c r="C3071" s="11"/>
      <c r="Q3071" s="36"/>
    </row>
    <row r="3072">
      <c r="A3072" s="11"/>
      <c r="B3072" s="11"/>
      <c r="C3072" s="11"/>
      <c r="Q3072" s="36"/>
    </row>
    <row r="3073">
      <c r="A3073" s="11"/>
      <c r="B3073" s="11"/>
      <c r="C3073" s="11"/>
      <c r="Q3073" s="36"/>
    </row>
    <row r="3074">
      <c r="A3074" s="11"/>
      <c r="B3074" s="11"/>
      <c r="C3074" s="11"/>
      <c r="Q3074" s="36"/>
    </row>
    <row r="3075">
      <c r="A3075" s="11"/>
      <c r="B3075" s="11"/>
      <c r="C3075" s="11"/>
      <c r="Q3075" s="36"/>
    </row>
    <row r="3076">
      <c r="A3076" s="11"/>
      <c r="B3076" s="11"/>
      <c r="C3076" s="11"/>
      <c r="Q3076" s="36"/>
    </row>
    <row r="3077">
      <c r="A3077" s="11"/>
      <c r="B3077" s="11"/>
      <c r="C3077" s="11"/>
      <c r="Q3077" s="36"/>
    </row>
    <row r="3078">
      <c r="A3078" s="11"/>
      <c r="B3078" s="11"/>
      <c r="C3078" s="11"/>
      <c r="Q3078" s="36"/>
    </row>
    <row r="3079">
      <c r="A3079" s="11"/>
      <c r="B3079" s="11"/>
      <c r="C3079" s="11"/>
      <c r="Q3079" s="36"/>
    </row>
    <row r="3080">
      <c r="A3080" s="11"/>
      <c r="B3080" s="11"/>
      <c r="C3080" s="11"/>
      <c r="Q3080" s="36"/>
    </row>
    <row r="3081">
      <c r="A3081" s="11"/>
      <c r="B3081" s="11"/>
      <c r="C3081" s="11"/>
      <c r="Q3081" s="36"/>
    </row>
    <row r="3082">
      <c r="A3082" s="11"/>
      <c r="B3082" s="11"/>
      <c r="C3082" s="11"/>
      <c r="Q3082" s="36"/>
    </row>
    <row r="3083">
      <c r="A3083" s="11"/>
      <c r="B3083" s="11"/>
      <c r="C3083" s="11"/>
      <c r="Q3083" s="36"/>
    </row>
    <row r="3084">
      <c r="A3084" s="11"/>
      <c r="B3084" s="11"/>
      <c r="C3084" s="11"/>
      <c r="Q3084" s="36"/>
    </row>
    <row r="3085">
      <c r="A3085" s="11"/>
      <c r="B3085" s="11"/>
      <c r="C3085" s="11"/>
      <c r="Q3085" s="36"/>
    </row>
    <row r="3086">
      <c r="A3086" s="11"/>
      <c r="B3086" s="11"/>
      <c r="C3086" s="11"/>
      <c r="Q3086" s="36"/>
    </row>
    <row r="3087">
      <c r="A3087" s="11"/>
      <c r="B3087" s="11"/>
      <c r="C3087" s="11"/>
      <c r="Q3087" s="36"/>
    </row>
    <row r="3088">
      <c r="A3088" s="11"/>
      <c r="B3088" s="11"/>
      <c r="C3088" s="11"/>
      <c r="Q3088" s="36"/>
    </row>
    <row r="3089">
      <c r="A3089" s="11"/>
      <c r="B3089" s="11"/>
      <c r="C3089" s="11"/>
      <c r="Q3089" s="36"/>
    </row>
    <row r="3090">
      <c r="A3090" s="11"/>
      <c r="B3090" s="11"/>
      <c r="C3090" s="11"/>
      <c r="Q3090" s="36"/>
    </row>
    <row r="3091">
      <c r="A3091" s="11"/>
      <c r="B3091" s="11"/>
      <c r="C3091" s="11"/>
      <c r="Q3091" s="36"/>
    </row>
    <row r="3092">
      <c r="A3092" s="11"/>
      <c r="B3092" s="11"/>
      <c r="C3092" s="11"/>
      <c r="Q3092" s="36"/>
    </row>
    <row r="3093">
      <c r="A3093" s="11"/>
      <c r="B3093" s="11"/>
      <c r="C3093" s="11"/>
      <c r="Q3093" s="36"/>
    </row>
    <row r="3094">
      <c r="A3094" s="11"/>
      <c r="B3094" s="11"/>
      <c r="C3094" s="11"/>
      <c r="Q3094" s="36"/>
    </row>
    <row r="3095">
      <c r="A3095" s="11"/>
      <c r="B3095" s="11"/>
      <c r="C3095" s="11"/>
      <c r="Q3095" s="36"/>
    </row>
    <row r="3096">
      <c r="A3096" s="11"/>
      <c r="B3096" s="11"/>
      <c r="C3096" s="11"/>
      <c r="Q3096" s="36"/>
    </row>
    <row r="3097">
      <c r="A3097" s="11"/>
      <c r="B3097" s="11"/>
      <c r="C3097" s="11"/>
      <c r="Q3097" s="36"/>
    </row>
    <row r="3098">
      <c r="A3098" s="11"/>
      <c r="B3098" s="11"/>
      <c r="C3098" s="11"/>
      <c r="Q3098" s="36"/>
    </row>
    <row r="3099">
      <c r="A3099" s="11"/>
      <c r="B3099" s="11"/>
      <c r="C3099" s="11"/>
      <c r="Q3099" s="36"/>
    </row>
    <row r="3100">
      <c r="A3100" s="11"/>
      <c r="B3100" s="11"/>
      <c r="C3100" s="11"/>
      <c r="Q3100" s="36"/>
    </row>
    <row r="3101">
      <c r="A3101" s="11"/>
      <c r="B3101" s="11"/>
      <c r="C3101" s="11"/>
      <c r="Q3101" s="36"/>
    </row>
    <row r="3102">
      <c r="A3102" s="11"/>
      <c r="B3102" s="11"/>
      <c r="C3102" s="11"/>
      <c r="Q3102" s="36"/>
    </row>
    <row r="3103">
      <c r="A3103" s="11"/>
      <c r="B3103" s="11"/>
      <c r="C3103" s="11"/>
      <c r="Q3103" s="36"/>
    </row>
    <row r="3104">
      <c r="A3104" s="11"/>
      <c r="B3104" s="11"/>
      <c r="C3104" s="11"/>
      <c r="Q3104" s="36"/>
    </row>
    <row r="3105">
      <c r="A3105" s="11"/>
      <c r="B3105" s="11"/>
      <c r="C3105" s="11"/>
      <c r="Q3105" s="36"/>
    </row>
    <row r="3106">
      <c r="A3106" s="11"/>
      <c r="B3106" s="11"/>
      <c r="C3106" s="11"/>
      <c r="Q3106" s="36"/>
    </row>
    <row r="3107">
      <c r="A3107" s="11"/>
      <c r="B3107" s="11"/>
      <c r="C3107" s="11"/>
      <c r="Q3107" s="36"/>
    </row>
    <row r="3108">
      <c r="A3108" s="11"/>
      <c r="B3108" s="11"/>
      <c r="C3108" s="11"/>
      <c r="Q3108" s="36"/>
    </row>
    <row r="3109">
      <c r="A3109" s="11"/>
      <c r="B3109" s="11"/>
      <c r="C3109" s="11"/>
      <c r="Q3109" s="36"/>
    </row>
    <row r="3110">
      <c r="A3110" s="11"/>
      <c r="B3110" s="11"/>
      <c r="C3110" s="11"/>
      <c r="Q3110" s="36"/>
    </row>
    <row r="3111">
      <c r="A3111" s="11"/>
      <c r="B3111" s="11"/>
      <c r="C3111" s="11"/>
      <c r="Q3111" s="36"/>
    </row>
    <row r="3112">
      <c r="A3112" s="11"/>
      <c r="B3112" s="11"/>
      <c r="C3112" s="11"/>
      <c r="Q3112" s="36"/>
    </row>
    <row r="3113">
      <c r="A3113" s="11"/>
      <c r="B3113" s="11"/>
      <c r="C3113" s="11"/>
      <c r="Q3113" s="36"/>
    </row>
    <row r="3114">
      <c r="A3114" s="11"/>
      <c r="B3114" s="11"/>
      <c r="C3114" s="11"/>
      <c r="Q3114" s="36"/>
    </row>
    <row r="3115">
      <c r="A3115" s="11"/>
      <c r="B3115" s="11"/>
      <c r="C3115" s="11"/>
      <c r="Q3115" s="36"/>
    </row>
    <row r="3116">
      <c r="A3116" s="11"/>
      <c r="B3116" s="11"/>
      <c r="C3116" s="11"/>
      <c r="Q3116" s="36"/>
    </row>
    <row r="3117">
      <c r="A3117" s="11"/>
      <c r="B3117" s="11"/>
      <c r="C3117" s="11"/>
      <c r="Q3117" s="36"/>
    </row>
    <row r="3118">
      <c r="A3118" s="11"/>
      <c r="B3118" s="11"/>
      <c r="C3118" s="11"/>
      <c r="Q3118" s="36"/>
    </row>
    <row r="3119">
      <c r="A3119" s="11"/>
      <c r="B3119" s="11"/>
      <c r="C3119" s="11"/>
      <c r="Q3119" s="36"/>
    </row>
    <row r="3120">
      <c r="A3120" s="11"/>
      <c r="B3120" s="11"/>
      <c r="C3120" s="11"/>
      <c r="Q3120" s="36"/>
    </row>
    <row r="3121">
      <c r="A3121" s="11"/>
      <c r="B3121" s="11"/>
      <c r="C3121" s="11"/>
      <c r="Q3121" s="36"/>
    </row>
    <row r="3122">
      <c r="A3122" s="11"/>
      <c r="B3122" s="11"/>
      <c r="C3122" s="11"/>
      <c r="Q3122" s="36"/>
    </row>
    <row r="3123">
      <c r="A3123" s="11"/>
      <c r="B3123" s="11"/>
      <c r="C3123" s="11"/>
      <c r="Q3123" s="36"/>
    </row>
    <row r="3124">
      <c r="A3124" s="11"/>
      <c r="B3124" s="11"/>
      <c r="C3124" s="11"/>
      <c r="Q3124" s="36"/>
    </row>
    <row r="3125">
      <c r="A3125" s="11"/>
      <c r="B3125" s="11"/>
      <c r="C3125" s="11"/>
      <c r="Q3125" s="36"/>
    </row>
    <row r="3126">
      <c r="A3126" s="11"/>
      <c r="B3126" s="11"/>
      <c r="C3126" s="11"/>
      <c r="Q3126" s="36"/>
    </row>
    <row r="3127">
      <c r="A3127" s="11"/>
      <c r="B3127" s="11"/>
      <c r="C3127" s="11"/>
      <c r="Q3127" s="36"/>
    </row>
    <row r="3128">
      <c r="A3128" s="11"/>
      <c r="B3128" s="11"/>
      <c r="C3128" s="11"/>
      <c r="Q3128" s="36"/>
    </row>
    <row r="3129">
      <c r="A3129" s="11"/>
      <c r="B3129" s="11"/>
      <c r="C3129" s="11"/>
      <c r="Q3129" s="36"/>
    </row>
    <row r="3130">
      <c r="A3130" s="11"/>
      <c r="B3130" s="11"/>
      <c r="C3130" s="11"/>
      <c r="Q3130" s="36"/>
    </row>
    <row r="3131">
      <c r="A3131" s="11"/>
      <c r="B3131" s="11"/>
      <c r="C3131" s="11"/>
      <c r="Q3131" s="36"/>
    </row>
    <row r="3132">
      <c r="A3132" s="11"/>
      <c r="B3132" s="11"/>
      <c r="C3132" s="11"/>
      <c r="Q3132" s="36"/>
    </row>
    <row r="3133">
      <c r="A3133" s="11"/>
      <c r="B3133" s="11"/>
      <c r="C3133" s="11"/>
      <c r="Q3133" s="36"/>
    </row>
    <row r="3134">
      <c r="A3134" s="11"/>
      <c r="B3134" s="11"/>
      <c r="C3134" s="11"/>
      <c r="Q3134" s="36"/>
    </row>
    <row r="3135">
      <c r="A3135" s="11"/>
      <c r="B3135" s="11"/>
      <c r="C3135" s="11"/>
      <c r="Q3135" s="36"/>
    </row>
    <row r="3136">
      <c r="A3136" s="11"/>
      <c r="B3136" s="11"/>
      <c r="C3136" s="11"/>
      <c r="Q3136" s="36"/>
    </row>
    <row r="3137">
      <c r="A3137" s="11"/>
      <c r="B3137" s="11"/>
      <c r="C3137" s="11"/>
      <c r="Q3137" s="36"/>
    </row>
    <row r="3138">
      <c r="A3138" s="11"/>
      <c r="B3138" s="11"/>
      <c r="C3138" s="11"/>
      <c r="Q3138" s="36"/>
    </row>
    <row r="3139">
      <c r="A3139" s="11"/>
      <c r="B3139" s="11"/>
      <c r="C3139" s="11"/>
      <c r="Q3139" s="36"/>
    </row>
    <row r="3140">
      <c r="A3140" s="11"/>
      <c r="B3140" s="11"/>
      <c r="C3140" s="11"/>
      <c r="Q3140" s="36"/>
    </row>
    <row r="3141">
      <c r="A3141" s="11"/>
      <c r="B3141" s="11"/>
      <c r="C3141" s="11"/>
      <c r="Q3141" s="36"/>
    </row>
    <row r="3142">
      <c r="A3142" s="11"/>
      <c r="B3142" s="11"/>
      <c r="C3142" s="11"/>
      <c r="Q3142" s="36"/>
    </row>
    <row r="3143">
      <c r="A3143" s="11"/>
      <c r="B3143" s="11"/>
      <c r="C3143" s="11"/>
      <c r="Q3143" s="36"/>
    </row>
    <row r="3144">
      <c r="A3144" s="11"/>
      <c r="B3144" s="11"/>
      <c r="C3144" s="11"/>
      <c r="Q3144" s="36"/>
    </row>
    <row r="3145">
      <c r="A3145" s="11"/>
      <c r="B3145" s="11"/>
      <c r="C3145" s="11"/>
      <c r="Q3145" s="36"/>
    </row>
    <row r="3146">
      <c r="A3146" s="11"/>
      <c r="B3146" s="11"/>
      <c r="C3146" s="11"/>
      <c r="Q3146" s="36"/>
    </row>
    <row r="3147">
      <c r="A3147" s="11"/>
      <c r="B3147" s="11"/>
      <c r="C3147" s="11"/>
      <c r="Q3147" s="36"/>
    </row>
    <row r="3148">
      <c r="A3148" s="11"/>
      <c r="B3148" s="11"/>
      <c r="C3148" s="11"/>
      <c r="Q3148" s="36"/>
    </row>
    <row r="3149">
      <c r="A3149" s="11"/>
      <c r="B3149" s="11"/>
      <c r="C3149" s="11"/>
      <c r="Q3149" s="36"/>
    </row>
    <row r="3150">
      <c r="A3150" s="11"/>
      <c r="B3150" s="11"/>
      <c r="C3150" s="11"/>
      <c r="Q3150" s="36"/>
    </row>
    <row r="3151">
      <c r="A3151" s="11"/>
      <c r="B3151" s="11"/>
      <c r="C3151" s="11"/>
      <c r="Q3151" s="36"/>
    </row>
    <row r="3152">
      <c r="A3152" s="11"/>
      <c r="B3152" s="11"/>
      <c r="C3152" s="11"/>
      <c r="Q3152" s="36"/>
    </row>
    <row r="3153">
      <c r="A3153" s="11"/>
      <c r="B3153" s="11"/>
      <c r="C3153" s="11"/>
      <c r="Q3153" s="36"/>
    </row>
    <row r="3154">
      <c r="A3154" s="11"/>
      <c r="B3154" s="11"/>
      <c r="C3154" s="11"/>
      <c r="Q3154" s="36"/>
    </row>
    <row r="3155">
      <c r="A3155" s="11"/>
      <c r="B3155" s="11"/>
      <c r="C3155" s="11"/>
      <c r="Q3155" s="36"/>
    </row>
    <row r="3156">
      <c r="A3156" s="11"/>
      <c r="B3156" s="11"/>
      <c r="C3156" s="11"/>
      <c r="Q3156" s="36"/>
    </row>
    <row r="3157">
      <c r="A3157" s="11"/>
      <c r="B3157" s="11"/>
      <c r="C3157" s="11"/>
      <c r="Q3157" s="36"/>
    </row>
    <row r="3158">
      <c r="A3158" s="11"/>
      <c r="B3158" s="11"/>
      <c r="C3158" s="11"/>
      <c r="Q3158" s="36"/>
    </row>
    <row r="3159">
      <c r="A3159" s="11"/>
      <c r="B3159" s="11"/>
      <c r="C3159" s="11"/>
      <c r="Q3159" s="36"/>
    </row>
    <row r="3160">
      <c r="A3160" s="11"/>
      <c r="B3160" s="11"/>
      <c r="C3160" s="11"/>
      <c r="Q3160" s="36"/>
    </row>
    <row r="3161">
      <c r="A3161" s="11"/>
      <c r="B3161" s="11"/>
      <c r="C3161" s="11"/>
      <c r="Q3161" s="36"/>
    </row>
    <row r="3162">
      <c r="A3162" s="11"/>
      <c r="B3162" s="11"/>
      <c r="C3162" s="11"/>
      <c r="Q3162" s="36"/>
    </row>
    <row r="3163">
      <c r="A3163" s="11"/>
      <c r="B3163" s="11"/>
      <c r="C3163" s="11"/>
      <c r="Q3163" s="36"/>
    </row>
    <row r="3164">
      <c r="A3164" s="11"/>
      <c r="B3164" s="11"/>
      <c r="C3164" s="11"/>
      <c r="Q3164" s="36"/>
    </row>
    <row r="3165">
      <c r="A3165" s="11"/>
      <c r="B3165" s="11"/>
      <c r="C3165" s="11"/>
      <c r="Q3165" s="36"/>
    </row>
    <row r="3166">
      <c r="A3166" s="11"/>
      <c r="B3166" s="11"/>
      <c r="C3166" s="11"/>
      <c r="Q3166" s="36"/>
    </row>
    <row r="3167">
      <c r="A3167" s="11"/>
      <c r="B3167" s="11"/>
      <c r="C3167" s="11"/>
      <c r="Q3167" s="36"/>
    </row>
    <row r="3168">
      <c r="A3168" s="11"/>
      <c r="B3168" s="11"/>
      <c r="C3168" s="11"/>
      <c r="Q3168" s="36"/>
    </row>
    <row r="3169">
      <c r="A3169" s="11"/>
      <c r="B3169" s="11"/>
      <c r="C3169" s="11"/>
      <c r="Q3169" s="36"/>
    </row>
    <row r="3170">
      <c r="A3170" s="11"/>
      <c r="B3170" s="11"/>
      <c r="C3170" s="11"/>
      <c r="Q3170" s="36"/>
    </row>
    <row r="3171">
      <c r="A3171" s="11"/>
      <c r="B3171" s="11"/>
      <c r="C3171" s="11"/>
      <c r="Q3171" s="36"/>
    </row>
    <row r="3172">
      <c r="A3172" s="11"/>
      <c r="B3172" s="11"/>
      <c r="C3172" s="11"/>
      <c r="Q3172" s="36"/>
    </row>
    <row r="3173">
      <c r="A3173" s="11"/>
      <c r="B3173" s="11"/>
      <c r="C3173" s="11"/>
      <c r="Q3173" s="36"/>
    </row>
    <row r="3174">
      <c r="A3174" s="11"/>
      <c r="B3174" s="11"/>
      <c r="C3174" s="11"/>
      <c r="Q3174" s="36"/>
    </row>
    <row r="3175">
      <c r="A3175" s="11"/>
      <c r="B3175" s="11"/>
      <c r="C3175" s="11"/>
      <c r="Q3175" s="36"/>
    </row>
    <row r="3176">
      <c r="A3176" s="11"/>
      <c r="B3176" s="11"/>
      <c r="C3176" s="11"/>
      <c r="Q3176" s="36"/>
    </row>
    <row r="3177">
      <c r="A3177" s="11"/>
      <c r="B3177" s="11"/>
      <c r="C3177" s="11"/>
      <c r="Q3177" s="36"/>
    </row>
    <row r="3178">
      <c r="A3178" s="11"/>
      <c r="B3178" s="11"/>
      <c r="C3178" s="11"/>
      <c r="Q3178" s="36"/>
    </row>
    <row r="3179">
      <c r="A3179" s="11"/>
      <c r="B3179" s="11"/>
      <c r="C3179" s="11"/>
      <c r="Q3179" s="36"/>
    </row>
    <row r="3180">
      <c r="A3180" s="11"/>
      <c r="B3180" s="11"/>
      <c r="C3180" s="11"/>
      <c r="Q3180" s="36"/>
    </row>
    <row r="3181">
      <c r="A3181" s="11"/>
      <c r="B3181" s="11"/>
      <c r="C3181" s="11"/>
      <c r="Q3181" s="36"/>
    </row>
    <row r="3182">
      <c r="A3182" s="11"/>
      <c r="B3182" s="11"/>
      <c r="C3182" s="11"/>
      <c r="Q3182" s="36"/>
    </row>
    <row r="3183">
      <c r="A3183" s="11"/>
      <c r="B3183" s="11"/>
      <c r="C3183" s="11"/>
      <c r="Q3183" s="36"/>
    </row>
    <row r="3184">
      <c r="A3184" s="11"/>
      <c r="B3184" s="11"/>
      <c r="C3184" s="11"/>
      <c r="Q3184" s="36"/>
    </row>
    <row r="3185">
      <c r="A3185" s="11"/>
      <c r="B3185" s="11"/>
      <c r="C3185" s="11"/>
      <c r="Q3185" s="36"/>
    </row>
    <row r="3186">
      <c r="A3186" s="11"/>
      <c r="B3186" s="11"/>
      <c r="C3186" s="11"/>
      <c r="Q3186" s="36"/>
    </row>
    <row r="3187">
      <c r="A3187" s="11"/>
      <c r="B3187" s="11"/>
      <c r="C3187" s="11"/>
      <c r="Q3187" s="36"/>
    </row>
    <row r="3188">
      <c r="A3188" s="11"/>
      <c r="B3188" s="11"/>
      <c r="C3188" s="11"/>
      <c r="Q3188" s="36"/>
    </row>
    <row r="3189">
      <c r="A3189" s="11"/>
      <c r="B3189" s="11"/>
      <c r="C3189" s="11"/>
      <c r="Q3189" s="36"/>
    </row>
    <row r="3190">
      <c r="A3190" s="11"/>
      <c r="B3190" s="11"/>
      <c r="C3190" s="11"/>
      <c r="Q3190" s="36"/>
    </row>
    <row r="3191">
      <c r="A3191" s="11"/>
      <c r="B3191" s="11"/>
      <c r="C3191" s="11"/>
      <c r="Q3191" s="36"/>
    </row>
    <row r="3192">
      <c r="A3192" s="11"/>
      <c r="B3192" s="11"/>
      <c r="C3192" s="11"/>
      <c r="Q3192" s="36"/>
    </row>
    <row r="3193">
      <c r="A3193" s="11"/>
      <c r="B3193" s="11"/>
      <c r="C3193" s="11"/>
      <c r="Q3193" s="36"/>
    </row>
    <row r="3194">
      <c r="A3194" s="11"/>
      <c r="B3194" s="11"/>
      <c r="C3194" s="11"/>
      <c r="Q3194" s="36"/>
    </row>
    <row r="3195">
      <c r="A3195" s="11"/>
      <c r="B3195" s="11"/>
      <c r="C3195" s="11"/>
      <c r="Q3195" s="36"/>
    </row>
    <row r="3196">
      <c r="A3196" s="11"/>
      <c r="B3196" s="11"/>
      <c r="C3196" s="11"/>
      <c r="Q3196" s="36"/>
    </row>
    <row r="3197">
      <c r="A3197" s="11"/>
      <c r="B3197" s="11"/>
      <c r="C3197" s="11"/>
      <c r="Q3197" s="36"/>
    </row>
    <row r="3198">
      <c r="A3198" s="11"/>
      <c r="B3198" s="11"/>
      <c r="C3198" s="11"/>
      <c r="Q3198" s="36"/>
    </row>
    <row r="3199">
      <c r="A3199" s="11"/>
      <c r="B3199" s="11"/>
      <c r="C3199" s="11"/>
      <c r="Q3199" s="36"/>
    </row>
    <row r="3200">
      <c r="A3200" s="11"/>
      <c r="B3200" s="11"/>
      <c r="C3200" s="11"/>
      <c r="Q3200" s="36"/>
    </row>
    <row r="3201">
      <c r="A3201" s="11"/>
      <c r="B3201" s="11"/>
      <c r="C3201" s="11"/>
      <c r="Q3201" s="36"/>
    </row>
    <row r="3202">
      <c r="A3202" s="11"/>
      <c r="B3202" s="11"/>
      <c r="C3202" s="11"/>
      <c r="Q3202" s="36"/>
    </row>
    <row r="3203">
      <c r="A3203" s="11"/>
      <c r="B3203" s="11"/>
      <c r="C3203" s="11"/>
      <c r="Q3203" s="36"/>
    </row>
    <row r="3204">
      <c r="A3204" s="11"/>
      <c r="B3204" s="11"/>
      <c r="C3204" s="11"/>
      <c r="Q3204" s="36"/>
    </row>
    <row r="3205">
      <c r="A3205" s="11"/>
      <c r="B3205" s="11"/>
      <c r="C3205" s="11"/>
      <c r="Q3205" s="36"/>
    </row>
    <row r="3206">
      <c r="A3206" s="11"/>
      <c r="B3206" s="11"/>
      <c r="C3206" s="11"/>
      <c r="Q3206" s="36"/>
    </row>
    <row r="3207">
      <c r="A3207" s="11"/>
      <c r="B3207" s="11"/>
      <c r="C3207" s="11"/>
      <c r="Q3207" s="36"/>
    </row>
    <row r="3208">
      <c r="A3208" s="11"/>
      <c r="B3208" s="11"/>
      <c r="C3208" s="11"/>
      <c r="Q3208" s="36"/>
    </row>
    <row r="3209">
      <c r="A3209" s="11"/>
      <c r="B3209" s="11"/>
      <c r="C3209" s="11"/>
      <c r="Q3209" s="36"/>
    </row>
    <row r="3210">
      <c r="A3210" s="11"/>
      <c r="B3210" s="11"/>
      <c r="C3210" s="11"/>
      <c r="Q3210" s="36"/>
    </row>
    <row r="3211">
      <c r="A3211" s="11"/>
      <c r="B3211" s="11"/>
      <c r="C3211" s="11"/>
      <c r="Q3211" s="36"/>
    </row>
    <row r="3212">
      <c r="A3212" s="11"/>
      <c r="B3212" s="11"/>
      <c r="C3212" s="11"/>
      <c r="Q3212" s="36"/>
    </row>
    <row r="3213">
      <c r="A3213" s="11"/>
      <c r="B3213" s="11"/>
      <c r="C3213" s="11"/>
      <c r="Q3213" s="36"/>
    </row>
    <row r="3214">
      <c r="A3214" s="11"/>
      <c r="B3214" s="11"/>
      <c r="C3214" s="11"/>
      <c r="Q3214" s="36"/>
    </row>
    <row r="3215">
      <c r="A3215" s="11"/>
      <c r="B3215" s="11"/>
      <c r="C3215" s="11"/>
      <c r="Q3215" s="36"/>
    </row>
    <row r="3216">
      <c r="A3216" s="11"/>
      <c r="B3216" s="11"/>
      <c r="C3216" s="11"/>
      <c r="Q3216" s="36"/>
    </row>
    <row r="3217">
      <c r="A3217" s="11"/>
      <c r="B3217" s="11"/>
      <c r="C3217" s="11"/>
      <c r="Q3217" s="36"/>
    </row>
    <row r="3218">
      <c r="A3218" s="11"/>
      <c r="B3218" s="11"/>
      <c r="C3218" s="11"/>
      <c r="Q3218" s="36"/>
    </row>
    <row r="3219">
      <c r="A3219" s="11"/>
      <c r="B3219" s="11"/>
      <c r="C3219" s="11"/>
      <c r="Q3219" s="36"/>
    </row>
    <row r="3220">
      <c r="A3220" s="11"/>
      <c r="B3220" s="11"/>
      <c r="C3220" s="11"/>
      <c r="Q3220" s="36"/>
    </row>
    <row r="3221">
      <c r="A3221" s="11"/>
      <c r="B3221" s="11"/>
      <c r="C3221" s="11"/>
      <c r="Q3221" s="36"/>
    </row>
    <row r="3222">
      <c r="A3222" s="11"/>
      <c r="B3222" s="11"/>
      <c r="C3222" s="11"/>
      <c r="Q3222" s="36"/>
    </row>
    <row r="3223">
      <c r="A3223" s="11"/>
      <c r="B3223" s="11"/>
      <c r="C3223" s="11"/>
      <c r="Q3223" s="36"/>
    </row>
    <row r="3224">
      <c r="A3224" s="11"/>
      <c r="B3224" s="11"/>
      <c r="C3224" s="11"/>
      <c r="Q3224" s="36"/>
    </row>
    <row r="3225">
      <c r="A3225" s="11"/>
      <c r="B3225" s="11"/>
      <c r="C3225" s="11"/>
      <c r="Q3225" s="36"/>
    </row>
    <row r="3226">
      <c r="A3226" s="11"/>
      <c r="B3226" s="11"/>
      <c r="C3226" s="11"/>
      <c r="Q3226" s="36"/>
    </row>
    <row r="3227">
      <c r="A3227" s="11"/>
      <c r="B3227" s="11"/>
      <c r="C3227" s="11"/>
      <c r="Q3227" s="36"/>
    </row>
    <row r="3228">
      <c r="A3228" s="11"/>
      <c r="B3228" s="11"/>
      <c r="C3228" s="11"/>
      <c r="Q3228" s="36"/>
    </row>
    <row r="3229">
      <c r="A3229" s="11"/>
      <c r="B3229" s="11"/>
      <c r="C3229" s="11"/>
      <c r="Q3229" s="36"/>
    </row>
    <row r="3230">
      <c r="A3230" s="11"/>
      <c r="B3230" s="11"/>
      <c r="C3230" s="11"/>
      <c r="Q3230" s="36"/>
    </row>
    <row r="3231">
      <c r="A3231" s="11"/>
      <c r="B3231" s="11"/>
      <c r="C3231" s="11"/>
      <c r="Q3231" s="36"/>
    </row>
    <row r="3232">
      <c r="A3232" s="11"/>
      <c r="B3232" s="11"/>
      <c r="C3232" s="11"/>
      <c r="Q3232" s="36"/>
    </row>
    <row r="3233">
      <c r="A3233" s="11"/>
      <c r="B3233" s="11"/>
      <c r="C3233" s="11"/>
      <c r="Q3233" s="36"/>
    </row>
    <row r="3234">
      <c r="A3234" s="11"/>
      <c r="B3234" s="11"/>
      <c r="C3234" s="11"/>
      <c r="Q3234" s="36"/>
    </row>
    <row r="3235">
      <c r="A3235" s="11"/>
      <c r="B3235" s="11"/>
      <c r="C3235" s="11"/>
      <c r="Q3235" s="36"/>
    </row>
    <row r="3236">
      <c r="A3236" s="11"/>
      <c r="B3236" s="11"/>
      <c r="C3236" s="11"/>
      <c r="Q3236" s="36"/>
    </row>
    <row r="3237">
      <c r="A3237" s="11"/>
      <c r="B3237" s="11"/>
      <c r="C3237" s="11"/>
      <c r="Q3237" s="36"/>
    </row>
    <row r="3238">
      <c r="A3238" s="11"/>
      <c r="B3238" s="11"/>
      <c r="C3238" s="11"/>
      <c r="Q3238" s="36"/>
    </row>
    <row r="3239">
      <c r="A3239" s="11"/>
      <c r="B3239" s="11"/>
      <c r="C3239" s="11"/>
      <c r="Q3239" s="36"/>
    </row>
    <row r="3240">
      <c r="A3240" s="11"/>
      <c r="B3240" s="11"/>
      <c r="C3240" s="11"/>
      <c r="Q3240" s="36"/>
    </row>
    <row r="3241">
      <c r="A3241" s="11"/>
      <c r="B3241" s="11"/>
      <c r="C3241" s="11"/>
      <c r="Q3241" s="36"/>
    </row>
    <row r="3242">
      <c r="A3242" s="11"/>
      <c r="B3242" s="11"/>
      <c r="C3242" s="11"/>
      <c r="Q3242" s="36"/>
    </row>
    <row r="3243">
      <c r="A3243" s="11"/>
      <c r="B3243" s="11"/>
      <c r="C3243" s="11"/>
      <c r="Q3243" s="36"/>
    </row>
    <row r="3244">
      <c r="A3244" s="11"/>
      <c r="B3244" s="11"/>
      <c r="C3244" s="11"/>
      <c r="Q3244" s="36"/>
    </row>
    <row r="3245">
      <c r="A3245" s="11"/>
      <c r="B3245" s="11"/>
      <c r="C3245" s="11"/>
      <c r="Q3245" s="36"/>
    </row>
    <row r="3246">
      <c r="A3246" s="11"/>
      <c r="B3246" s="11"/>
      <c r="C3246" s="11"/>
      <c r="Q3246" s="36"/>
    </row>
    <row r="3247">
      <c r="A3247" s="11"/>
      <c r="B3247" s="11"/>
      <c r="C3247" s="11"/>
      <c r="Q3247" s="36"/>
    </row>
    <row r="3248">
      <c r="A3248" s="11"/>
      <c r="B3248" s="11"/>
      <c r="C3248" s="11"/>
      <c r="Q3248" s="36"/>
    </row>
    <row r="3249">
      <c r="A3249" s="11"/>
      <c r="B3249" s="11"/>
      <c r="C3249" s="11"/>
      <c r="Q3249" s="36"/>
    </row>
    <row r="3250">
      <c r="A3250" s="11"/>
      <c r="B3250" s="11"/>
      <c r="C3250" s="11"/>
      <c r="Q3250" s="36"/>
    </row>
    <row r="3251">
      <c r="A3251" s="11"/>
      <c r="B3251" s="11"/>
      <c r="C3251" s="11"/>
      <c r="Q3251" s="36"/>
    </row>
    <row r="3252">
      <c r="A3252" s="11"/>
      <c r="B3252" s="11"/>
      <c r="C3252" s="11"/>
      <c r="Q3252" s="36"/>
    </row>
    <row r="3253">
      <c r="A3253" s="11"/>
      <c r="B3253" s="11"/>
      <c r="C3253" s="11"/>
      <c r="Q3253" s="36"/>
    </row>
    <row r="3254">
      <c r="A3254" s="11"/>
      <c r="B3254" s="11"/>
      <c r="C3254" s="11"/>
      <c r="Q3254" s="36"/>
    </row>
    <row r="3255">
      <c r="A3255" s="11"/>
      <c r="B3255" s="11"/>
      <c r="C3255" s="11"/>
      <c r="Q3255" s="36"/>
    </row>
    <row r="3256">
      <c r="A3256" s="11"/>
      <c r="B3256" s="11"/>
      <c r="C3256" s="11"/>
      <c r="Q3256" s="36"/>
    </row>
    <row r="3257">
      <c r="A3257" s="11"/>
      <c r="B3257" s="11"/>
      <c r="C3257" s="11"/>
      <c r="Q3257" s="36"/>
    </row>
    <row r="3258">
      <c r="A3258" s="11"/>
      <c r="B3258" s="11"/>
      <c r="C3258" s="11"/>
      <c r="Q3258" s="36"/>
    </row>
    <row r="3259">
      <c r="A3259" s="11"/>
      <c r="B3259" s="11"/>
      <c r="C3259" s="11"/>
      <c r="Q3259" s="36"/>
    </row>
    <row r="3260">
      <c r="A3260" s="11"/>
      <c r="B3260" s="11"/>
      <c r="C3260" s="11"/>
      <c r="Q3260" s="36"/>
    </row>
    <row r="3261">
      <c r="A3261" s="11"/>
      <c r="B3261" s="11"/>
      <c r="C3261" s="11"/>
      <c r="Q3261" s="36"/>
    </row>
    <row r="3262">
      <c r="A3262" s="11"/>
      <c r="B3262" s="11"/>
      <c r="C3262" s="11"/>
      <c r="Q3262" s="36"/>
    </row>
    <row r="3263">
      <c r="A3263" s="11"/>
      <c r="B3263" s="11"/>
      <c r="C3263" s="11"/>
      <c r="Q3263" s="36"/>
    </row>
    <row r="3264">
      <c r="A3264" s="11"/>
      <c r="B3264" s="11"/>
      <c r="C3264" s="11"/>
      <c r="Q3264" s="36"/>
    </row>
    <row r="3265">
      <c r="A3265" s="11"/>
      <c r="B3265" s="11"/>
      <c r="C3265" s="11"/>
      <c r="Q3265" s="36"/>
    </row>
    <row r="3266">
      <c r="A3266" s="11"/>
      <c r="B3266" s="11"/>
      <c r="C3266" s="11"/>
      <c r="Q3266" s="36"/>
    </row>
    <row r="3267">
      <c r="A3267" s="11"/>
      <c r="B3267" s="11"/>
      <c r="C3267" s="11"/>
      <c r="Q3267" s="36"/>
    </row>
    <row r="3268">
      <c r="A3268" s="11"/>
      <c r="B3268" s="11"/>
      <c r="C3268" s="11"/>
      <c r="Q3268" s="36"/>
    </row>
    <row r="3269">
      <c r="A3269" s="11"/>
      <c r="B3269" s="11"/>
      <c r="C3269" s="11"/>
      <c r="Q3269" s="36"/>
    </row>
    <row r="3270">
      <c r="A3270" s="11"/>
      <c r="B3270" s="11"/>
      <c r="C3270" s="11"/>
      <c r="Q3270" s="36"/>
    </row>
    <row r="3271">
      <c r="A3271" s="11"/>
      <c r="B3271" s="11"/>
      <c r="C3271" s="11"/>
      <c r="Q3271" s="36"/>
    </row>
    <row r="3272">
      <c r="A3272" s="11"/>
      <c r="B3272" s="11"/>
      <c r="C3272" s="11"/>
      <c r="Q3272" s="36"/>
    </row>
    <row r="3273">
      <c r="A3273" s="11"/>
      <c r="B3273" s="11"/>
      <c r="C3273" s="11"/>
      <c r="Q3273" s="36"/>
    </row>
    <row r="3274">
      <c r="A3274" s="11"/>
      <c r="B3274" s="11"/>
      <c r="C3274" s="11"/>
      <c r="Q3274" s="36"/>
    </row>
    <row r="3275">
      <c r="A3275" s="11"/>
      <c r="B3275" s="11"/>
      <c r="C3275" s="11"/>
      <c r="Q3275" s="36"/>
    </row>
    <row r="3276">
      <c r="A3276" s="11"/>
      <c r="B3276" s="11"/>
      <c r="C3276" s="11"/>
      <c r="Q3276" s="36"/>
    </row>
    <row r="3277">
      <c r="A3277" s="11"/>
      <c r="B3277" s="11"/>
      <c r="C3277" s="11"/>
      <c r="Q3277" s="36"/>
    </row>
    <row r="3278">
      <c r="A3278" s="11"/>
      <c r="B3278" s="11"/>
      <c r="C3278" s="11"/>
      <c r="Q3278" s="36"/>
    </row>
    <row r="3279">
      <c r="A3279" s="11"/>
      <c r="B3279" s="11"/>
      <c r="C3279" s="11"/>
      <c r="Q3279" s="36"/>
    </row>
    <row r="3280">
      <c r="A3280" s="11"/>
      <c r="B3280" s="11"/>
      <c r="C3280" s="11"/>
      <c r="Q3280" s="36"/>
    </row>
    <row r="3281">
      <c r="A3281" s="11"/>
      <c r="B3281" s="11"/>
      <c r="C3281" s="11"/>
      <c r="Q3281" s="36"/>
    </row>
    <row r="3282">
      <c r="A3282" s="11"/>
      <c r="B3282" s="11"/>
      <c r="C3282" s="11"/>
      <c r="Q3282" s="36"/>
    </row>
    <row r="3283">
      <c r="A3283" s="11"/>
      <c r="B3283" s="11"/>
      <c r="C3283" s="11"/>
      <c r="Q3283" s="36"/>
    </row>
    <row r="3284">
      <c r="A3284" s="11"/>
      <c r="B3284" s="11"/>
      <c r="C3284" s="11"/>
      <c r="Q3284" s="36"/>
    </row>
    <row r="3285">
      <c r="A3285" s="11"/>
      <c r="B3285" s="11"/>
      <c r="C3285" s="11"/>
      <c r="Q3285" s="36"/>
    </row>
    <row r="3286">
      <c r="A3286" s="11"/>
      <c r="B3286" s="11"/>
      <c r="C3286" s="11"/>
      <c r="Q3286" s="36"/>
    </row>
    <row r="3287">
      <c r="A3287" s="11"/>
      <c r="B3287" s="11"/>
      <c r="C3287" s="11"/>
      <c r="Q3287" s="36"/>
    </row>
    <row r="3288">
      <c r="A3288" s="11"/>
      <c r="B3288" s="11"/>
      <c r="C3288" s="11"/>
      <c r="Q3288" s="36"/>
    </row>
    <row r="3289">
      <c r="A3289" s="11"/>
      <c r="B3289" s="11"/>
      <c r="C3289" s="11"/>
      <c r="Q3289" s="36"/>
    </row>
    <row r="3290">
      <c r="A3290" s="11"/>
      <c r="B3290" s="11"/>
      <c r="C3290" s="11"/>
      <c r="Q3290" s="36"/>
    </row>
    <row r="3291">
      <c r="A3291" s="11"/>
      <c r="B3291" s="11"/>
      <c r="C3291" s="11"/>
      <c r="Q3291" s="36"/>
    </row>
    <row r="3292">
      <c r="A3292" s="11"/>
      <c r="B3292" s="11"/>
      <c r="C3292" s="11"/>
      <c r="Q3292" s="36"/>
    </row>
    <row r="3293">
      <c r="A3293" s="11"/>
      <c r="B3293" s="11"/>
      <c r="C3293" s="11"/>
      <c r="Q3293" s="36"/>
    </row>
    <row r="3294">
      <c r="A3294" s="11"/>
      <c r="B3294" s="11"/>
      <c r="C3294" s="11"/>
      <c r="Q3294" s="36"/>
    </row>
    <row r="3295">
      <c r="A3295" s="11"/>
      <c r="B3295" s="11"/>
      <c r="C3295" s="11"/>
      <c r="Q3295" s="36"/>
    </row>
    <row r="3296">
      <c r="A3296" s="11"/>
      <c r="B3296" s="11"/>
      <c r="C3296" s="11"/>
      <c r="Q3296" s="36"/>
    </row>
    <row r="3297">
      <c r="A3297" s="11"/>
      <c r="B3297" s="11"/>
      <c r="C3297" s="11"/>
      <c r="Q3297" s="36"/>
    </row>
    <row r="3298">
      <c r="A3298" s="11"/>
      <c r="B3298" s="11"/>
      <c r="C3298" s="11"/>
      <c r="Q3298" s="36"/>
    </row>
    <row r="3299">
      <c r="A3299" s="11"/>
      <c r="B3299" s="11"/>
      <c r="C3299" s="11"/>
      <c r="Q3299" s="36"/>
    </row>
    <row r="3300">
      <c r="A3300" s="11"/>
      <c r="B3300" s="11"/>
      <c r="C3300" s="11"/>
      <c r="Q3300" s="36"/>
    </row>
    <row r="3301">
      <c r="A3301" s="11"/>
      <c r="B3301" s="11"/>
      <c r="C3301" s="11"/>
      <c r="Q3301" s="36"/>
    </row>
    <row r="3302">
      <c r="A3302" s="11"/>
      <c r="B3302" s="11"/>
      <c r="C3302" s="11"/>
      <c r="Q3302" s="36"/>
    </row>
    <row r="3303">
      <c r="A3303" s="11"/>
      <c r="B3303" s="11"/>
      <c r="C3303" s="11"/>
      <c r="Q3303" s="36"/>
    </row>
    <row r="3304">
      <c r="A3304" s="11"/>
      <c r="B3304" s="11"/>
      <c r="C3304" s="11"/>
      <c r="Q3304" s="36"/>
    </row>
    <row r="3305">
      <c r="A3305" s="11"/>
      <c r="B3305" s="11"/>
      <c r="C3305" s="11"/>
      <c r="Q3305" s="36"/>
    </row>
    <row r="3306">
      <c r="A3306" s="11"/>
      <c r="B3306" s="11"/>
      <c r="C3306" s="11"/>
      <c r="Q3306" s="36"/>
    </row>
    <row r="3307">
      <c r="A3307" s="11"/>
      <c r="B3307" s="11"/>
      <c r="C3307" s="11"/>
      <c r="Q3307" s="36"/>
    </row>
    <row r="3308">
      <c r="A3308" s="11"/>
      <c r="B3308" s="11"/>
      <c r="C3308" s="11"/>
      <c r="Q3308" s="36"/>
    </row>
    <row r="3309">
      <c r="A3309" s="11"/>
      <c r="B3309" s="11"/>
      <c r="C3309" s="11"/>
      <c r="Q3309" s="36"/>
    </row>
    <row r="3310">
      <c r="A3310" s="11"/>
      <c r="B3310" s="11"/>
      <c r="C3310" s="11"/>
      <c r="Q3310" s="36"/>
    </row>
    <row r="3311">
      <c r="A3311" s="11"/>
      <c r="B3311" s="11"/>
      <c r="C3311" s="11"/>
      <c r="Q3311" s="36"/>
    </row>
    <row r="3312">
      <c r="A3312" s="11"/>
      <c r="B3312" s="11"/>
      <c r="C3312" s="11"/>
      <c r="Q3312" s="36"/>
    </row>
    <row r="3313">
      <c r="A3313" s="11"/>
      <c r="B3313" s="11"/>
      <c r="C3313" s="11"/>
      <c r="Q3313" s="36"/>
    </row>
    <row r="3314">
      <c r="A3314" s="11"/>
      <c r="B3314" s="11"/>
      <c r="C3314" s="11"/>
      <c r="Q3314" s="36"/>
    </row>
    <row r="3315">
      <c r="A3315" s="11"/>
      <c r="B3315" s="11"/>
      <c r="C3315" s="11"/>
      <c r="Q3315" s="36"/>
    </row>
    <row r="3316">
      <c r="A3316" s="11"/>
      <c r="B3316" s="11"/>
      <c r="C3316" s="11"/>
      <c r="Q3316" s="36"/>
    </row>
    <row r="3317">
      <c r="A3317" s="11"/>
      <c r="B3317" s="11"/>
      <c r="C3317" s="11"/>
      <c r="Q3317" s="36"/>
    </row>
    <row r="3318">
      <c r="A3318" s="11"/>
      <c r="B3318" s="11"/>
      <c r="C3318" s="11"/>
      <c r="Q3318" s="36"/>
    </row>
    <row r="3319">
      <c r="A3319" s="11"/>
      <c r="B3319" s="11"/>
      <c r="C3319" s="11"/>
      <c r="Q3319" s="36"/>
    </row>
    <row r="3320">
      <c r="A3320" s="11"/>
      <c r="B3320" s="11"/>
      <c r="C3320" s="11"/>
      <c r="Q3320" s="36"/>
    </row>
    <row r="3321">
      <c r="A3321" s="11"/>
      <c r="B3321" s="11"/>
      <c r="C3321" s="11"/>
      <c r="Q3321" s="36"/>
    </row>
    <row r="3322">
      <c r="A3322" s="11"/>
      <c r="B3322" s="11"/>
      <c r="C3322" s="11"/>
      <c r="Q3322" s="36"/>
    </row>
    <row r="3323">
      <c r="A3323" s="11"/>
      <c r="B3323" s="11"/>
      <c r="C3323" s="11"/>
      <c r="Q3323" s="36"/>
    </row>
    <row r="3324">
      <c r="A3324" s="11"/>
      <c r="B3324" s="11"/>
      <c r="C3324" s="11"/>
      <c r="Q3324" s="36"/>
    </row>
    <row r="3325">
      <c r="A3325" s="11"/>
      <c r="B3325" s="11"/>
      <c r="C3325" s="11"/>
      <c r="Q3325" s="36"/>
    </row>
    <row r="3326">
      <c r="A3326" s="11"/>
      <c r="B3326" s="11"/>
      <c r="C3326" s="11"/>
      <c r="Q3326" s="36"/>
    </row>
    <row r="3327">
      <c r="A3327" s="11"/>
      <c r="B3327" s="11"/>
      <c r="C3327" s="11"/>
      <c r="Q3327" s="36"/>
    </row>
    <row r="3328">
      <c r="A3328" s="11"/>
      <c r="B3328" s="11"/>
      <c r="C3328" s="11"/>
      <c r="Q3328" s="36"/>
    </row>
    <row r="3329">
      <c r="A3329" s="11"/>
      <c r="B3329" s="11"/>
      <c r="C3329" s="11"/>
      <c r="Q3329" s="36"/>
    </row>
    <row r="3330">
      <c r="A3330" s="11"/>
      <c r="B3330" s="11"/>
      <c r="C3330" s="11"/>
      <c r="Q3330" s="36"/>
    </row>
    <row r="3331">
      <c r="A3331" s="11"/>
      <c r="B3331" s="11"/>
      <c r="C3331" s="11"/>
      <c r="Q3331" s="36"/>
    </row>
    <row r="3332">
      <c r="A3332" s="11"/>
      <c r="B3332" s="11"/>
      <c r="C3332" s="11"/>
      <c r="Q3332" s="36"/>
    </row>
    <row r="3333">
      <c r="A3333" s="11"/>
      <c r="B3333" s="11"/>
      <c r="C3333" s="11"/>
      <c r="Q3333" s="36"/>
    </row>
    <row r="3334">
      <c r="A3334" s="11"/>
      <c r="B3334" s="11"/>
      <c r="C3334" s="11"/>
      <c r="Q3334" s="36"/>
    </row>
    <row r="3335">
      <c r="A3335" s="11"/>
      <c r="B3335" s="11"/>
      <c r="C3335" s="11"/>
      <c r="Q3335" s="36"/>
    </row>
    <row r="3336">
      <c r="A3336" s="11"/>
      <c r="B3336" s="11"/>
      <c r="C3336" s="11"/>
      <c r="Q3336" s="36"/>
    </row>
    <row r="3337">
      <c r="A3337" s="11"/>
      <c r="B3337" s="11"/>
      <c r="C3337" s="11"/>
      <c r="Q3337" s="36"/>
    </row>
    <row r="3338">
      <c r="A3338" s="11"/>
      <c r="B3338" s="11"/>
      <c r="C3338" s="11"/>
      <c r="Q3338" s="36"/>
    </row>
    <row r="3339">
      <c r="A3339" s="11"/>
      <c r="B3339" s="11"/>
      <c r="C3339" s="11"/>
      <c r="Q3339" s="36"/>
    </row>
    <row r="3340">
      <c r="A3340" s="11"/>
      <c r="B3340" s="11"/>
      <c r="C3340" s="11"/>
      <c r="Q3340" s="36"/>
    </row>
    <row r="3341">
      <c r="A3341" s="11"/>
      <c r="B3341" s="11"/>
      <c r="C3341" s="11"/>
      <c r="Q3341" s="36"/>
    </row>
    <row r="3342">
      <c r="A3342" s="11"/>
      <c r="B3342" s="11"/>
      <c r="C3342" s="11"/>
      <c r="Q3342" s="36"/>
    </row>
    <row r="3343">
      <c r="A3343" s="11"/>
      <c r="B3343" s="11"/>
      <c r="C3343" s="11"/>
      <c r="Q3343" s="36"/>
    </row>
    <row r="3344">
      <c r="A3344" s="11"/>
      <c r="B3344" s="11"/>
      <c r="C3344" s="11"/>
      <c r="Q3344" s="36"/>
    </row>
    <row r="3345">
      <c r="A3345" s="11"/>
      <c r="B3345" s="11"/>
      <c r="C3345" s="11"/>
      <c r="Q3345" s="36"/>
    </row>
    <row r="3346">
      <c r="A3346" s="11"/>
      <c r="B3346" s="11"/>
      <c r="C3346" s="11"/>
      <c r="Q3346" s="36"/>
    </row>
    <row r="3347">
      <c r="A3347" s="11"/>
      <c r="B3347" s="11"/>
      <c r="C3347" s="11"/>
      <c r="Q3347" s="36"/>
    </row>
    <row r="3348">
      <c r="A3348" s="11"/>
      <c r="B3348" s="11"/>
      <c r="C3348" s="11"/>
      <c r="Q3348" s="36"/>
    </row>
    <row r="3349">
      <c r="A3349" s="11"/>
      <c r="B3349" s="11"/>
      <c r="C3349" s="11"/>
      <c r="Q3349" s="36"/>
    </row>
    <row r="3350">
      <c r="A3350" s="11"/>
      <c r="B3350" s="11"/>
      <c r="C3350" s="11"/>
      <c r="Q3350" s="36"/>
    </row>
    <row r="3351">
      <c r="A3351" s="11"/>
      <c r="B3351" s="11"/>
      <c r="C3351" s="11"/>
      <c r="Q3351" s="36"/>
    </row>
    <row r="3352">
      <c r="A3352" s="11"/>
      <c r="B3352" s="11"/>
      <c r="C3352" s="11"/>
      <c r="Q3352" s="36"/>
    </row>
    <row r="3353">
      <c r="A3353" s="11"/>
      <c r="B3353" s="11"/>
      <c r="C3353" s="11"/>
      <c r="Q3353" s="36"/>
    </row>
    <row r="3354">
      <c r="A3354" s="11"/>
      <c r="B3354" s="11"/>
      <c r="C3354" s="11"/>
      <c r="Q3354" s="36"/>
    </row>
    <row r="3355">
      <c r="A3355" s="11"/>
      <c r="B3355" s="11"/>
      <c r="C3355" s="11"/>
      <c r="Q3355" s="36"/>
    </row>
    <row r="3356">
      <c r="A3356" s="11"/>
      <c r="B3356" s="11"/>
      <c r="C3356" s="11"/>
      <c r="Q3356" s="36"/>
    </row>
    <row r="3357">
      <c r="A3357" s="11"/>
      <c r="B3357" s="11"/>
      <c r="C3357" s="11"/>
      <c r="Q3357" s="36"/>
    </row>
    <row r="3358">
      <c r="A3358" s="11"/>
      <c r="B3358" s="11"/>
      <c r="C3358" s="11"/>
      <c r="Q3358" s="36"/>
    </row>
    <row r="3359">
      <c r="A3359" s="11"/>
      <c r="B3359" s="11"/>
      <c r="C3359" s="11"/>
      <c r="Q3359" s="36"/>
    </row>
    <row r="3360">
      <c r="A3360" s="11"/>
      <c r="B3360" s="11"/>
      <c r="C3360" s="11"/>
      <c r="Q3360" s="36"/>
    </row>
    <row r="3361">
      <c r="A3361" s="11"/>
      <c r="B3361" s="11"/>
      <c r="C3361" s="11"/>
      <c r="Q3361" s="36"/>
    </row>
    <row r="3362">
      <c r="A3362" s="11"/>
      <c r="B3362" s="11"/>
      <c r="C3362" s="11"/>
      <c r="Q3362" s="36"/>
    </row>
    <row r="3363">
      <c r="A3363" s="11"/>
      <c r="B3363" s="11"/>
      <c r="C3363" s="11"/>
      <c r="Q3363" s="36"/>
    </row>
    <row r="3364">
      <c r="A3364" s="11"/>
      <c r="B3364" s="11"/>
      <c r="C3364" s="11"/>
      <c r="Q3364" s="36"/>
    </row>
    <row r="3365">
      <c r="A3365" s="11"/>
      <c r="B3365" s="11"/>
      <c r="C3365" s="11"/>
      <c r="Q3365" s="36"/>
    </row>
    <row r="3366">
      <c r="A3366" s="11"/>
      <c r="B3366" s="11"/>
      <c r="C3366" s="11"/>
      <c r="Q3366" s="36"/>
    </row>
    <row r="3367">
      <c r="A3367" s="11"/>
      <c r="B3367" s="11"/>
      <c r="C3367" s="11"/>
      <c r="Q3367" s="36"/>
    </row>
    <row r="3368">
      <c r="A3368" s="11"/>
      <c r="B3368" s="11"/>
      <c r="C3368" s="11"/>
      <c r="Q3368" s="36"/>
    </row>
    <row r="3369">
      <c r="A3369" s="11"/>
      <c r="B3369" s="11"/>
      <c r="C3369" s="11"/>
      <c r="Q3369" s="36"/>
    </row>
    <row r="3370">
      <c r="A3370" s="11"/>
      <c r="B3370" s="11"/>
      <c r="C3370" s="11"/>
      <c r="Q3370" s="36"/>
    </row>
    <row r="3371">
      <c r="A3371" s="11"/>
      <c r="B3371" s="11"/>
      <c r="C3371" s="11"/>
      <c r="Q3371" s="36"/>
    </row>
    <row r="3372">
      <c r="A3372" s="11"/>
      <c r="B3372" s="11"/>
      <c r="C3372" s="11"/>
      <c r="Q3372" s="36"/>
    </row>
    <row r="3373">
      <c r="A3373" s="11"/>
      <c r="B3373" s="11"/>
      <c r="C3373" s="11"/>
      <c r="Q3373" s="36"/>
    </row>
    <row r="3374">
      <c r="A3374" s="11"/>
      <c r="B3374" s="11"/>
      <c r="C3374" s="11"/>
      <c r="Q3374" s="36"/>
    </row>
    <row r="3375">
      <c r="A3375" s="11"/>
      <c r="B3375" s="11"/>
      <c r="C3375" s="11"/>
      <c r="Q3375" s="36"/>
    </row>
    <row r="3376">
      <c r="A3376" s="11"/>
      <c r="B3376" s="11"/>
      <c r="C3376" s="11"/>
      <c r="Q3376" s="36"/>
    </row>
    <row r="3377">
      <c r="A3377" s="11"/>
      <c r="B3377" s="11"/>
      <c r="C3377" s="11"/>
      <c r="Q3377" s="36"/>
    </row>
    <row r="3378">
      <c r="A3378" s="11"/>
      <c r="B3378" s="11"/>
      <c r="C3378" s="11"/>
      <c r="Q3378" s="36"/>
    </row>
    <row r="3379">
      <c r="A3379" s="11"/>
      <c r="B3379" s="11"/>
      <c r="C3379" s="11"/>
      <c r="Q3379" s="36"/>
    </row>
    <row r="3380">
      <c r="A3380" s="11"/>
      <c r="B3380" s="11"/>
      <c r="C3380" s="11"/>
      <c r="Q3380" s="36"/>
    </row>
    <row r="3381">
      <c r="A3381" s="11"/>
      <c r="B3381" s="11"/>
      <c r="C3381" s="11"/>
      <c r="Q3381" s="36"/>
    </row>
    <row r="3382">
      <c r="A3382" s="11"/>
      <c r="B3382" s="11"/>
      <c r="C3382" s="11"/>
      <c r="Q3382" s="36"/>
    </row>
    <row r="3383">
      <c r="A3383" s="11"/>
      <c r="B3383" s="11"/>
      <c r="C3383" s="11"/>
      <c r="Q3383" s="36"/>
    </row>
    <row r="3384">
      <c r="A3384" s="11"/>
      <c r="B3384" s="11"/>
      <c r="C3384" s="11"/>
      <c r="Q3384" s="36"/>
    </row>
    <row r="3385">
      <c r="A3385" s="11"/>
      <c r="B3385" s="11"/>
      <c r="C3385" s="11"/>
      <c r="Q3385" s="36"/>
    </row>
    <row r="3386">
      <c r="A3386" s="11"/>
      <c r="B3386" s="11"/>
      <c r="C3386" s="11"/>
      <c r="Q3386" s="36"/>
    </row>
    <row r="3387">
      <c r="A3387" s="11"/>
      <c r="B3387" s="11"/>
      <c r="C3387" s="11"/>
      <c r="Q3387" s="36"/>
    </row>
    <row r="3388">
      <c r="A3388" s="11"/>
      <c r="B3388" s="11"/>
      <c r="C3388" s="11"/>
      <c r="Q3388" s="36"/>
    </row>
    <row r="3389">
      <c r="A3389" s="11"/>
      <c r="B3389" s="11"/>
      <c r="C3389" s="11"/>
      <c r="Q3389" s="36"/>
    </row>
    <row r="3390">
      <c r="A3390" s="11"/>
      <c r="B3390" s="11"/>
      <c r="C3390" s="11"/>
      <c r="Q3390" s="36"/>
    </row>
    <row r="3391">
      <c r="A3391" s="11"/>
      <c r="B3391" s="11"/>
      <c r="C3391" s="11"/>
      <c r="Q3391" s="36"/>
    </row>
    <row r="3392">
      <c r="A3392" s="11"/>
      <c r="B3392" s="11"/>
      <c r="C3392" s="11"/>
      <c r="Q3392" s="36"/>
    </row>
    <row r="3393">
      <c r="A3393" s="11"/>
      <c r="B3393" s="11"/>
      <c r="C3393" s="11"/>
      <c r="Q3393" s="36"/>
    </row>
    <row r="3394">
      <c r="A3394" s="11"/>
      <c r="B3394" s="11"/>
      <c r="C3394" s="11"/>
      <c r="Q3394" s="36"/>
    </row>
    <row r="3395">
      <c r="A3395" s="11"/>
      <c r="B3395" s="11"/>
      <c r="C3395" s="11"/>
      <c r="Q3395" s="36"/>
    </row>
    <row r="3396">
      <c r="A3396" s="11"/>
      <c r="B3396" s="11"/>
      <c r="C3396" s="11"/>
      <c r="Q3396" s="36"/>
    </row>
    <row r="3397">
      <c r="A3397" s="11"/>
      <c r="B3397" s="11"/>
      <c r="C3397" s="11"/>
      <c r="Q3397" s="36"/>
    </row>
    <row r="3398">
      <c r="A3398" s="11"/>
      <c r="B3398" s="11"/>
      <c r="C3398" s="11"/>
      <c r="Q3398" s="36"/>
    </row>
    <row r="3399">
      <c r="A3399" s="11"/>
      <c r="B3399" s="11"/>
      <c r="C3399" s="11"/>
      <c r="Q3399" s="36"/>
    </row>
    <row r="3400">
      <c r="A3400" s="11"/>
      <c r="B3400" s="11"/>
      <c r="C3400" s="11"/>
      <c r="Q3400" s="36"/>
    </row>
    <row r="3401">
      <c r="A3401" s="11"/>
      <c r="B3401" s="11"/>
      <c r="C3401" s="11"/>
      <c r="Q3401" s="36"/>
    </row>
    <row r="3402">
      <c r="A3402" s="11"/>
      <c r="B3402" s="11"/>
      <c r="C3402" s="11"/>
      <c r="Q3402" s="36"/>
    </row>
    <row r="3403">
      <c r="A3403" s="11"/>
      <c r="B3403" s="11"/>
      <c r="C3403" s="11"/>
      <c r="Q3403" s="36"/>
    </row>
    <row r="3404">
      <c r="A3404" s="11"/>
      <c r="B3404" s="11"/>
      <c r="C3404" s="11"/>
      <c r="Q3404" s="36"/>
    </row>
    <row r="3405">
      <c r="A3405" s="11"/>
      <c r="B3405" s="11"/>
      <c r="C3405" s="11"/>
      <c r="Q3405" s="36"/>
    </row>
    <row r="3406">
      <c r="A3406" s="11"/>
      <c r="B3406" s="11"/>
      <c r="C3406" s="11"/>
      <c r="Q3406" s="36"/>
    </row>
    <row r="3407">
      <c r="A3407" s="11"/>
      <c r="B3407" s="11"/>
      <c r="C3407" s="11"/>
      <c r="Q3407" s="36"/>
    </row>
    <row r="3408">
      <c r="A3408" s="11"/>
      <c r="B3408" s="11"/>
      <c r="C3408" s="11"/>
      <c r="Q3408" s="36"/>
    </row>
    <row r="3409">
      <c r="A3409" s="11"/>
      <c r="B3409" s="11"/>
      <c r="C3409" s="11"/>
      <c r="Q3409" s="36"/>
    </row>
    <row r="3410">
      <c r="A3410" s="11"/>
      <c r="B3410" s="11"/>
      <c r="C3410" s="11"/>
      <c r="Q3410" s="36"/>
    </row>
    <row r="3411">
      <c r="A3411" s="11"/>
      <c r="B3411" s="11"/>
      <c r="C3411" s="11"/>
      <c r="Q3411" s="36"/>
    </row>
    <row r="3412">
      <c r="A3412" s="11"/>
      <c r="B3412" s="11"/>
      <c r="C3412" s="11"/>
      <c r="Q3412" s="36"/>
    </row>
    <row r="3413">
      <c r="A3413" s="11"/>
      <c r="B3413" s="11"/>
      <c r="C3413" s="11"/>
      <c r="Q3413" s="36"/>
    </row>
    <row r="3414">
      <c r="A3414" s="11"/>
      <c r="B3414" s="11"/>
      <c r="C3414" s="11"/>
      <c r="Q3414" s="36"/>
    </row>
    <row r="3415">
      <c r="A3415" s="11"/>
      <c r="B3415" s="11"/>
      <c r="C3415" s="11"/>
      <c r="Q3415" s="36"/>
    </row>
    <row r="3416">
      <c r="A3416" s="11"/>
      <c r="B3416" s="11"/>
      <c r="C3416" s="11"/>
      <c r="Q3416" s="36"/>
    </row>
    <row r="3417">
      <c r="A3417" s="11"/>
      <c r="B3417" s="11"/>
      <c r="C3417" s="11"/>
      <c r="Q3417" s="36"/>
    </row>
    <row r="3418">
      <c r="A3418" s="11"/>
      <c r="B3418" s="11"/>
      <c r="C3418" s="11"/>
      <c r="Q3418" s="36"/>
    </row>
    <row r="3419">
      <c r="A3419" s="11"/>
      <c r="B3419" s="11"/>
      <c r="C3419" s="11"/>
      <c r="Q3419" s="36"/>
    </row>
    <row r="3420">
      <c r="A3420" s="11"/>
      <c r="B3420" s="11"/>
      <c r="C3420" s="11"/>
      <c r="Q3420" s="36"/>
    </row>
    <row r="3421">
      <c r="A3421" s="11"/>
      <c r="B3421" s="11"/>
      <c r="C3421" s="11"/>
      <c r="Q3421" s="36"/>
    </row>
    <row r="3422">
      <c r="A3422" s="11"/>
      <c r="B3422" s="11"/>
      <c r="C3422" s="11"/>
      <c r="Q3422" s="36"/>
    </row>
    <row r="3423">
      <c r="A3423" s="11"/>
      <c r="B3423" s="11"/>
      <c r="C3423" s="11"/>
      <c r="Q3423" s="36"/>
    </row>
    <row r="3424">
      <c r="A3424" s="11"/>
      <c r="B3424" s="11"/>
      <c r="C3424" s="11"/>
      <c r="Q3424" s="36"/>
    </row>
    <row r="3425">
      <c r="A3425" s="11"/>
      <c r="B3425" s="11"/>
      <c r="C3425" s="11"/>
      <c r="Q3425" s="36"/>
    </row>
    <row r="3426">
      <c r="A3426" s="11"/>
      <c r="B3426" s="11"/>
      <c r="C3426" s="11"/>
      <c r="Q3426" s="36"/>
    </row>
    <row r="3427">
      <c r="A3427" s="11"/>
      <c r="B3427" s="11"/>
      <c r="C3427" s="11"/>
      <c r="Q3427" s="36"/>
    </row>
    <row r="3428">
      <c r="A3428" s="11"/>
      <c r="B3428" s="11"/>
      <c r="C3428" s="11"/>
      <c r="Q3428" s="36"/>
    </row>
    <row r="3429">
      <c r="A3429" s="11"/>
      <c r="B3429" s="11"/>
      <c r="C3429" s="11"/>
      <c r="Q3429" s="36"/>
    </row>
    <row r="3430">
      <c r="A3430" s="11"/>
      <c r="B3430" s="11"/>
      <c r="C3430" s="11"/>
      <c r="Q3430" s="36"/>
    </row>
    <row r="3431">
      <c r="A3431" s="11"/>
      <c r="B3431" s="11"/>
      <c r="C3431" s="11"/>
      <c r="Q3431" s="36"/>
    </row>
    <row r="3432">
      <c r="A3432" s="11"/>
      <c r="B3432" s="11"/>
      <c r="C3432" s="11"/>
      <c r="Q3432" s="36"/>
    </row>
    <row r="3433">
      <c r="A3433" s="11"/>
      <c r="B3433" s="11"/>
      <c r="C3433" s="11"/>
      <c r="Q3433" s="36"/>
    </row>
    <row r="3434">
      <c r="A3434" s="11"/>
      <c r="B3434" s="11"/>
      <c r="C3434" s="11"/>
      <c r="Q3434" s="36"/>
    </row>
    <row r="3435">
      <c r="A3435" s="11"/>
      <c r="B3435" s="11"/>
      <c r="C3435" s="11"/>
      <c r="Q3435" s="36"/>
    </row>
    <row r="3436">
      <c r="A3436" s="11"/>
      <c r="B3436" s="11"/>
      <c r="C3436" s="11"/>
      <c r="Q3436" s="36"/>
    </row>
    <row r="3437">
      <c r="A3437" s="11"/>
      <c r="B3437" s="11"/>
      <c r="C3437" s="11"/>
      <c r="Q3437" s="36"/>
    </row>
    <row r="3438">
      <c r="A3438" s="11"/>
      <c r="B3438" s="11"/>
      <c r="C3438" s="11"/>
      <c r="Q3438" s="36"/>
    </row>
    <row r="3439">
      <c r="A3439" s="11"/>
      <c r="B3439" s="11"/>
      <c r="C3439" s="11"/>
      <c r="Q3439" s="36"/>
    </row>
    <row r="3440">
      <c r="A3440" s="11"/>
      <c r="B3440" s="11"/>
      <c r="C3440" s="11"/>
      <c r="Q3440" s="36"/>
    </row>
    <row r="3441">
      <c r="A3441" s="11"/>
      <c r="B3441" s="11"/>
      <c r="C3441" s="11"/>
      <c r="Q3441" s="36"/>
    </row>
    <row r="3442">
      <c r="A3442" s="11"/>
      <c r="B3442" s="11"/>
      <c r="C3442" s="11"/>
      <c r="Q3442" s="36"/>
    </row>
    <row r="3443">
      <c r="A3443" s="11"/>
      <c r="B3443" s="11"/>
      <c r="C3443" s="11"/>
      <c r="Q3443" s="36"/>
    </row>
    <row r="3444">
      <c r="A3444" s="11"/>
      <c r="B3444" s="11"/>
      <c r="C3444" s="11"/>
      <c r="Q3444" s="36"/>
    </row>
    <row r="3445">
      <c r="A3445" s="11"/>
      <c r="B3445" s="11"/>
      <c r="C3445" s="11"/>
      <c r="Q3445" s="36"/>
    </row>
    <row r="3446">
      <c r="A3446" s="11"/>
      <c r="B3446" s="11"/>
      <c r="C3446" s="11"/>
      <c r="Q3446" s="36"/>
    </row>
    <row r="3447">
      <c r="A3447" s="11"/>
      <c r="B3447" s="11"/>
      <c r="C3447" s="11"/>
      <c r="Q3447" s="36"/>
    </row>
    <row r="3448">
      <c r="A3448" s="11"/>
      <c r="B3448" s="11"/>
      <c r="C3448" s="11"/>
      <c r="Q3448" s="36"/>
    </row>
    <row r="3449">
      <c r="A3449" s="11"/>
      <c r="B3449" s="11"/>
      <c r="C3449" s="11"/>
      <c r="Q3449" s="36"/>
    </row>
    <row r="3450">
      <c r="A3450" s="11"/>
      <c r="B3450" s="11"/>
      <c r="C3450" s="11"/>
      <c r="Q3450" s="36"/>
    </row>
    <row r="3451">
      <c r="A3451" s="11"/>
      <c r="B3451" s="11"/>
      <c r="C3451" s="11"/>
      <c r="Q3451" s="36"/>
    </row>
    <row r="3452">
      <c r="A3452" s="11"/>
      <c r="B3452" s="11"/>
      <c r="C3452" s="11"/>
      <c r="Q3452" s="36"/>
    </row>
    <row r="3453">
      <c r="A3453" s="11"/>
      <c r="B3453" s="11"/>
      <c r="C3453" s="11"/>
      <c r="Q3453" s="36"/>
    </row>
    <row r="3454">
      <c r="A3454" s="11"/>
      <c r="B3454" s="11"/>
      <c r="C3454" s="11"/>
      <c r="Q3454" s="36"/>
    </row>
    <row r="3455">
      <c r="A3455" s="11"/>
      <c r="B3455" s="11"/>
      <c r="C3455" s="11"/>
      <c r="Q3455" s="36"/>
    </row>
    <row r="3456">
      <c r="A3456" s="11"/>
      <c r="B3456" s="11"/>
      <c r="C3456" s="11"/>
      <c r="Q3456" s="36"/>
    </row>
    <row r="3457">
      <c r="A3457" s="11"/>
      <c r="B3457" s="11"/>
      <c r="C3457" s="11"/>
      <c r="Q3457" s="36"/>
    </row>
    <row r="3458">
      <c r="A3458" s="11"/>
      <c r="B3458" s="11"/>
      <c r="C3458" s="11"/>
      <c r="Q3458" s="36"/>
    </row>
    <row r="3459">
      <c r="A3459" s="11"/>
      <c r="B3459" s="11"/>
      <c r="C3459" s="11"/>
      <c r="Q3459" s="36"/>
    </row>
    <row r="3460">
      <c r="A3460" s="11"/>
      <c r="B3460" s="11"/>
      <c r="C3460" s="11"/>
      <c r="Q3460" s="36"/>
    </row>
    <row r="3461">
      <c r="A3461" s="11"/>
      <c r="B3461" s="11"/>
      <c r="C3461" s="11"/>
      <c r="Q3461" s="36"/>
    </row>
    <row r="3462">
      <c r="A3462" s="11"/>
      <c r="B3462" s="11"/>
      <c r="C3462" s="11"/>
      <c r="Q3462" s="36"/>
    </row>
    <row r="3463">
      <c r="A3463" s="11"/>
      <c r="B3463" s="11"/>
      <c r="C3463" s="11"/>
      <c r="Q3463" s="36"/>
    </row>
    <row r="3464">
      <c r="A3464" s="11"/>
      <c r="B3464" s="11"/>
      <c r="C3464" s="11"/>
      <c r="Q3464" s="36"/>
    </row>
    <row r="3465">
      <c r="A3465" s="11"/>
      <c r="B3465" s="11"/>
      <c r="C3465" s="11"/>
      <c r="Q3465" s="36"/>
    </row>
    <row r="3466">
      <c r="A3466" s="11"/>
      <c r="B3466" s="11"/>
      <c r="C3466" s="11"/>
      <c r="Q3466" s="36"/>
    </row>
    <row r="3467">
      <c r="A3467" s="11"/>
      <c r="B3467" s="11"/>
      <c r="C3467" s="11"/>
      <c r="Q3467" s="36"/>
    </row>
    <row r="3468">
      <c r="A3468" s="11"/>
      <c r="B3468" s="11"/>
      <c r="C3468" s="11"/>
      <c r="Q3468" s="36"/>
    </row>
    <row r="3469">
      <c r="A3469" s="11"/>
      <c r="B3469" s="11"/>
      <c r="C3469" s="11"/>
      <c r="Q3469" s="36"/>
    </row>
    <row r="3470">
      <c r="A3470" s="11"/>
      <c r="B3470" s="11"/>
      <c r="C3470" s="11"/>
      <c r="Q3470" s="36"/>
    </row>
    <row r="3471">
      <c r="A3471" s="11"/>
      <c r="B3471" s="11"/>
      <c r="C3471" s="11"/>
      <c r="Q3471" s="36"/>
    </row>
    <row r="3472">
      <c r="A3472" s="11"/>
      <c r="B3472" s="11"/>
      <c r="C3472" s="11"/>
      <c r="Q3472" s="36"/>
    </row>
    <row r="3473">
      <c r="A3473" s="11"/>
      <c r="B3473" s="11"/>
      <c r="C3473" s="11"/>
      <c r="Q3473" s="36"/>
    </row>
    <row r="3474">
      <c r="A3474" s="11"/>
      <c r="B3474" s="11"/>
      <c r="C3474" s="11"/>
      <c r="Q3474" s="36"/>
    </row>
    <row r="3475">
      <c r="A3475" s="11"/>
      <c r="B3475" s="11"/>
      <c r="C3475" s="11"/>
      <c r="Q3475" s="36"/>
    </row>
    <row r="3476">
      <c r="A3476" s="11"/>
      <c r="B3476" s="11"/>
      <c r="C3476" s="11"/>
      <c r="Q3476" s="36"/>
    </row>
    <row r="3477">
      <c r="A3477" s="11"/>
      <c r="B3477" s="11"/>
      <c r="C3477" s="11"/>
      <c r="Q3477" s="36"/>
    </row>
    <row r="3478">
      <c r="A3478" s="11"/>
      <c r="B3478" s="11"/>
      <c r="C3478" s="11"/>
      <c r="Q3478" s="36"/>
    </row>
    <row r="3479">
      <c r="A3479" s="11"/>
      <c r="B3479" s="11"/>
      <c r="C3479" s="11"/>
      <c r="Q3479" s="36"/>
    </row>
    <row r="3480">
      <c r="A3480" s="11"/>
      <c r="B3480" s="11"/>
      <c r="C3480" s="11"/>
      <c r="Q3480" s="36"/>
    </row>
    <row r="3481">
      <c r="A3481" s="11"/>
      <c r="B3481" s="11"/>
      <c r="C3481" s="11"/>
      <c r="Q3481" s="36"/>
    </row>
    <row r="3482">
      <c r="A3482" s="11"/>
      <c r="B3482" s="11"/>
      <c r="C3482" s="11"/>
      <c r="Q3482" s="36"/>
    </row>
    <row r="3483">
      <c r="A3483" s="11"/>
      <c r="B3483" s="11"/>
      <c r="C3483" s="11"/>
      <c r="Q3483" s="36"/>
    </row>
    <row r="3484">
      <c r="A3484" s="11"/>
      <c r="B3484" s="11"/>
      <c r="C3484" s="11"/>
      <c r="Q3484" s="36"/>
    </row>
    <row r="3485">
      <c r="A3485" s="11"/>
      <c r="B3485" s="11"/>
      <c r="C3485" s="11"/>
      <c r="Q3485" s="36"/>
    </row>
    <row r="3486">
      <c r="A3486" s="11"/>
      <c r="B3486" s="11"/>
      <c r="C3486" s="11"/>
      <c r="Q3486" s="36"/>
    </row>
    <row r="3487">
      <c r="A3487" s="11"/>
      <c r="B3487" s="11"/>
      <c r="C3487" s="11"/>
      <c r="Q3487" s="36"/>
    </row>
    <row r="3488">
      <c r="A3488" s="11"/>
      <c r="B3488" s="11"/>
      <c r="C3488" s="11"/>
      <c r="Q3488" s="36"/>
    </row>
    <row r="3489">
      <c r="A3489" s="11"/>
      <c r="B3489" s="11"/>
      <c r="C3489" s="11"/>
      <c r="Q3489" s="36"/>
    </row>
    <row r="3490">
      <c r="A3490" s="11"/>
      <c r="B3490" s="11"/>
      <c r="C3490" s="11"/>
      <c r="Q3490" s="36"/>
    </row>
    <row r="3491">
      <c r="A3491" s="11"/>
      <c r="B3491" s="11"/>
      <c r="C3491" s="11"/>
      <c r="Q3491" s="36"/>
    </row>
    <row r="3492">
      <c r="A3492" s="11"/>
      <c r="B3492" s="11"/>
      <c r="C3492" s="11"/>
      <c r="Q3492" s="36"/>
    </row>
    <row r="3493">
      <c r="A3493" s="11"/>
      <c r="B3493" s="11"/>
      <c r="C3493" s="11"/>
      <c r="Q3493" s="36"/>
    </row>
    <row r="3494">
      <c r="A3494" s="11"/>
      <c r="B3494" s="11"/>
      <c r="C3494" s="11"/>
      <c r="Q3494" s="36"/>
    </row>
    <row r="3495">
      <c r="A3495" s="11"/>
      <c r="B3495" s="11"/>
      <c r="C3495" s="11"/>
      <c r="Q3495" s="36"/>
    </row>
    <row r="3496">
      <c r="A3496" s="11"/>
      <c r="B3496" s="11"/>
      <c r="C3496" s="11"/>
      <c r="Q3496" s="36"/>
    </row>
    <row r="3497">
      <c r="A3497" s="11"/>
      <c r="B3497" s="11"/>
      <c r="C3497" s="11"/>
      <c r="Q3497" s="36"/>
    </row>
    <row r="3498">
      <c r="A3498" s="11"/>
      <c r="B3498" s="11"/>
      <c r="C3498" s="11"/>
      <c r="Q3498" s="36"/>
    </row>
    <row r="3499">
      <c r="A3499" s="11"/>
      <c r="B3499" s="11"/>
      <c r="C3499" s="11"/>
      <c r="Q3499" s="36"/>
    </row>
    <row r="3500">
      <c r="A3500" s="11"/>
      <c r="B3500" s="11"/>
      <c r="C3500" s="11"/>
      <c r="Q3500" s="36"/>
    </row>
    <row r="3501">
      <c r="A3501" s="11"/>
      <c r="B3501" s="11"/>
      <c r="C3501" s="11"/>
      <c r="Q3501" s="36"/>
    </row>
    <row r="3502">
      <c r="A3502" s="11"/>
      <c r="B3502" s="11"/>
      <c r="C3502" s="11"/>
      <c r="Q3502" s="36"/>
    </row>
    <row r="3503">
      <c r="A3503" s="11"/>
      <c r="B3503" s="11"/>
      <c r="C3503" s="11"/>
      <c r="Q3503" s="36"/>
    </row>
    <row r="3504">
      <c r="A3504" s="11"/>
      <c r="B3504" s="11"/>
      <c r="C3504" s="11"/>
      <c r="Q3504" s="36"/>
    </row>
    <row r="3505">
      <c r="A3505" s="11"/>
      <c r="B3505" s="11"/>
      <c r="C3505" s="11"/>
      <c r="Q3505" s="36"/>
    </row>
    <row r="3506">
      <c r="A3506" s="11"/>
      <c r="B3506" s="11"/>
      <c r="C3506" s="11"/>
      <c r="Q3506" s="36"/>
    </row>
    <row r="3507">
      <c r="A3507" s="11"/>
      <c r="B3507" s="11"/>
      <c r="C3507" s="11"/>
      <c r="Q3507" s="36"/>
    </row>
    <row r="3508">
      <c r="A3508" s="11"/>
      <c r="B3508" s="11"/>
      <c r="C3508" s="11"/>
      <c r="Q3508" s="36"/>
    </row>
    <row r="3509">
      <c r="A3509" s="11"/>
      <c r="B3509" s="11"/>
      <c r="C3509" s="11"/>
      <c r="Q3509" s="36"/>
    </row>
    <row r="3510">
      <c r="A3510" s="11"/>
      <c r="B3510" s="11"/>
      <c r="C3510" s="11"/>
      <c r="Q3510" s="36"/>
    </row>
    <row r="3511">
      <c r="A3511" s="11"/>
      <c r="B3511" s="11"/>
      <c r="C3511" s="11"/>
      <c r="Q3511" s="36"/>
    </row>
    <row r="3512">
      <c r="A3512" s="11"/>
      <c r="B3512" s="11"/>
      <c r="C3512" s="11"/>
      <c r="Q3512" s="36"/>
    </row>
    <row r="3513">
      <c r="A3513" s="11"/>
      <c r="B3513" s="11"/>
      <c r="C3513" s="11"/>
      <c r="Q3513" s="36"/>
    </row>
    <row r="3514">
      <c r="A3514" s="11"/>
      <c r="B3514" s="11"/>
      <c r="C3514" s="11"/>
      <c r="Q3514" s="36"/>
    </row>
    <row r="3515">
      <c r="A3515" s="11"/>
      <c r="B3515" s="11"/>
      <c r="C3515" s="11"/>
      <c r="Q3515" s="36"/>
    </row>
    <row r="3516">
      <c r="A3516" s="11"/>
      <c r="B3516" s="11"/>
      <c r="C3516" s="11"/>
      <c r="Q3516" s="36"/>
    </row>
    <row r="3517">
      <c r="A3517" s="11"/>
      <c r="B3517" s="11"/>
      <c r="C3517" s="11"/>
      <c r="Q3517" s="36"/>
    </row>
    <row r="3518">
      <c r="A3518" s="11"/>
      <c r="B3518" s="11"/>
      <c r="C3518" s="11"/>
      <c r="Q3518" s="36"/>
    </row>
    <row r="3519">
      <c r="A3519" s="11"/>
      <c r="B3519" s="11"/>
      <c r="C3519" s="11"/>
      <c r="Q3519" s="36"/>
    </row>
    <row r="3520">
      <c r="A3520" s="11"/>
      <c r="B3520" s="11"/>
      <c r="C3520" s="11"/>
      <c r="Q3520" s="36"/>
    </row>
    <row r="3521">
      <c r="A3521" s="11"/>
      <c r="B3521" s="11"/>
      <c r="C3521" s="11"/>
      <c r="Q3521" s="36"/>
    </row>
    <row r="3522">
      <c r="A3522" s="11"/>
      <c r="B3522" s="11"/>
      <c r="C3522" s="11"/>
      <c r="Q3522" s="36"/>
    </row>
    <row r="3523">
      <c r="A3523" s="11"/>
      <c r="B3523" s="11"/>
      <c r="C3523" s="11"/>
      <c r="Q3523" s="36"/>
    </row>
    <row r="3524">
      <c r="A3524" s="11"/>
      <c r="B3524" s="11"/>
      <c r="C3524" s="11"/>
      <c r="Q3524" s="36"/>
    </row>
    <row r="3525">
      <c r="A3525" s="11"/>
      <c r="B3525" s="11"/>
      <c r="C3525" s="11"/>
      <c r="Q3525" s="36"/>
    </row>
    <row r="3526">
      <c r="A3526" s="11"/>
      <c r="B3526" s="11"/>
      <c r="C3526" s="11"/>
      <c r="Q3526" s="36"/>
    </row>
    <row r="3527">
      <c r="A3527" s="11"/>
      <c r="B3527" s="11"/>
      <c r="C3527" s="11"/>
      <c r="Q3527" s="36"/>
    </row>
    <row r="3528">
      <c r="A3528" s="11"/>
      <c r="B3528" s="11"/>
      <c r="C3528" s="11"/>
      <c r="Q3528" s="36"/>
    </row>
    <row r="3529">
      <c r="A3529" s="11"/>
      <c r="B3529" s="11"/>
      <c r="C3529" s="11"/>
      <c r="Q3529" s="36"/>
    </row>
    <row r="3530">
      <c r="A3530" s="11"/>
      <c r="B3530" s="11"/>
      <c r="C3530" s="11"/>
      <c r="Q3530" s="36"/>
    </row>
    <row r="3531">
      <c r="A3531" s="11"/>
      <c r="B3531" s="11"/>
      <c r="C3531" s="11"/>
      <c r="Q3531" s="36"/>
    </row>
    <row r="3532">
      <c r="A3532" s="11"/>
      <c r="B3532" s="11"/>
      <c r="C3532" s="11"/>
      <c r="Q3532" s="36"/>
    </row>
    <row r="3533">
      <c r="A3533" s="11"/>
      <c r="B3533" s="11"/>
      <c r="C3533" s="11"/>
      <c r="Q3533" s="36"/>
    </row>
    <row r="3534">
      <c r="A3534" s="11"/>
      <c r="B3534" s="11"/>
      <c r="C3534" s="11"/>
      <c r="Q3534" s="36"/>
    </row>
    <row r="3535">
      <c r="A3535" s="11"/>
      <c r="B3535" s="11"/>
      <c r="C3535" s="11"/>
      <c r="Q3535" s="36"/>
    </row>
    <row r="3536">
      <c r="A3536" s="11"/>
      <c r="B3536" s="11"/>
      <c r="C3536" s="11"/>
      <c r="Q3536" s="36"/>
    </row>
    <row r="3537">
      <c r="A3537" s="11"/>
      <c r="B3537" s="11"/>
      <c r="C3537" s="11"/>
      <c r="Q3537" s="36"/>
    </row>
    <row r="3538">
      <c r="A3538" s="11"/>
      <c r="B3538" s="11"/>
      <c r="C3538" s="11"/>
      <c r="Q3538" s="36"/>
    </row>
    <row r="3539">
      <c r="A3539" s="11"/>
      <c r="B3539" s="11"/>
      <c r="C3539" s="11"/>
      <c r="Q3539" s="36"/>
    </row>
    <row r="3540">
      <c r="A3540" s="11"/>
      <c r="B3540" s="11"/>
      <c r="C3540" s="11"/>
      <c r="Q3540" s="36"/>
    </row>
    <row r="3541">
      <c r="A3541" s="11"/>
      <c r="B3541" s="11"/>
      <c r="C3541" s="11"/>
      <c r="Q3541" s="36"/>
    </row>
    <row r="3542">
      <c r="A3542" s="11"/>
      <c r="B3542" s="11"/>
      <c r="C3542" s="11"/>
      <c r="Q3542" s="36"/>
    </row>
    <row r="3543">
      <c r="A3543" s="11"/>
      <c r="B3543" s="11"/>
      <c r="C3543" s="11"/>
      <c r="Q3543" s="36"/>
    </row>
    <row r="3544">
      <c r="A3544" s="11"/>
      <c r="B3544" s="11"/>
      <c r="C3544" s="11"/>
      <c r="Q3544" s="36"/>
    </row>
    <row r="3545">
      <c r="A3545" s="11"/>
      <c r="B3545" s="11"/>
      <c r="C3545" s="11"/>
      <c r="Q3545" s="36"/>
    </row>
    <row r="3546">
      <c r="A3546" s="11"/>
      <c r="B3546" s="11"/>
      <c r="C3546" s="11"/>
      <c r="Q3546" s="36"/>
    </row>
    <row r="3547">
      <c r="A3547" s="11"/>
      <c r="B3547" s="11"/>
      <c r="C3547" s="11"/>
      <c r="Q3547" s="36"/>
    </row>
    <row r="3548">
      <c r="A3548" s="11"/>
      <c r="B3548" s="11"/>
      <c r="C3548" s="11"/>
      <c r="Q3548" s="36"/>
    </row>
    <row r="3549">
      <c r="A3549" s="11"/>
      <c r="B3549" s="11"/>
      <c r="C3549" s="11"/>
      <c r="Q3549" s="36"/>
    </row>
    <row r="3550">
      <c r="A3550" s="11"/>
      <c r="B3550" s="11"/>
      <c r="C3550" s="11"/>
      <c r="Q3550" s="36"/>
    </row>
    <row r="3551">
      <c r="A3551" s="11"/>
      <c r="B3551" s="11"/>
      <c r="C3551" s="11"/>
      <c r="Q3551" s="36"/>
    </row>
    <row r="3552">
      <c r="A3552" s="11"/>
      <c r="B3552" s="11"/>
      <c r="C3552" s="11"/>
      <c r="Q3552" s="36"/>
    </row>
    <row r="3553">
      <c r="A3553" s="11"/>
      <c r="B3553" s="11"/>
      <c r="C3553" s="11"/>
      <c r="Q3553" s="36"/>
    </row>
    <row r="3554">
      <c r="A3554" s="11"/>
      <c r="B3554" s="11"/>
      <c r="C3554" s="11"/>
      <c r="Q3554" s="36"/>
    </row>
    <row r="3555">
      <c r="A3555" s="11"/>
      <c r="B3555" s="11"/>
      <c r="C3555" s="11"/>
      <c r="Q3555" s="36"/>
    </row>
    <row r="3556">
      <c r="A3556" s="11"/>
      <c r="B3556" s="11"/>
      <c r="C3556" s="11"/>
      <c r="Q3556" s="36"/>
    </row>
    <row r="3557">
      <c r="A3557" s="11"/>
      <c r="B3557" s="11"/>
      <c r="C3557" s="11"/>
      <c r="Q3557" s="36"/>
    </row>
    <row r="3558">
      <c r="A3558" s="11"/>
      <c r="B3558" s="11"/>
      <c r="C3558" s="11"/>
      <c r="Q3558" s="36"/>
    </row>
    <row r="3559">
      <c r="A3559" s="11"/>
      <c r="B3559" s="11"/>
      <c r="C3559" s="11"/>
      <c r="Q3559" s="36"/>
    </row>
    <row r="3560">
      <c r="A3560" s="11"/>
      <c r="B3560" s="11"/>
      <c r="C3560" s="11"/>
      <c r="Q3560" s="36"/>
    </row>
    <row r="3561">
      <c r="A3561" s="11"/>
      <c r="B3561" s="11"/>
      <c r="C3561" s="11"/>
      <c r="Q3561" s="36"/>
    </row>
    <row r="3562">
      <c r="A3562" s="11"/>
      <c r="B3562" s="11"/>
      <c r="C3562" s="11"/>
      <c r="Q3562" s="36"/>
    </row>
    <row r="3563">
      <c r="A3563" s="11"/>
      <c r="B3563" s="11"/>
      <c r="C3563" s="11"/>
      <c r="Q3563" s="36"/>
    </row>
    <row r="3564">
      <c r="A3564" s="11"/>
      <c r="B3564" s="11"/>
      <c r="C3564" s="11"/>
      <c r="Q3564" s="36"/>
    </row>
    <row r="3565">
      <c r="A3565" s="11"/>
      <c r="B3565" s="11"/>
      <c r="C3565" s="11"/>
      <c r="Q3565" s="36"/>
    </row>
    <row r="3566">
      <c r="A3566" s="11"/>
      <c r="B3566" s="11"/>
      <c r="C3566" s="11"/>
      <c r="Q3566" s="36"/>
    </row>
    <row r="3567">
      <c r="A3567" s="11"/>
      <c r="B3567" s="11"/>
      <c r="C3567" s="11"/>
      <c r="Q3567" s="36"/>
    </row>
    <row r="3568">
      <c r="A3568" s="11"/>
      <c r="B3568" s="11"/>
      <c r="C3568" s="11"/>
      <c r="Q3568" s="36"/>
    </row>
    <row r="3569">
      <c r="A3569" s="11"/>
      <c r="B3569" s="11"/>
      <c r="C3569" s="11"/>
      <c r="Q3569" s="36"/>
    </row>
    <row r="3570">
      <c r="A3570" s="11"/>
      <c r="B3570" s="11"/>
      <c r="C3570" s="11"/>
      <c r="Q3570" s="36"/>
    </row>
    <row r="3571">
      <c r="A3571" s="11"/>
      <c r="B3571" s="11"/>
      <c r="C3571" s="11"/>
      <c r="Q3571" s="36"/>
    </row>
    <row r="3572">
      <c r="A3572" s="11"/>
      <c r="B3572" s="11"/>
      <c r="C3572" s="11"/>
      <c r="Q3572" s="36"/>
    </row>
    <row r="3573">
      <c r="A3573" s="11"/>
      <c r="B3573" s="11"/>
      <c r="C3573" s="11"/>
      <c r="Q3573" s="36"/>
    </row>
    <row r="3574">
      <c r="A3574" s="11"/>
      <c r="B3574" s="11"/>
      <c r="C3574" s="11"/>
      <c r="Q3574" s="36"/>
    </row>
    <row r="3575">
      <c r="A3575" s="11"/>
      <c r="B3575" s="11"/>
      <c r="C3575" s="11"/>
      <c r="Q3575" s="36"/>
    </row>
    <row r="3576">
      <c r="A3576" s="11"/>
      <c r="B3576" s="11"/>
      <c r="C3576" s="11"/>
      <c r="Q3576" s="36"/>
    </row>
    <row r="3577">
      <c r="A3577" s="11"/>
      <c r="B3577" s="11"/>
      <c r="C3577" s="11"/>
      <c r="Q3577" s="36"/>
    </row>
    <row r="3578">
      <c r="A3578" s="11"/>
      <c r="B3578" s="11"/>
      <c r="C3578" s="11"/>
      <c r="Q3578" s="36"/>
    </row>
    <row r="3579">
      <c r="A3579" s="11"/>
      <c r="B3579" s="11"/>
      <c r="C3579" s="11"/>
      <c r="Q3579" s="36"/>
    </row>
    <row r="3580">
      <c r="A3580" s="11"/>
      <c r="B3580" s="11"/>
      <c r="C3580" s="11"/>
      <c r="Q3580" s="36"/>
    </row>
    <row r="3581">
      <c r="A3581" s="11"/>
      <c r="B3581" s="11"/>
      <c r="C3581" s="11"/>
      <c r="Q3581" s="36"/>
    </row>
    <row r="3582">
      <c r="A3582" s="11"/>
      <c r="B3582" s="11"/>
      <c r="C3582" s="11"/>
      <c r="Q3582" s="36"/>
    </row>
    <row r="3583">
      <c r="A3583" s="11"/>
      <c r="B3583" s="11"/>
      <c r="C3583" s="11"/>
      <c r="Q3583" s="36"/>
    </row>
    <row r="3584">
      <c r="A3584" s="11"/>
      <c r="B3584" s="11"/>
      <c r="C3584" s="11"/>
      <c r="Q3584" s="36"/>
    </row>
    <row r="3585">
      <c r="A3585" s="11"/>
      <c r="B3585" s="11"/>
      <c r="C3585" s="11"/>
      <c r="Q3585" s="36"/>
    </row>
    <row r="3586">
      <c r="A3586" s="11"/>
      <c r="B3586" s="11"/>
      <c r="C3586" s="11"/>
      <c r="Q3586" s="36"/>
    </row>
    <row r="3587">
      <c r="A3587" s="11"/>
      <c r="B3587" s="11"/>
      <c r="C3587" s="11"/>
      <c r="Q3587" s="36"/>
    </row>
    <row r="3588">
      <c r="A3588" s="11"/>
      <c r="B3588" s="11"/>
      <c r="C3588" s="11"/>
      <c r="Q3588" s="36"/>
    </row>
    <row r="3589">
      <c r="A3589" s="11"/>
      <c r="B3589" s="11"/>
      <c r="C3589" s="11"/>
      <c r="Q3589" s="36"/>
    </row>
    <row r="3590">
      <c r="A3590" s="11"/>
      <c r="B3590" s="11"/>
      <c r="C3590" s="11"/>
      <c r="Q3590" s="36"/>
    </row>
    <row r="3591">
      <c r="A3591" s="11"/>
      <c r="B3591" s="11"/>
      <c r="C3591" s="11"/>
      <c r="Q3591" s="36"/>
    </row>
    <row r="3592">
      <c r="A3592" s="11"/>
      <c r="B3592" s="11"/>
      <c r="C3592" s="11"/>
      <c r="Q3592" s="36"/>
    </row>
    <row r="3593">
      <c r="A3593" s="11"/>
      <c r="B3593" s="11"/>
      <c r="C3593" s="11"/>
      <c r="Q3593" s="36"/>
    </row>
    <row r="3594">
      <c r="A3594" s="11"/>
      <c r="B3594" s="11"/>
      <c r="C3594" s="11"/>
      <c r="Q3594" s="36"/>
    </row>
    <row r="3595">
      <c r="A3595" s="11"/>
      <c r="B3595" s="11"/>
      <c r="C3595" s="11"/>
      <c r="Q3595" s="36"/>
    </row>
    <row r="3596">
      <c r="A3596" s="11"/>
      <c r="B3596" s="11"/>
      <c r="C3596" s="11"/>
      <c r="Q3596" s="36"/>
    </row>
    <row r="3597">
      <c r="A3597" s="11"/>
      <c r="B3597" s="11"/>
      <c r="C3597" s="11"/>
      <c r="Q3597" s="36"/>
    </row>
    <row r="3598">
      <c r="A3598" s="11"/>
      <c r="B3598" s="11"/>
      <c r="C3598" s="11"/>
      <c r="Q3598" s="36"/>
    </row>
    <row r="3599">
      <c r="A3599" s="11"/>
      <c r="B3599" s="11"/>
      <c r="C3599" s="11"/>
      <c r="Q3599" s="36"/>
    </row>
    <row r="3600">
      <c r="A3600" s="11"/>
      <c r="B3600" s="11"/>
      <c r="C3600" s="11"/>
      <c r="Q3600" s="36"/>
    </row>
    <row r="3601">
      <c r="A3601" s="11"/>
      <c r="B3601" s="11"/>
      <c r="C3601" s="11"/>
      <c r="Q3601" s="36"/>
    </row>
    <row r="3602">
      <c r="A3602" s="11"/>
      <c r="B3602" s="11"/>
      <c r="C3602" s="11"/>
      <c r="Q3602" s="36"/>
    </row>
    <row r="3603">
      <c r="A3603" s="11"/>
      <c r="B3603" s="11"/>
      <c r="C3603" s="11"/>
      <c r="Q3603" s="36"/>
    </row>
    <row r="3604">
      <c r="A3604" s="11"/>
      <c r="B3604" s="11"/>
      <c r="C3604" s="11"/>
      <c r="Q3604" s="36"/>
    </row>
    <row r="3605">
      <c r="A3605" s="11"/>
      <c r="B3605" s="11"/>
      <c r="C3605" s="11"/>
      <c r="Q3605" s="36"/>
    </row>
    <row r="3606">
      <c r="A3606" s="11"/>
      <c r="B3606" s="11"/>
      <c r="C3606" s="11"/>
      <c r="Q3606" s="36"/>
    </row>
    <row r="3607">
      <c r="A3607" s="11"/>
      <c r="B3607" s="11"/>
      <c r="C3607" s="11"/>
      <c r="Q3607" s="36"/>
    </row>
    <row r="3608">
      <c r="A3608" s="11"/>
      <c r="B3608" s="11"/>
      <c r="C3608" s="11"/>
      <c r="Q3608" s="36"/>
    </row>
    <row r="3609">
      <c r="A3609" s="11"/>
      <c r="B3609" s="11"/>
      <c r="C3609" s="11"/>
      <c r="Q3609" s="36"/>
    </row>
    <row r="3610">
      <c r="A3610" s="11"/>
      <c r="B3610" s="11"/>
      <c r="C3610" s="11"/>
      <c r="Q3610" s="36"/>
    </row>
    <row r="3611">
      <c r="A3611" s="11"/>
      <c r="B3611" s="11"/>
      <c r="C3611" s="11"/>
      <c r="Q3611" s="36"/>
    </row>
    <row r="3612">
      <c r="A3612" s="11"/>
      <c r="B3612" s="11"/>
      <c r="C3612" s="11"/>
      <c r="Q3612" s="36"/>
    </row>
    <row r="3613">
      <c r="A3613" s="11"/>
      <c r="B3613" s="11"/>
      <c r="C3613" s="11"/>
      <c r="Q3613" s="36"/>
    </row>
    <row r="3614">
      <c r="A3614" s="11"/>
      <c r="B3614" s="11"/>
      <c r="C3614" s="11"/>
      <c r="Q3614" s="36"/>
    </row>
    <row r="3615">
      <c r="A3615" s="11"/>
      <c r="B3615" s="11"/>
      <c r="C3615" s="11"/>
      <c r="Q3615" s="36"/>
    </row>
    <row r="3616">
      <c r="A3616" s="11"/>
      <c r="B3616" s="11"/>
      <c r="C3616" s="11"/>
      <c r="Q3616" s="36"/>
    </row>
    <row r="3617">
      <c r="A3617" s="11"/>
      <c r="B3617" s="11"/>
      <c r="C3617" s="11"/>
      <c r="Q3617" s="36"/>
    </row>
    <row r="3618">
      <c r="A3618" s="11"/>
      <c r="B3618" s="11"/>
      <c r="C3618" s="11"/>
      <c r="Q3618" s="36"/>
    </row>
    <row r="3619">
      <c r="A3619" s="11"/>
      <c r="B3619" s="11"/>
      <c r="C3619" s="11"/>
      <c r="Q3619" s="36"/>
    </row>
    <row r="3620">
      <c r="A3620" s="11"/>
      <c r="B3620" s="11"/>
      <c r="C3620" s="11"/>
      <c r="Q3620" s="36"/>
    </row>
    <row r="3621">
      <c r="A3621" s="11"/>
      <c r="B3621" s="11"/>
      <c r="C3621" s="11"/>
      <c r="Q3621" s="36"/>
    </row>
    <row r="3622">
      <c r="A3622" s="11"/>
      <c r="B3622" s="11"/>
      <c r="C3622" s="11"/>
      <c r="Q3622" s="36"/>
    </row>
    <row r="3623">
      <c r="A3623" s="11"/>
      <c r="B3623" s="11"/>
      <c r="C3623" s="11"/>
      <c r="Q3623" s="36"/>
    </row>
    <row r="3624">
      <c r="A3624" s="11"/>
      <c r="B3624" s="11"/>
      <c r="C3624" s="11"/>
      <c r="Q3624" s="36"/>
    </row>
    <row r="3625">
      <c r="A3625" s="11"/>
      <c r="B3625" s="11"/>
      <c r="C3625" s="11"/>
      <c r="Q3625" s="36"/>
    </row>
    <row r="3626">
      <c r="A3626" s="11"/>
      <c r="B3626" s="11"/>
      <c r="C3626" s="11"/>
      <c r="Q3626" s="36"/>
    </row>
    <row r="3627">
      <c r="A3627" s="11"/>
      <c r="B3627" s="11"/>
      <c r="C3627" s="11"/>
      <c r="Q3627" s="36"/>
    </row>
    <row r="3628">
      <c r="A3628" s="11"/>
      <c r="B3628" s="11"/>
      <c r="C3628" s="11"/>
      <c r="Q3628" s="36"/>
    </row>
    <row r="3629">
      <c r="A3629" s="11"/>
      <c r="B3629" s="11"/>
      <c r="C3629" s="11"/>
      <c r="Q3629" s="36"/>
    </row>
    <row r="3630">
      <c r="A3630" s="11"/>
      <c r="B3630" s="11"/>
      <c r="C3630" s="11"/>
      <c r="Q3630" s="36"/>
    </row>
    <row r="3631">
      <c r="A3631" s="11"/>
      <c r="B3631" s="11"/>
      <c r="C3631" s="11"/>
      <c r="Q3631" s="36"/>
    </row>
    <row r="3632">
      <c r="A3632" s="11"/>
      <c r="B3632" s="11"/>
      <c r="C3632" s="11"/>
      <c r="Q3632" s="36"/>
    </row>
    <row r="3633">
      <c r="A3633" s="11"/>
      <c r="B3633" s="11"/>
      <c r="C3633" s="11"/>
      <c r="Q3633" s="36"/>
    </row>
    <row r="3634">
      <c r="A3634" s="11"/>
      <c r="B3634" s="11"/>
      <c r="C3634" s="11"/>
      <c r="Q3634" s="36"/>
    </row>
    <row r="3635">
      <c r="A3635" s="11"/>
      <c r="B3635" s="11"/>
      <c r="C3635" s="11"/>
      <c r="Q3635" s="36"/>
    </row>
    <row r="3636">
      <c r="A3636" s="11"/>
      <c r="B3636" s="11"/>
      <c r="C3636" s="11"/>
      <c r="Q3636" s="36"/>
    </row>
    <row r="3637">
      <c r="A3637" s="11"/>
      <c r="B3637" s="11"/>
      <c r="C3637" s="11"/>
      <c r="Q3637" s="36"/>
    </row>
    <row r="3638">
      <c r="A3638" s="11"/>
      <c r="B3638" s="11"/>
      <c r="C3638" s="11"/>
      <c r="Q3638" s="36"/>
    </row>
    <row r="3639">
      <c r="A3639" s="11"/>
      <c r="B3639" s="11"/>
      <c r="C3639" s="11"/>
      <c r="Q3639" s="36"/>
    </row>
    <row r="3640">
      <c r="A3640" s="11"/>
      <c r="B3640" s="11"/>
      <c r="C3640" s="11"/>
      <c r="Q3640" s="36"/>
    </row>
    <row r="3641">
      <c r="A3641" s="11"/>
      <c r="B3641" s="11"/>
      <c r="C3641" s="11"/>
      <c r="Q3641" s="36"/>
    </row>
    <row r="3642">
      <c r="A3642" s="11"/>
      <c r="B3642" s="11"/>
      <c r="C3642" s="11"/>
      <c r="Q3642" s="36"/>
    </row>
    <row r="3643">
      <c r="A3643" s="11"/>
      <c r="B3643" s="11"/>
      <c r="C3643" s="11"/>
      <c r="Q3643" s="36"/>
    </row>
    <row r="3644">
      <c r="A3644" s="11"/>
      <c r="B3644" s="11"/>
      <c r="C3644" s="11"/>
      <c r="Q3644" s="36"/>
    </row>
    <row r="3645">
      <c r="A3645" s="11"/>
      <c r="B3645" s="11"/>
      <c r="C3645" s="11"/>
      <c r="Q3645" s="36"/>
    </row>
    <row r="3646">
      <c r="A3646" s="11"/>
      <c r="B3646" s="11"/>
      <c r="C3646" s="11"/>
      <c r="Q3646" s="36"/>
    </row>
    <row r="3647">
      <c r="A3647" s="11"/>
      <c r="B3647" s="11"/>
      <c r="C3647" s="11"/>
      <c r="Q3647" s="36"/>
    </row>
    <row r="3648">
      <c r="A3648" s="11"/>
      <c r="B3648" s="11"/>
      <c r="C3648" s="11"/>
      <c r="Q3648" s="36"/>
    </row>
    <row r="3649">
      <c r="A3649" s="11"/>
      <c r="B3649" s="11"/>
      <c r="C3649" s="11"/>
      <c r="Q3649" s="36"/>
    </row>
    <row r="3650">
      <c r="A3650" s="11"/>
      <c r="B3650" s="11"/>
      <c r="C3650" s="11"/>
      <c r="Q3650" s="36"/>
    </row>
    <row r="3651">
      <c r="A3651" s="11"/>
      <c r="B3651" s="11"/>
      <c r="C3651" s="11"/>
      <c r="Q3651" s="36"/>
    </row>
    <row r="3652">
      <c r="A3652" s="11"/>
      <c r="B3652" s="11"/>
      <c r="C3652" s="11"/>
      <c r="Q3652" s="36"/>
    </row>
    <row r="3653">
      <c r="A3653" s="11"/>
      <c r="B3653" s="11"/>
      <c r="C3653" s="11"/>
      <c r="Q3653" s="36"/>
    </row>
    <row r="3654">
      <c r="A3654" s="11"/>
      <c r="B3654" s="11"/>
      <c r="C3654" s="11"/>
      <c r="Q3654" s="36"/>
    </row>
    <row r="3655">
      <c r="A3655" s="11"/>
      <c r="B3655" s="11"/>
      <c r="C3655" s="11"/>
      <c r="Q3655" s="36"/>
    </row>
    <row r="3656">
      <c r="A3656" s="11"/>
      <c r="B3656" s="11"/>
      <c r="C3656" s="11"/>
      <c r="Q3656" s="36"/>
    </row>
    <row r="3657">
      <c r="A3657" s="11"/>
      <c r="B3657" s="11"/>
      <c r="C3657" s="11"/>
      <c r="Q3657" s="36"/>
    </row>
    <row r="3658">
      <c r="A3658" s="11"/>
      <c r="B3658" s="11"/>
      <c r="C3658" s="11"/>
      <c r="Q3658" s="36"/>
    </row>
    <row r="3659">
      <c r="A3659" s="11"/>
      <c r="B3659" s="11"/>
      <c r="C3659" s="11"/>
      <c r="Q3659" s="36"/>
    </row>
    <row r="3660">
      <c r="A3660" s="11"/>
      <c r="B3660" s="11"/>
      <c r="C3660" s="11"/>
      <c r="Q3660" s="36"/>
    </row>
    <row r="3661">
      <c r="A3661" s="11"/>
      <c r="B3661" s="11"/>
      <c r="C3661" s="11"/>
      <c r="Q3661" s="36"/>
    </row>
    <row r="3662">
      <c r="A3662" s="11"/>
      <c r="B3662" s="11"/>
      <c r="C3662" s="11"/>
      <c r="Q3662" s="36"/>
    </row>
    <row r="3663">
      <c r="A3663" s="11"/>
      <c r="B3663" s="11"/>
      <c r="C3663" s="11"/>
      <c r="Q3663" s="36"/>
    </row>
    <row r="3664">
      <c r="A3664" s="11"/>
      <c r="B3664" s="11"/>
      <c r="C3664" s="11"/>
      <c r="Q3664" s="36"/>
    </row>
    <row r="3665">
      <c r="A3665" s="11"/>
      <c r="B3665" s="11"/>
      <c r="C3665" s="11"/>
      <c r="Q3665" s="36"/>
    </row>
    <row r="3666">
      <c r="A3666" s="11"/>
      <c r="B3666" s="11"/>
      <c r="C3666" s="11"/>
      <c r="Q3666" s="36"/>
    </row>
    <row r="3667">
      <c r="A3667" s="11"/>
      <c r="B3667" s="11"/>
      <c r="C3667" s="11"/>
      <c r="Q3667" s="36"/>
    </row>
    <row r="3668">
      <c r="A3668" s="11"/>
      <c r="B3668" s="11"/>
      <c r="C3668" s="11"/>
      <c r="Q3668" s="36"/>
    </row>
    <row r="3669">
      <c r="A3669" s="11"/>
      <c r="B3669" s="11"/>
      <c r="C3669" s="11"/>
      <c r="Q3669" s="36"/>
    </row>
    <row r="3670">
      <c r="A3670" s="11"/>
      <c r="B3670" s="11"/>
      <c r="C3670" s="11"/>
      <c r="Q3670" s="36"/>
    </row>
    <row r="3671">
      <c r="A3671" s="11"/>
      <c r="B3671" s="11"/>
      <c r="C3671" s="11"/>
      <c r="Q3671" s="36"/>
    </row>
    <row r="3672">
      <c r="A3672" s="11"/>
      <c r="B3672" s="11"/>
      <c r="C3672" s="11"/>
      <c r="Q3672" s="36"/>
    </row>
    <row r="3673">
      <c r="A3673" s="11"/>
      <c r="B3673" s="11"/>
      <c r="C3673" s="11"/>
      <c r="Q3673" s="36"/>
    </row>
    <row r="3674">
      <c r="A3674" s="11"/>
      <c r="B3674" s="11"/>
      <c r="C3674" s="11"/>
      <c r="Q3674" s="36"/>
    </row>
    <row r="3675">
      <c r="A3675" s="11"/>
      <c r="B3675" s="11"/>
      <c r="C3675" s="11"/>
      <c r="Q3675" s="36"/>
    </row>
    <row r="3676">
      <c r="A3676" s="11"/>
      <c r="B3676" s="11"/>
      <c r="C3676" s="11"/>
      <c r="Q3676" s="36"/>
    </row>
    <row r="3677">
      <c r="A3677" s="11"/>
      <c r="B3677" s="11"/>
      <c r="C3677" s="11"/>
      <c r="Q3677" s="36"/>
    </row>
    <row r="3678">
      <c r="A3678" s="11"/>
      <c r="B3678" s="11"/>
      <c r="C3678" s="11"/>
      <c r="Q3678" s="36"/>
    </row>
    <row r="3679">
      <c r="A3679" s="11"/>
      <c r="B3679" s="11"/>
      <c r="C3679" s="11"/>
      <c r="Q3679" s="36"/>
    </row>
    <row r="3680">
      <c r="A3680" s="11"/>
      <c r="B3680" s="11"/>
      <c r="C3680" s="11"/>
      <c r="Q3680" s="36"/>
    </row>
    <row r="3681">
      <c r="A3681" s="11"/>
      <c r="B3681" s="11"/>
      <c r="C3681" s="11"/>
      <c r="Q3681" s="36"/>
    </row>
    <row r="3682">
      <c r="A3682" s="11"/>
      <c r="B3682" s="11"/>
      <c r="C3682" s="11"/>
      <c r="Q3682" s="36"/>
    </row>
    <row r="3683">
      <c r="A3683" s="11"/>
      <c r="B3683" s="11"/>
      <c r="C3683" s="11"/>
      <c r="Q3683" s="36"/>
    </row>
    <row r="3684">
      <c r="A3684" s="11"/>
      <c r="B3684" s="11"/>
      <c r="C3684" s="11"/>
      <c r="Q3684" s="36"/>
    </row>
    <row r="3685">
      <c r="A3685" s="11"/>
      <c r="B3685" s="11"/>
      <c r="C3685" s="11"/>
      <c r="Q3685" s="36"/>
    </row>
    <row r="3686">
      <c r="A3686" s="11"/>
      <c r="B3686" s="11"/>
      <c r="C3686" s="11"/>
      <c r="Q3686" s="36"/>
    </row>
    <row r="3687">
      <c r="A3687" s="11"/>
      <c r="B3687" s="11"/>
      <c r="C3687" s="11"/>
      <c r="Q3687" s="36"/>
    </row>
    <row r="3688">
      <c r="A3688" s="11"/>
      <c r="B3688" s="11"/>
      <c r="C3688" s="11"/>
      <c r="Q3688" s="36"/>
    </row>
    <row r="3689">
      <c r="A3689" s="11"/>
      <c r="B3689" s="11"/>
      <c r="C3689" s="11"/>
      <c r="Q3689" s="36"/>
    </row>
    <row r="3690">
      <c r="A3690" s="11"/>
      <c r="B3690" s="11"/>
      <c r="C3690" s="11"/>
      <c r="Q3690" s="36"/>
    </row>
    <row r="3691">
      <c r="A3691" s="11"/>
      <c r="B3691" s="11"/>
      <c r="C3691" s="11"/>
      <c r="Q3691" s="36"/>
    </row>
    <row r="3692">
      <c r="A3692" s="11"/>
      <c r="B3692" s="11"/>
      <c r="C3692" s="11"/>
      <c r="Q3692" s="36"/>
    </row>
    <row r="3693">
      <c r="A3693" s="11"/>
      <c r="B3693" s="11"/>
      <c r="C3693" s="11"/>
      <c r="Q3693" s="36"/>
    </row>
    <row r="3694">
      <c r="A3694" s="11"/>
      <c r="B3694" s="11"/>
      <c r="C3694" s="11"/>
      <c r="Q3694" s="36"/>
    </row>
    <row r="3695">
      <c r="A3695" s="11"/>
      <c r="B3695" s="11"/>
      <c r="C3695" s="11"/>
      <c r="Q3695" s="36"/>
    </row>
    <row r="3696">
      <c r="A3696" s="11"/>
      <c r="B3696" s="11"/>
      <c r="C3696" s="11"/>
      <c r="Q3696" s="36"/>
    </row>
    <row r="3697">
      <c r="A3697" s="11"/>
      <c r="B3697" s="11"/>
      <c r="C3697" s="11"/>
      <c r="Q3697" s="36"/>
    </row>
    <row r="3698">
      <c r="A3698" s="11"/>
      <c r="B3698" s="11"/>
      <c r="C3698" s="11"/>
      <c r="Q3698" s="36"/>
    </row>
    <row r="3699">
      <c r="A3699" s="11"/>
      <c r="B3699" s="11"/>
      <c r="C3699" s="11"/>
      <c r="Q3699" s="36"/>
    </row>
    <row r="3700">
      <c r="A3700" s="11"/>
      <c r="B3700" s="11"/>
      <c r="C3700" s="11"/>
      <c r="Q3700" s="36"/>
    </row>
    <row r="3701">
      <c r="A3701" s="11"/>
      <c r="B3701" s="11"/>
      <c r="C3701" s="11"/>
      <c r="Q3701" s="36"/>
    </row>
    <row r="3702">
      <c r="A3702" s="11"/>
      <c r="B3702" s="11"/>
      <c r="C3702" s="11"/>
      <c r="Q3702" s="36"/>
    </row>
    <row r="3703">
      <c r="A3703" s="11"/>
      <c r="B3703" s="11"/>
      <c r="C3703" s="11"/>
      <c r="Q3703" s="36"/>
    </row>
    <row r="3704">
      <c r="A3704" s="11"/>
      <c r="B3704" s="11"/>
      <c r="C3704" s="11"/>
      <c r="Q3704" s="36"/>
    </row>
    <row r="3705">
      <c r="A3705" s="11"/>
      <c r="B3705" s="11"/>
      <c r="C3705" s="11"/>
      <c r="Q3705" s="36"/>
    </row>
    <row r="3706">
      <c r="A3706" s="11"/>
      <c r="B3706" s="11"/>
      <c r="C3706" s="11"/>
      <c r="Q3706" s="36"/>
    </row>
    <row r="3707">
      <c r="A3707" s="11"/>
      <c r="B3707" s="11"/>
      <c r="C3707" s="11"/>
      <c r="Q3707" s="36"/>
    </row>
    <row r="3708">
      <c r="A3708" s="11"/>
      <c r="B3708" s="11"/>
      <c r="C3708" s="11"/>
      <c r="Q3708" s="36"/>
    </row>
    <row r="3709">
      <c r="A3709" s="11"/>
      <c r="B3709" s="11"/>
      <c r="C3709" s="11"/>
      <c r="Q3709" s="36"/>
    </row>
    <row r="3710">
      <c r="A3710" s="11"/>
      <c r="B3710" s="11"/>
      <c r="C3710" s="11"/>
      <c r="Q3710" s="36"/>
    </row>
    <row r="3711">
      <c r="A3711" s="11"/>
      <c r="B3711" s="11"/>
      <c r="C3711" s="11"/>
      <c r="Q3711" s="36"/>
    </row>
    <row r="3712">
      <c r="A3712" s="11"/>
      <c r="B3712" s="11"/>
      <c r="C3712" s="11"/>
      <c r="Q3712" s="36"/>
    </row>
    <row r="3713">
      <c r="A3713" s="11"/>
      <c r="B3713" s="11"/>
      <c r="C3713" s="11"/>
      <c r="Q3713" s="36"/>
    </row>
    <row r="3714">
      <c r="A3714" s="11"/>
      <c r="B3714" s="11"/>
      <c r="C3714" s="11"/>
      <c r="Q3714" s="36"/>
    </row>
    <row r="3715">
      <c r="A3715" s="11"/>
      <c r="B3715" s="11"/>
      <c r="C3715" s="11"/>
      <c r="Q3715" s="36"/>
    </row>
    <row r="3716">
      <c r="A3716" s="11"/>
      <c r="B3716" s="11"/>
      <c r="C3716" s="11"/>
      <c r="Q3716" s="36"/>
    </row>
    <row r="3717">
      <c r="A3717" s="11"/>
      <c r="B3717" s="11"/>
      <c r="C3717" s="11"/>
      <c r="Q3717" s="36"/>
    </row>
    <row r="3718">
      <c r="A3718" s="11"/>
      <c r="B3718" s="11"/>
      <c r="C3718" s="11"/>
      <c r="Q3718" s="36"/>
    </row>
    <row r="3719">
      <c r="A3719" s="11"/>
      <c r="B3719" s="11"/>
      <c r="C3719" s="11"/>
      <c r="Q3719" s="36"/>
    </row>
    <row r="3720">
      <c r="A3720" s="11"/>
      <c r="B3720" s="11"/>
      <c r="C3720" s="11"/>
      <c r="Q3720" s="36"/>
    </row>
    <row r="3721">
      <c r="A3721" s="11"/>
      <c r="B3721" s="11"/>
      <c r="C3721" s="11"/>
      <c r="Q3721" s="36"/>
    </row>
    <row r="3722">
      <c r="A3722" s="11"/>
      <c r="B3722" s="11"/>
      <c r="C3722" s="11"/>
      <c r="Q3722" s="36"/>
    </row>
    <row r="3723">
      <c r="A3723" s="11"/>
      <c r="B3723" s="11"/>
      <c r="C3723" s="11"/>
      <c r="Q3723" s="36"/>
    </row>
    <row r="3724">
      <c r="A3724" s="11"/>
      <c r="B3724" s="11"/>
      <c r="C3724" s="11"/>
      <c r="Q3724" s="36"/>
    </row>
    <row r="3725">
      <c r="A3725" s="11"/>
      <c r="B3725" s="11"/>
      <c r="C3725" s="11"/>
      <c r="Q3725" s="36"/>
    </row>
    <row r="3726">
      <c r="A3726" s="11"/>
      <c r="B3726" s="11"/>
      <c r="C3726" s="11"/>
      <c r="Q3726" s="36"/>
    </row>
    <row r="3727">
      <c r="A3727" s="11"/>
      <c r="B3727" s="11"/>
      <c r="C3727" s="11"/>
      <c r="Q3727" s="36"/>
    </row>
    <row r="3728">
      <c r="A3728" s="11"/>
      <c r="B3728" s="11"/>
      <c r="C3728" s="11"/>
      <c r="Q3728" s="36"/>
    </row>
    <row r="3729">
      <c r="A3729" s="11"/>
      <c r="B3729" s="11"/>
      <c r="C3729" s="11"/>
      <c r="Q3729" s="36"/>
    </row>
    <row r="3730">
      <c r="A3730" s="11"/>
      <c r="B3730" s="11"/>
      <c r="C3730" s="11"/>
      <c r="Q3730" s="36"/>
    </row>
    <row r="3731">
      <c r="A3731" s="11"/>
      <c r="B3731" s="11"/>
      <c r="C3731" s="11"/>
      <c r="Q3731" s="36"/>
    </row>
    <row r="3732">
      <c r="A3732" s="11"/>
      <c r="B3732" s="11"/>
      <c r="C3732" s="11"/>
      <c r="Q3732" s="36"/>
    </row>
    <row r="3733">
      <c r="A3733" s="11"/>
      <c r="B3733" s="11"/>
      <c r="C3733" s="11"/>
      <c r="Q3733" s="36"/>
    </row>
    <row r="3734">
      <c r="A3734" s="11"/>
      <c r="B3734" s="11"/>
      <c r="C3734" s="11"/>
      <c r="Q3734" s="36"/>
    </row>
    <row r="3735">
      <c r="A3735" s="11"/>
      <c r="B3735" s="11"/>
      <c r="C3735" s="11"/>
      <c r="Q3735" s="36"/>
    </row>
    <row r="3736">
      <c r="A3736" s="11"/>
      <c r="B3736" s="11"/>
      <c r="C3736" s="11"/>
      <c r="Q3736" s="36"/>
    </row>
    <row r="3737">
      <c r="A3737" s="11"/>
      <c r="B3737" s="11"/>
      <c r="C3737" s="11"/>
      <c r="Q3737" s="36"/>
    </row>
    <row r="3738">
      <c r="A3738" s="11"/>
      <c r="B3738" s="11"/>
      <c r="C3738" s="11"/>
      <c r="Q3738" s="36"/>
    </row>
    <row r="3739">
      <c r="A3739" s="11"/>
      <c r="B3739" s="11"/>
      <c r="C3739" s="11"/>
      <c r="Q3739" s="36"/>
    </row>
    <row r="3740">
      <c r="A3740" s="11"/>
      <c r="B3740" s="11"/>
      <c r="C3740" s="11"/>
      <c r="Q3740" s="36"/>
    </row>
    <row r="3741">
      <c r="A3741" s="11"/>
      <c r="B3741" s="11"/>
      <c r="C3741" s="11"/>
      <c r="Q3741" s="36"/>
    </row>
    <row r="3742">
      <c r="A3742" s="11"/>
      <c r="B3742" s="11"/>
      <c r="C3742" s="11"/>
      <c r="Q3742" s="36"/>
    </row>
    <row r="3743">
      <c r="A3743" s="11"/>
      <c r="B3743" s="11"/>
      <c r="C3743" s="11"/>
      <c r="Q3743" s="36"/>
    </row>
    <row r="3744">
      <c r="A3744" s="11"/>
      <c r="B3744" s="11"/>
      <c r="C3744" s="11"/>
      <c r="Q3744" s="36"/>
    </row>
    <row r="3745">
      <c r="A3745" s="11"/>
      <c r="B3745" s="11"/>
      <c r="C3745" s="11"/>
      <c r="Q3745" s="36"/>
    </row>
    <row r="3746">
      <c r="A3746" s="11"/>
      <c r="B3746" s="11"/>
      <c r="C3746" s="11"/>
      <c r="Q3746" s="36"/>
    </row>
    <row r="3747">
      <c r="A3747" s="11"/>
      <c r="B3747" s="11"/>
      <c r="C3747" s="11"/>
      <c r="Q3747" s="36"/>
    </row>
    <row r="3748">
      <c r="A3748" s="11"/>
      <c r="B3748" s="11"/>
      <c r="C3748" s="11"/>
      <c r="Q3748" s="36"/>
    </row>
    <row r="3749">
      <c r="A3749" s="11"/>
      <c r="B3749" s="11"/>
      <c r="C3749" s="11"/>
      <c r="Q3749" s="36"/>
    </row>
    <row r="3750">
      <c r="A3750" s="11"/>
      <c r="B3750" s="11"/>
      <c r="C3750" s="11"/>
      <c r="Q3750" s="36"/>
    </row>
    <row r="3751">
      <c r="A3751" s="11"/>
      <c r="B3751" s="11"/>
      <c r="C3751" s="11"/>
      <c r="Q3751" s="36"/>
    </row>
    <row r="3752">
      <c r="A3752" s="11"/>
      <c r="B3752" s="11"/>
      <c r="C3752" s="11"/>
      <c r="Q3752" s="36"/>
    </row>
    <row r="3753">
      <c r="A3753" s="11"/>
      <c r="B3753" s="11"/>
      <c r="C3753" s="11"/>
      <c r="Q3753" s="36"/>
    </row>
    <row r="3754">
      <c r="A3754" s="11"/>
      <c r="B3754" s="11"/>
      <c r="C3754" s="11"/>
      <c r="Q3754" s="36"/>
    </row>
    <row r="3755">
      <c r="A3755" s="11"/>
      <c r="B3755" s="11"/>
      <c r="C3755" s="11"/>
      <c r="Q3755" s="36"/>
    </row>
    <row r="3756">
      <c r="A3756" s="11"/>
      <c r="B3756" s="11"/>
      <c r="C3756" s="11"/>
      <c r="Q3756" s="36"/>
    </row>
    <row r="3757">
      <c r="A3757" s="11"/>
      <c r="B3757" s="11"/>
      <c r="C3757" s="11"/>
      <c r="Q3757" s="36"/>
    </row>
    <row r="3758">
      <c r="A3758" s="11"/>
      <c r="B3758" s="11"/>
      <c r="C3758" s="11"/>
      <c r="Q3758" s="36"/>
    </row>
    <row r="3759">
      <c r="A3759" s="11"/>
      <c r="B3759" s="11"/>
      <c r="C3759" s="11"/>
      <c r="Q3759" s="36"/>
    </row>
    <row r="3760">
      <c r="A3760" s="11"/>
      <c r="B3760" s="11"/>
      <c r="C3760" s="11"/>
      <c r="Q3760" s="36"/>
    </row>
    <row r="3761">
      <c r="A3761" s="11"/>
      <c r="B3761" s="11"/>
      <c r="C3761" s="11"/>
      <c r="Q3761" s="36"/>
    </row>
    <row r="3762">
      <c r="A3762" s="11"/>
      <c r="B3762" s="11"/>
      <c r="C3762" s="11"/>
      <c r="Q3762" s="36"/>
    </row>
    <row r="3763">
      <c r="A3763" s="11"/>
      <c r="B3763" s="11"/>
      <c r="C3763" s="11"/>
      <c r="Q3763" s="36"/>
    </row>
    <row r="3764">
      <c r="A3764" s="11"/>
      <c r="B3764" s="11"/>
      <c r="C3764" s="11"/>
      <c r="Q3764" s="36"/>
    </row>
    <row r="3765">
      <c r="A3765" s="11"/>
      <c r="B3765" s="11"/>
      <c r="C3765" s="11"/>
      <c r="Q3765" s="36"/>
    </row>
    <row r="3766">
      <c r="A3766" s="11"/>
      <c r="B3766" s="11"/>
      <c r="C3766" s="11"/>
      <c r="Q3766" s="36"/>
    </row>
    <row r="3767">
      <c r="A3767" s="11"/>
      <c r="B3767" s="11"/>
      <c r="C3767" s="11"/>
      <c r="Q3767" s="36"/>
    </row>
    <row r="3768">
      <c r="A3768" s="11"/>
      <c r="B3768" s="11"/>
      <c r="C3768" s="11"/>
      <c r="Q3768" s="36"/>
    </row>
    <row r="3769">
      <c r="A3769" s="11"/>
      <c r="B3769" s="11"/>
      <c r="C3769" s="11"/>
      <c r="Q3769" s="36"/>
    </row>
    <row r="3770">
      <c r="A3770" s="11"/>
      <c r="B3770" s="11"/>
      <c r="C3770" s="11"/>
      <c r="Q3770" s="36"/>
    </row>
    <row r="3771">
      <c r="A3771" s="11"/>
      <c r="B3771" s="11"/>
      <c r="C3771" s="11"/>
      <c r="Q3771" s="36"/>
    </row>
    <row r="3772">
      <c r="A3772" s="11"/>
      <c r="B3772" s="11"/>
      <c r="C3772" s="11"/>
      <c r="Q3772" s="36"/>
    </row>
    <row r="3773">
      <c r="A3773" s="11"/>
      <c r="B3773" s="11"/>
      <c r="C3773" s="11"/>
      <c r="Q3773" s="36"/>
    </row>
    <row r="3774">
      <c r="A3774" s="11"/>
      <c r="B3774" s="11"/>
      <c r="C3774" s="11"/>
      <c r="Q3774" s="36"/>
    </row>
    <row r="3775">
      <c r="A3775" s="11"/>
      <c r="B3775" s="11"/>
      <c r="C3775" s="11"/>
      <c r="Q3775" s="36"/>
    </row>
    <row r="3776">
      <c r="A3776" s="11"/>
      <c r="B3776" s="11"/>
      <c r="C3776" s="11"/>
      <c r="Q3776" s="36"/>
    </row>
    <row r="3777">
      <c r="A3777" s="11"/>
      <c r="B3777" s="11"/>
      <c r="C3777" s="11"/>
      <c r="Q3777" s="36"/>
    </row>
    <row r="3778">
      <c r="A3778" s="11"/>
      <c r="B3778" s="11"/>
      <c r="C3778" s="11"/>
      <c r="Q3778" s="36"/>
    </row>
    <row r="3779">
      <c r="A3779" s="11"/>
      <c r="B3779" s="11"/>
      <c r="C3779" s="11"/>
      <c r="Q3779" s="36"/>
    </row>
    <row r="3780">
      <c r="A3780" s="11"/>
      <c r="B3780" s="11"/>
      <c r="C3780" s="11"/>
      <c r="Q3780" s="36"/>
    </row>
    <row r="3781">
      <c r="A3781" s="11"/>
      <c r="B3781" s="11"/>
      <c r="C3781" s="11"/>
      <c r="Q3781" s="36"/>
    </row>
    <row r="3782">
      <c r="A3782" s="11"/>
      <c r="B3782" s="11"/>
      <c r="C3782" s="11"/>
      <c r="Q3782" s="36"/>
    </row>
    <row r="3783">
      <c r="A3783" s="11"/>
      <c r="B3783" s="11"/>
      <c r="C3783" s="11"/>
      <c r="Q3783" s="36"/>
    </row>
    <row r="3784">
      <c r="A3784" s="11"/>
      <c r="B3784" s="11"/>
      <c r="C3784" s="11"/>
      <c r="Q3784" s="36"/>
    </row>
    <row r="3785">
      <c r="A3785" s="11"/>
      <c r="B3785" s="11"/>
      <c r="C3785" s="11"/>
      <c r="Q3785" s="36"/>
    </row>
    <row r="3786">
      <c r="A3786" s="11"/>
      <c r="B3786" s="11"/>
      <c r="C3786" s="11"/>
      <c r="Q3786" s="36"/>
    </row>
    <row r="3787">
      <c r="A3787" s="11"/>
      <c r="B3787" s="11"/>
      <c r="C3787" s="11"/>
      <c r="Q3787" s="36"/>
    </row>
    <row r="3788">
      <c r="A3788" s="11"/>
      <c r="B3788" s="11"/>
      <c r="C3788" s="11"/>
      <c r="Q3788" s="36"/>
    </row>
    <row r="3789">
      <c r="A3789" s="11"/>
      <c r="B3789" s="11"/>
      <c r="C3789" s="11"/>
      <c r="Q3789" s="36"/>
    </row>
    <row r="3790">
      <c r="A3790" s="11"/>
      <c r="B3790" s="11"/>
      <c r="C3790" s="11"/>
      <c r="Q3790" s="36"/>
    </row>
    <row r="3791">
      <c r="A3791" s="11"/>
      <c r="B3791" s="11"/>
      <c r="C3791" s="11"/>
      <c r="Q3791" s="36"/>
    </row>
    <row r="3792">
      <c r="A3792" s="11"/>
      <c r="B3792" s="11"/>
      <c r="C3792" s="11"/>
      <c r="Q3792" s="36"/>
    </row>
    <row r="3793">
      <c r="A3793" s="11"/>
      <c r="B3793" s="11"/>
      <c r="C3793" s="11"/>
      <c r="Q3793" s="36"/>
    </row>
    <row r="3794">
      <c r="A3794" s="11"/>
      <c r="B3794" s="11"/>
      <c r="C3794" s="11"/>
      <c r="Q3794" s="36"/>
    </row>
    <row r="3795">
      <c r="A3795" s="11"/>
      <c r="B3795" s="11"/>
      <c r="C3795" s="11"/>
      <c r="Q3795" s="36"/>
    </row>
    <row r="3796">
      <c r="A3796" s="11"/>
      <c r="B3796" s="11"/>
      <c r="C3796" s="11"/>
      <c r="Q3796" s="36"/>
    </row>
    <row r="3797">
      <c r="A3797" s="11"/>
      <c r="B3797" s="11"/>
      <c r="C3797" s="11"/>
      <c r="Q3797" s="36"/>
    </row>
    <row r="3798">
      <c r="A3798" s="11"/>
      <c r="B3798" s="11"/>
      <c r="C3798" s="11"/>
      <c r="Q3798" s="36"/>
    </row>
    <row r="3799">
      <c r="A3799" s="11"/>
      <c r="B3799" s="11"/>
      <c r="C3799" s="11"/>
      <c r="Q3799" s="36"/>
    </row>
    <row r="3800">
      <c r="A3800" s="11"/>
      <c r="B3800" s="11"/>
      <c r="C3800" s="11"/>
      <c r="Q3800" s="36"/>
    </row>
    <row r="3801">
      <c r="A3801" s="11"/>
      <c r="B3801" s="11"/>
      <c r="C3801" s="11"/>
      <c r="Q3801" s="36"/>
    </row>
    <row r="3802">
      <c r="A3802" s="11"/>
      <c r="B3802" s="11"/>
      <c r="C3802" s="11"/>
      <c r="Q3802" s="36"/>
    </row>
    <row r="3803">
      <c r="A3803" s="11"/>
      <c r="B3803" s="11"/>
      <c r="C3803" s="11"/>
      <c r="Q3803" s="36"/>
    </row>
    <row r="3804">
      <c r="A3804" s="11"/>
      <c r="B3804" s="11"/>
      <c r="C3804" s="11"/>
      <c r="Q3804" s="36"/>
    </row>
    <row r="3805">
      <c r="A3805" s="11"/>
      <c r="B3805" s="11"/>
      <c r="C3805" s="11"/>
      <c r="Q3805" s="36"/>
    </row>
    <row r="3806">
      <c r="A3806" s="11"/>
      <c r="B3806" s="11"/>
      <c r="C3806" s="11"/>
      <c r="Q3806" s="36"/>
    </row>
    <row r="3807">
      <c r="A3807" s="11"/>
      <c r="B3807" s="11"/>
      <c r="C3807" s="11"/>
      <c r="Q3807" s="36"/>
    </row>
    <row r="3808">
      <c r="A3808" s="11"/>
      <c r="B3808" s="11"/>
      <c r="C3808" s="11"/>
      <c r="Q3808" s="36"/>
    </row>
    <row r="3809">
      <c r="A3809" s="11"/>
      <c r="B3809" s="11"/>
      <c r="C3809" s="11"/>
      <c r="Q3809" s="36"/>
    </row>
    <row r="3810">
      <c r="A3810" s="11"/>
      <c r="B3810" s="11"/>
      <c r="C3810" s="11"/>
      <c r="Q3810" s="36"/>
    </row>
    <row r="3811">
      <c r="A3811" s="11"/>
      <c r="B3811" s="11"/>
      <c r="C3811" s="11"/>
      <c r="Q3811" s="36"/>
    </row>
    <row r="3812">
      <c r="A3812" s="11"/>
      <c r="B3812" s="11"/>
      <c r="C3812" s="11"/>
      <c r="Q3812" s="36"/>
    </row>
    <row r="3813">
      <c r="A3813" s="11"/>
      <c r="B3813" s="11"/>
      <c r="C3813" s="11"/>
      <c r="Q3813" s="36"/>
    </row>
    <row r="3814">
      <c r="A3814" s="11"/>
      <c r="B3814" s="11"/>
      <c r="C3814" s="11"/>
      <c r="Q3814" s="36"/>
    </row>
    <row r="3815">
      <c r="A3815" s="11"/>
      <c r="B3815" s="11"/>
      <c r="C3815" s="11"/>
      <c r="Q3815" s="36"/>
    </row>
    <row r="3816">
      <c r="A3816" s="11"/>
      <c r="B3816" s="11"/>
      <c r="C3816" s="11"/>
      <c r="Q3816" s="36"/>
    </row>
    <row r="3817">
      <c r="A3817" s="11"/>
      <c r="B3817" s="11"/>
      <c r="C3817" s="11"/>
      <c r="Q3817" s="36"/>
    </row>
    <row r="3818">
      <c r="A3818" s="11"/>
      <c r="B3818" s="11"/>
      <c r="C3818" s="11"/>
      <c r="Q3818" s="36"/>
    </row>
    <row r="3819">
      <c r="A3819" s="11"/>
      <c r="B3819" s="11"/>
      <c r="C3819" s="11"/>
      <c r="Q3819" s="36"/>
    </row>
    <row r="3820">
      <c r="A3820" s="11"/>
      <c r="B3820" s="11"/>
      <c r="C3820" s="11"/>
      <c r="Q3820" s="36"/>
    </row>
    <row r="3821">
      <c r="A3821" s="11"/>
      <c r="B3821" s="11"/>
      <c r="C3821" s="11"/>
      <c r="Q3821" s="36"/>
    </row>
    <row r="3822">
      <c r="A3822" s="11"/>
      <c r="B3822" s="11"/>
      <c r="C3822" s="11"/>
      <c r="Q3822" s="36"/>
    </row>
    <row r="3823">
      <c r="A3823" s="11"/>
      <c r="B3823" s="11"/>
      <c r="C3823" s="11"/>
      <c r="Q3823" s="36"/>
    </row>
    <row r="3824">
      <c r="A3824" s="11"/>
      <c r="B3824" s="11"/>
      <c r="C3824" s="11"/>
      <c r="Q3824" s="36"/>
    </row>
    <row r="3825">
      <c r="A3825" s="11"/>
      <c r="B3825" s="11"/>
      <c r="C3825" s="11"/>
      <c r="Q3825" s="36"/>
    </row>
    <row r="3826">
      <c r="A3826" s="11"/>
      <c r="B3826" s="11"/>
      <c r="C3826" s="11"/>
      <c r="Q3826" s="36"/>
    </row>
    <row r="3827">
      <c r="A3827" s="11"/>
      <c r="B3827" s="11"/>
      <c r="C3827" s="11"/>
      <c r="Q3827" s="36"/>
    </row>
    <row r="3828">
      <c r="A3828" s="11"/>
      <c r="B3828" s="11"/>
      <c r="C3828" s="11"/>
      <c r="Q3828" s="36"/>
    </row>
    <row r="3829">
      <c r="A3829" s="11"/>
      <c r="B3829" s="11"/>
      <c r="C3829" s="11"/>
      <c r="Q3829" s="36"/>
    </row>
    <row r="3830">
      <c r="A3830" s="11"/>
      <c r="B3830" s="11"/>
      <c r="C3830" s="11"/>
      <c r="Q3830" s="36"/>
    </row>
    <row r="3831">
      <c r="A3831" s="11"/>
      <c r="B3831" s="11"/>
      <c r="C3831" s="11"/>
      <c r="Q3831" s="36"/>
    </row>
    <row r="3832">
      <c r="A3832" s="11"/>
      <c r="B3832" s="11"/>
      <c r="C3832" s="11"/>
      <c r="Q3832" s="36"/>
    </row>
    <row r="3833">
      <c r="A3833" s="11"/>
      <c r="B3833" s="11"/>
      <c r="C3833" s="11"/>
      <c r="Q3833" s="36"/>
    </row>
    <row r="3834">
      <c r="A3834" s="11"/>
      <c r="B3834" s="11"/>
      <c r="C3834" s="11"/>
      <c r="Q3834" s="36"/>
    </row>
    <row r="3835">
      <c r="A3835" s="11"/>
      <c r="B3835" s="11"/>
      <c r="C3835" s="11"/>
      <c r="Q3835" s="36"/>
    </row>
    <row r="3836">
      <c r="A3836" s="11"/>
      <c r="B3836" s="11"/>
      <c r="C3836" s="11"/>
      <c r="Q3836" s="36"/>
    </row>
    <row r="3837">
      <c r="A3837" s="11"/>
      <c r="B3837" s="11"/>
      <c r="C3837" s="11"/>
      <c r="Q3837" s="36"/>
    </row>
    <row r="3838">
      <c r="A3838" s="11"/>
      <c r="B3838" s="11"/>
      <c r="C3838" s="11"/>
      <c r="Q3838" s="36"/>
    </row>
    <row r="3839">
      <c r="A3839" s="11"/>
      <c r="B3839" s="11"/>
      <c r="C3839" s="11"/>
      <c r="Q3839" s="36"/>
    </row>
    <row r="3840">
      <c r="A3840" s="11"/>
      <c r="B3840" s="11"/>
      <c r="C3840" s="11"/>
      <c r="Q3840" s="36"/>
    </row>
    <row r="3841">
      <c r="A3841" s="11"/>
      <c r="B3841" s="11"/>
      <c r="C3841" s="11"/>
      <c r="Q3841" s="36"/>
    </row>
    <row r="3842">
      <c r="A3842" s="11"/>
      <c r="B3842" s="11"/>
      <c r="C3842" s="11"/>
      <c r="Q3842" s="36"/>
    </row>
    <row r="3843">
      <c r="A3843" s="11"/>
      <c r="B3843" s="11"/>
      <c r="C3843" s="11"/>
      <c r="Q3843" s="36"/>
    </row>
    <row r="3844">
      <c r="A3844" s="11"/>
      <c r="B3844" s="11"/>
      <c r="C3844" s="11"/>
      <c r="Q3844" s="36"/>
    </row>
    <row r="3845">
      <c r="A3845" s="11"/>
      <c r="B3845" s="11"/>
      <c r="C3845" s="11"/>
      <c r="Q3845" s="36"/>
    </row>
    <row r="3846">
      <c r="A3846" s="11"/>
      <c r="B3846" s="11"/>
      <c r="C3846" s="11"/>
      <c r="Q3846" s="36"/>
    </row>
    <row r="3847">
      <c r="A3847" s="11"/>
      <c r="B3847" s="11"/>
      <c r="C3847" s="11"/>
      <c r="Q3847" s="36"/>
    </row>
    <row r="3848">
      <c r="A3848" s="11"/>
      <c r="B3848" s="11"/>
      <c r="C3848" s="11"/>
      <c r="Q3848" s="36"/>
    </row>
    <row r="3849">
      <c r="A3849" s="11"/>
      <c r="B3849" s="11"/>
      <c r="C3849" s="11"/>
      <c r="Q3849" s="36"/>
    </row>
    <row r="3850">
      <c r="A3850" s="11"/>
      <c r="B3850" s="11"/>
      <c r="C3850" s="11"/>
      <c r="Q3850" s="36"/>
    </row>
    <row r="3851">
      <c r="A3851" s="11"/>
      <c r="B3851" s="11"/>
      <c r="C3851" s="11"/>
      <c r="Q3851" s="36"/>
    </row>
    <row r="3852">
      <c r="A3852" s="11"/>
      <c r="B3852" s="11"/>
      <c r="C3852" s="11"/>
      <c r="Q3852" s="36"/>
    </row>
    <row r="3853">
      <c r="A3853" s="11"/>
      <c r="B3853" s="11"/>
      <c r="C3853" s="11"/>
      <c r="Q3853" s="36"/>
    </row>
    <row r="3854">
      <c r="A3854" s="11"/>
      <c r="B3854" s="11"/>
      <c r="C3854" s="11"/>
      <c r="Q3854" s="36"/>
    </row>
    <row r="3855">
      <c r="A3855" s="11"/>
      <c r="B3855" s="11"/>
      <c r="C3855" s="11"/>
      <c r="Q3855" s="36"/>
    </row>
    <row r="3856">
      <c r="A3856" s="11"/>
      <c r="B3856" s="11"/>
      <c r="C3856" s="11"/>
      <c r="Q3856" s="36"/>
    </row>
    <row r="3857">
      <c r="A3857" s="11"/>
      <c r="B3857" s="11"/>
      <c r="C3857" s="11"/>
      <c r="Q3857" s="36"/>
    </row>
    <row r="3858">
      <c r="A3858" s="11"/>
      <c r="B3858" s="11"/>
      <c r="C3858" s="11"/>
      <c r="Q3858" s="36"/>
    </row>
    <row r="3859">
      <c r="A3859" s="11"/>
      <c r="B3859" s="11"/>
      <c r="C3859" s="11"/>
      <c r="Q3859" s="36"/>
    </row>
    <row r="3860">
      <c r="A3860" s="11"/>
      <c r="B3860" s="11"/>
      <c r="C3860" s="11"/>
      <c r="Q3860" s="36"/>
    </row>
    <row r="3861">
      <c r="A3861" s="11"/>
      <c r="B3861" s="11"/>
      <c r="C3861" s="11"/>
      <c r="Q3861" s="36"/>
    </row>
    <row r="3862">
      <c r="A3862" s="11"/>
      <c r="B3862" s="11"/>
      <c r="C3862" s="11"/>
      <c r="Q3862" s="36"/>
    </row>
    <row r="3863">
      <c r="A3863" s="11"/>
      <c r="B3863" s="11"/>
      <c r="C3863" s="11"/>
      <c r="Q3863" s="36"/>
    </row>
    <row r="3864">
      <c r="A3864" s="11"/>
      <c r="B3864" s="11"/>
      <c r="C3864" s="11"/>
      <c r="Q3864" s="36"/>
    </row>
    <row r="3865">
      <c r="A3865" s="11"/>
      <c r="B3865" s="11"/>
      <c r="C3865" s="11"/>
      <c r="Q3865" s="36"/>
    </row>
    <row r="3866">
      <c r="A3866" s="11"/>
      <c r="B3866" s="11"/>
      <c r="C3866" s="11"/>
      <c r="Q3866" s="36"/>
    </row>
    <row r="3867">
      <c r="A3867" s="11"/>
      <c r="B3867" s="11"/>
      <c r="C3867" s="11"/>
      <c r="Q3867" s="36"/>
    </row>
    <row r="3868">
      <c r="A3868" s="11"/>
      <c r="B3868" s="11"/>
      <c r="C3868" s="11"/>
      <c r="Q3868" s="36"/>
    </row>
    <row r="3869">
      <c r="A3869" s="11"/>
      <c r="B3869" s="11"/>
      <c r="C3869" s="11"/>
      <c r="Q3869" s="36"/>
    </row>
    <row r="3870">
      <c r="A3870" s="11"/>
      <c r="B3870" s="11"/>
      <c r="C3870" s="11"/>
      <c r="Q3870" s="36"/>
    </row>
    <row r="3871">
      <c r="A3871" s="11"/>
      <c r="B3871" s="11"/>
      <c r="C3871" s="11"/>
      <c r="Q3871" s="36"/>
    </row>
    <row r="3872">
      <c r="A3872" s="11"/>
      <c r="B3872" s="11"/>
      <c r="C3872" s="11"/>
      <c r="Q3872" s="36"/>
    </row>
    <row r="3873">
      <c r="A3873" s="11"/>
      <c r="B3873" s="11"/>
      <c r="C3873" s="11"/>
      <c r="Q3873" s="36"/>
    </row>
    <row r="3874">
      <c r="A3874" s="11"/>
      <c r="B3874" s="11"/>
      <c r="C3874" s="11"/>
      <c r="Q3874" s="36"/>
    </row>
    <row r="3875">
      <c r="A3875" s="11"/>
      <c r="B3875" s="11"/>
      <c r="C3875" s="11"/>
      <c r="Q3875" s="36"/>
    </row>
    <row r="3876">
      <c r="A3876" s="11"/>
      <c r="B3876" s="11"/>
      <c r="C3876" s="11"/>
      <c r="Q3876" s="36"/>
    </row>
    <row r="3877">
      <c r="A3877" s="11"/>
      <c r="B3877" s="11"/>
      <c r="C3877" s="11"/>
      <c r="Q3877" s="36"/>
    </row>
    <row r="3878">
      <c r="A3878" s="11"/>
      <c r="B3878" s="11"/>
      <c r="C3878" s="11"/>
      <c r="Q3878" s="36"/>
    </row>
    <row r="3879">
      <c r="A3879" s="11"/>
      <c r="B3879" s="11"/>
      <c r="C3879" s="11"/>
      <c r="Q3879" s="36"/>
    </row>
    <row r="3880">
      <c r="A3880" s="11"/>
      <c r="B3880" s="11"/>
      <c r="C3880" s="11"/>
      <c r="Q3880" s="36"/>
    </row>
    <row r="3881">
      <c r="A3881" s="11"/>
      <c r="B3881" s="11"/>
      <c r="C3881" s="11"/>
      <c r="Q3881" s="36"/>
    </row>
    <row r="3882">
      <c r="A3882" s="11"/>
      <c r="B3882" s="11"/>
      <c r="C3882" s="11"/>
      <c r="Q3882" s="36"/>
    </row>
  </sheetData>
  <mergeCells count="12">
    <mergeCell ref="M1:M2"/>
    <mergeCell ref="N1:N2"/>
    <mergeCell ref="O1:O2"/>
    <mergeCell ref="P1:P2"/>
    <mergeCell ref="Q1:Q2"/>
    <mergeCell ref="A1:A2"/>
    <mergeCell ref="C1:C2"/>
    <mergeCell ref="D1:D2"/>
    <mergeCell ref="E1:E2"/>
    <mergeCell ref="F1:F2"/>
    <mergeCell ref="G1:G2"/>
    <mergeCell ref="H1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0"/>
    <col customWidth="1" min="2" max="2" width="76.57"/>
    <col customWidth="1" min="8" max="8" width="48.71"/>
    <col customWidth="1" min="9" max="9" width="34.86"/>
    <col customWidth="1" min="17" max="17" width="28.14"/>
    <col customWidth="1" min="21" max="21" width="15.43"/>
  </cols>
  <sheetData>
    <row r="1">
      <c r="A1" s="74" t="s">
        <v>76</v>
      </c>
      <c r="B1" s="75" t="s">
        <v>77</v>
      </c>
      <c r="C1" s="76" t="s">
        <v>78</v>
      </c>
      <c r="D1" s="76" t="s">
        <v>79</v>
      </c>
      <c r="E1" s="76" t="s">
        <v>80</v>
      </c>
      <c r="F1" s="76" t="s">
        <v>81</v>
      </c>
      <c r="G1" s="76" t="s">
        <v>82</v>
      </c>
      <c r="H1" s="75" t="s">
        <v>83</v>
      </c>
      <c r="J1" s="77" t="s">
        <v>70</v>
      </c>
      <c r="K1" s="78" t="s">
        <v>84</v>
      </c>
      <c r="L1" s="76" t="s">
        <v>81</v>
      </c>
      <c r="M1" s="76" t="s">
        <v>82</v>
      </c>
      <c r="N1" s="79" t="s">
        <v>85</v>
      </c>
      <c r="O1" s="79" t="s">
        <v>86</v>
      </c>
      <c r="P1" s="80" t="s">
        <v>84</v>
      </c>
      <c r="Q1" s="81" t="s">
        <v>81</v>
      </c>
      <c r="R1" s="81" t="s">
        <v>82</v>
      </c>
      <c r="T1" s="37" t="s">
        <v>87</v>
      </c>
      <c r="U1" s="37" t="s">
        <v>63</v>
      </c>
      <c r="V1" s="37" t="s">
        <v>88</v>
      </c>
    </row>
    <row r="2">
      <c r="A2" s="82"/>
      <c r="B2" s="83" t="s">
        <v>89</v>
      </c>
      <c r="C2" s="84" t="s">
        <v>90</v>
      </c>
      <c r="D2" s="85">
        <f>SUM(D4:D48702)</f>
        <v>3064</v>
      </c>
      <c r="E2" s="86">
        <f>IFERROR(F2/D2,0)</f>
        <v>98.61567232</v>
      </c>
      <c r="F2" s="84">
        <f t="shared" ref="F2:G2" si="1">SUM(F4:F48702)</f>
        <v>302158.42</v>
      </c>
      <c r="G2" s="84">
        <f t="shared" si="1"/>
        <v>82150.7572</v>
      </c>
      <c r="H2" s="87"/>
      <c r="J2" s="88">
        <f>COUNTIF(J4:J12263,"BOX")</f>
        <v>192</v>
      </c>
      <c r="K2" s="89">
        <f t="shared" ref="K2:M2" si="2">SUM(K4:K7263)</f>
        <v>1701</v>
      </c>
      <c r="L2" s="90">
        <f t="shared" si="2"/>
        <v>162618.34</v>
      </c>
      <c r="M2" s="90">
        <f t="shared" si="2"/>
        <v>43489.81833</v>
      </c>
      <c r="N2" s="88">
        <f>COUNTIF($J$4:$J$12263,"SHIP")</f>
        <v>81</v>
      </c>
      <c r="O2" s="88">
        <f>COUNTIF($J$4:$J$12263,"NSHIP")</f>
        <v>111</v>
      </c>
      <c r="P2" s="91">
        <f>D2-K2</f>
        <v>1363</v>
      </c>
      <c r="Q2" s="90">
        <f t="shared" ref="Q2:R2" si="3">F2-L2</f>
        <v>139540.08</v>
      </c>
      <c r="R2" s="90">
        <f t="shared" si="3"/>
        <v>38660.93886</v>
      </c>
    </row>
    <row r="3">
      <c r="A3" s="75" t="s">
        <v>91</v>
      </c>
      <c r="B3" s="75" t="s">
        <v>92</v>
      </c>
      <c r="C3" s="76" t="s">
        <v>78</v>
      </c>
      <c r="D3" s="92" t="s">
        <v>84</v>
      </c>
      <c r="E3" s="93" t="s">
        <v>93</v>
      </c>
      <c r="F3" s="76" t="s">
        <v>81</v>
      </c>
      <c r="G3" s="76" t="s">
        <v>82</v>
      </c>
      <c r="H3" s="75" t="s">
        <v>94</v>
      </c>
      <c r="J3" s="77" t="s">
        <v>95</v>
      </c>
      <c r="K3" s="78" t="s">
        <v>84</v>
      </c>
      <c r="L3" s="76" t="s">
        <v>81</v>
      </c>
      <c r="M3" s="76" t="s">
        <v>82</v>
      </c>
      <c r="N3" s="37" t="s">
        <v>70</v>
      </c>
      <c r="O3" s="37" t="s">
        <v>8</v>
      </c>
      <c r="P3" s="94" t="s">
        <v>71</v>
      </c>
      <c r="Q3" s="37" t="s">
        <v>72</v>
      </c>
      <c r="R3" s="37" t="s">
        <v>73</v>
      </c>
      <c r="S3" s="37" t="s">
        <v>11</v>
      </c>
    </row>
    <row r="4">
      <c r="A4" s="95">
        <v>7.37280641943E11</v>
      </c>
      <c r="B4" s="96" t="s">
        <v>96</v>
      </c>
      <c r="C4" s="95" t="s">
        <v>97</v>
      </c>
      <c r="D4" s="95">
        <v>1.0</v>
      </c>
      <c r="E4" s="97">
        <v>99.0</v>
      </c>
      <c r="F4" s="97">
        <f t="shared" ref="F4:F16" si="4">E4*D4</f>
        <v>99</v>
      </c>
      <c r="G4" s="97">
        <f t="shared" ref="G4:G16" si="5">F4/3.3</f>
        <v>30</v>
      </c>
      <c r="H4" s="95" t="s">
        <v>98</v>
      </c>
      <c r="I4" s="98"/>
      <c r="J4" s="35" t="s">
        <v>40</v>
      </c>
      <c r="K4" s="99"/>
      <c r="L4" s="50"/>
      <c r="M4" s="50"/>
      <c r="P4" s="68"/>
    </row>
    <row r="5">
      <c r="A5" s="95">
        <v>8.25073358199E11</v>
      </c>
      <c r="B5" s="100" t="s">
        <v>99</v>
      </c>
      <c r="C5" s="95" t="s">
        <v>97</v>
      </c>
      <c r="D5" s="95">
        <v>1.0</v>
      </c>
      <c r="E5" s="97">
        <v>89.0</v>
      </c>
      <c r="F5" s="97">
        <f t="shared" si="4"/>
        <v>89</v>
      </c>
      <c r="G5" s="97">
        <f t="shared" si="5"/>
        <v>26.96969697</v>
      </c>
      <c r="H5" s="95" t="s">
        <v>98</v>
      </c>
      <c r="I5" s="98"/>
      <c r="J5" s="35" t="s">
        <v>40</v>
      </c>
      <c r="K5" s="99"/>
      <c r="L5" s="50"/>
      <c r="M5" s="50"/>
      <c r="P5" s="68"/>
    </row>
    <row r="6">
      <c r="A6" s="95">
        <v>8.25073361472E11</v>
      </c>
      <c r="B6" s="100" t="s">
        <v>100</v>
      </c>
      <c r="C6" s="95" t="s">
        <v>97</v>
      </c>
      <c r="D6" s="95">
        <v>1.0</v>
      </c>
      <c r="E6" s="101">
        <v>99.0</v>
      </c>
      <c r="F6" s="97">
        <f t="shared" si="4"/>
        <v>99</v>
      </c>
      <c r="G6" s="97">
        <f t="shared" si="5"/>
        <v>30</v>
      </c>
      <c r="H6" s="95" t="s">
        <v>98</v>
      </c>
      <c r="I6" s="98"/>
      <c r="J6" s="35" t="s">
        <v>40</v>
      </c>
      <c r="K6" s="99"/>
      <c r="L6" s="50"/>
      <c r="M6" s="50"/>
      <c r="P6" s="68"/>
    </row>
    <row r="7">
      <c r="A7" s="95">
        <v>8.25073563784E11</v>
      </c>
      <c r="B7" s="100" t="s">
        <v>101</v>
      </c>
      <c r="C7" s="95" t="s">
        <v>97</v>
      </c>
      <c r="D7" s="95">
        <v>1.0</v>
      </c>
      <c r="E7" s="101">
        <v>115.0</v>
      </c>
      <c r="F7" s="97">
        <f t="shared" si="4"/>
        <v>115</v>
      </c>
      <c r="G7" s="97">
        <f t="shared" si="5"/>
        <v>34.84848485</v>
      </c>
      <c r="H7" s="95" t="s">
        <v>98</v>
      </c>
      <c r="I7" s="98"/>
      <c r="J7" s="35" t="s">
        <v>40</v>
      </c>
      <c r="K7" s="99"/>
      <c r="L7" s="50"/>
      <c r="M7" s="50"/>
      <c r="P7" s="68"/>
    </row>
    <row r="8">
      <c r="A8" s="95">
        <v>8.25073564644E11</v>
      </c>
      <c r="B8" s="100" t="s">
        <v>102</v>
      </c>
      <c r="C8" s="95" t="s">
        <v>97</v>
      </c>
      <c r="D8" s="95">
        <v>1.0</v>
      </c>
      <c r="E8" s="101">
        <v>110.0</v>
      </c>
      <c r="F8" s="97">
        <f t="shared" si="4"/>
        <v>110</v>
      </c>
      <c r="G8" s="97">
        <f t="shared" si="5"/>
        <v>33.33333333</v>
      </c>
      <c r="H8" s="95" t="s">
        <v>98</v>
      </c>
      <c r="I8" s="98"/>
      <c r="J8" s="35" t="s">
        <v>40</v>
      </c>
      <c r="K8" s="99"/>
      <c r="L8" s="50"/>
      <c r="M8" s="50"/>
      <c r="P8" s="68"/>
    </row>
    <row r="9">
      <c r="A9" s="95">
        <v>8.25073915972E11</v>
      </c>
      <c r="B9" s="100" t="s">
        <v>103</v>
      </c>
      <c r="C9" s="95" t="s">
        <v>97</v>
      </c>
      <c r="D9" s="95">
        <v>1.0</v>
      </c>
      <c r="E9" s="101">
        <v>89.0</v>
      </c>
      <c r="F9" s="97">
        <f t="shared" si="4"/>
        <v>89</v>
      </c>
      <c r="G9" s="97">
        <f t="shared" si="5"/>
        <v>26.96969697</v>
      </c>
      <c r="H9" s="95" t="s">
        <v>98</v>
      </c>
      <c r="I9" s="98"/>
      <c r="J9" s="35" t="s">
        <v>40</v>
      </c>
      <c r="K9" s="99"/>
      <c r="L9" s="50"/>
      <c r="M9" s="50"/>
      <c r="P9" s="68"/>
    </row>
    <row r="10">
      <c r="A10" s="95">
        <v>8.25076161246E11</v>
      </c>
      <c r="B10" s="100" t="s">
        <v>104</v>
      </c>
      <c r="C10" s="95" t="s">
        <v>97</v>
      </c>
      <c r="D10" s="95">
        <v>1.0</v>
      </c>
      <c r="E10" s="101">
        <v>69.0</v>
      </c>
      <c r="F10" s="97">
        <f t="shared" si="4"/>
        <v>69</v>
      </c>
      <c r="G10" s="97">
        <f t="shared" si="5"/>
        <v>20.90909091</v>
      </c>
      <c r="H10" s="95" t="s">
        <v>98</v>
      </c>
      <c r="I10" s="98"/>
      <c r="J10" s="35" t="s">
        <v>40</v>
      </c>
      <c r="K10" s="99"/>
      <c r="L10" s="50"/>
      <c r="M10" s="50"/>
      <c r="P10" s="68"/>
    </row>
    <row r="11">
      <c r="A11" s="95">
        <v>8.8703981954E11</v>
      </c>
      <c r="B11" s="100" t="s">
        <v>105</v>
      </c>
      <c r="C11" s="95" t="s">
        <v>97</v>
      </c>
      <c r="D11" s="95">
        <v>1.0</v>
      </c>
      <c r="E11" s="101">
        <v>89.0</v>
      </c>
      <c r="F11" s="97">
        <f t="shared" si="4"/>
        <v>89</v>
      </c>
      <c r="G11" s="97">
        <f t="shared" si="5"/>
        <v>26.96969697</v>
      </c>
      <c r="H11" s="95" t="s">
        <v>98</v>
      </c>
      <c r="I11" s="98"/>
      <c r="J11" s="35" t="s">
        <v>40</v>
      </c>
      <c r="K11" s="99"/>
      <c r="L11" s="50"/>
      <c r="M11" s="50"/>
      <c r="P11" s="68"/>
    </row>
    <row r="12">
      <c r="A12" s="95">
        <v>8.87039819564E11</v>
      </c>
      <c r="B12" s="100" t="s">
        <v>106</v>
      </c>
      <c r="C12" s="95" t="s">
        <v>97</v>
      </c>
      <c r="D12" s="95">
        <v>1.0</v>
      </c>
      <c r="E12" s="101">
        <v>89.0</v>
      </c>
      <c r="F12" s="97">
        <f t="shared" si="4"/>
        <v>89</v>
      </c>
      <c r="G12" s="97">
        <f t="shared" si="5"/>
        <v>26.96969697</v>
      </c>
      <c r="H12" s="95" t="s">
        <v>98</v>
      </c>
      <c r="I12" s="98"/>
      <c r="J12" s="35" t="s">
        <v>40</v>
      </c>
      <c r="K12" s="99"/>
      <c r="L12" s="50"/>
      <c r="M12" s="50"/>
      <c r="P12" s="68"/>
    </row>
    <row r="13">
      <c r="A13" s="95">
        <v>8.87039853025E11</v>
      </c>
      <c r="B13" s="100" t="s">
        <v>107</v>
      </c>
      <c r="C13" s="95" t="s">
        <v>97</v>
      </c>
      <c r="D13" s="95">
        <v>1.0</v>
      </c>
      <c r="E13" s="101">
        <v>160.0</v>
      </c>
      <c r="F13" s="97">
        <f t="shared" si="4"/>
        <v>160</v>
      </c>
      <c r="G13" s="97">
        <f t="shared" si="5"/>
        <v>48.48484848</v>
      </c>
      <c r="H13" s="95" t="s">
        <v>98</v>
      </c>
      <c r="I13" s="98"/>
      <c r="J13" s="35" t="s">
        <v>40</v>
      </c>
      <c r="K13" s="99"/>
      <c r="L13" s="50"/>
      <c r="M13" s="50"/>
      <c r="P13" s="68"/>
    </row>
    <row r="14">
      <c r="A14" s="95">
        <v>8.87039853049E11</v>
      </c>
      <c r="B14" s="100" t="s">
        <v>108</v>
      </c>
      <c r="C14" s="95" t="s">
        <v>97</v>
      </c>
      <c r="D14" s="95">
        <v>1.0</v>
      </c>
      <c r="E14" s="101">
        <v>160.0</v>
      </c>
      <c r="F14" s="97">
        <f t="shared" si="4"/>
        <v>160</v>
      </c>
      <c r="G14" s="97">
        <f t="shared" si="5"/>
        <v>48.48484848</v>
      </c>
      <c r="H14" s="95" t="s">
        <v>98</v>
      </c>
      <c r="I14" s="98"/>
      <c r="J14" s="35" t="s">
        <v>40</v>
      </c>
      <c r="K14" s="99"/>
      <c r="L14" s="50"/>
      <c r="M14" s="50"/>
      <c r="P14" s="68"/>
    </row>
    <row r="15">
      <c r="A15" s="95">
        <v>8.87039904918E11</v>
      </c>
      <c r="B15" s="100" t="s">
        <v>109</v>
      </c>
      <c r="C15" s="95" t="s">
        <v>97</v>
      </c>
      <c r="D15" s="95">
        <v>1.0</v>
      </c>
      <c r="E15" s="101">
        <v>79.0</v>
      </c>
      <c r="F15" s="97">
        <f t="shared" si="4"/>
        <v>79</v>
      </c>
      <c r="G15" s="97">
        <f t="shared" si="5"/>
        <v>23.93939394</v>
      </c>
      <c r="H15" s="95" t="s">
        <v>98</v>
      </c>
      <c r="I15" s="98"/>
      <c r="J15" s="35" t="s">
        <v>40</v>
      </c>
      <c r="K15" s="99"/>
      <c r="L15" s="50"/>
      <c r="M15" s="50"/>
      <c r="P15" s="68"/>
    </row>
    <row r="16">
      <c r="A16" s="95">
        <v>8.87039982923E11</v>
      </c>
      <c r="B16" s="100" t="s">
        <v>110</v>
      </c>
      <c r="C16" s="95" t="s">
        <v>97</v>
      </c>
      <c r="D16" s="95">
        <v>1.0</v>
      </c>
      <c r="E16" s="101">
        <v>89.0</v>
      </c>
      <c r="F16" s="97">
        <f t="shared" si="4"/>
        <v>89</v>
      </c>
      <c r="G16" s="97">
        <f t="shared" si="5"/>
        <v>26.96969697</v>
      </c>
      <c r="H16" s="95" t="s">
        <v>98</v>
      </c>
      <c r="I16" s="98"/>
      <c r="J16" s="35" t="s">
        <v>40</v>
      </c>
      <c r="K16" s="99"/>
      <c r="L16" s="50"/>
      <c r="M16" s="50"/>
      <c r="P16" s="68"/>
    </row>
    <row r="17">
      <c r="A17" s="102" t="s">
        <v>111</v>
      </c>
      <c r="B17" s="103" t="s">
        <v>112</v>
      </c>
      <c r="C17" s="104"/>
      <c r="D17" s="104"/>
      <c r="E17" s="105"/>
      <c r="F17" s="106"/>
      <c r="G17" s="106"/>
      <c r="H17" s="107"/>
      <c r="J17" s="108"/>
      <c r="K17" s="99"/>
      <c r="L17" s="50"/>
      <c r="M17" s="50"/>
      <c r="P17" s="68"/>
    </row>
    <row r="18">
      <c r="A18" s="109">
        <v>8.8703981954E11</v>
      </c>
      <c r="B18" s="110" t="s">
        <v>105</v>
      </c>
      <c r="C18" s="95" t="s">
        <v>97</v>
      </c>
      <c r="D18" s="95">
        <v>1.0</v>
      </c>
      <c r="E18" s="101">
        <v>89.0</v>
      </c>
      <c r="F18" s="97">
        <f>E18*D18</f>
        <v>89</v>
      </c>
      <c r="G18" s="97">
        <f>F18/3.3</f>
        <v>26.96969697</v>
      </c>
      <c r="H18" s="95" t="s">
        <v>98</v>
      </c>
      <c r="I18" s="98"/>
      <c r="J18" s="35" t="s">
        <v>40</v>
      </c>
      <c r="K18" s="99"/>
      <c r="L18" s="50"/>
      <c r="M18" s="50"/>
      <c r="P18" s="68"/>
    </row>
    <row r="19">
      <c r="A19" s="102" t="s">
        <v>113</v>
      </c>
      <c r="B19" s="103" t="s">
        <v>114</v>
      </c>
      <c r="C19" s="104"/>
      <c r="D19" s="104"/>
      <c r="E19" s="105"/>
      <c r="F19" s="106"/>
      <c r="G19" s="106"/>
      <c r="H19" s="107"/>
      <c r="J19" s="108"/>
      <c r="K19" s="99"/>
      <c r="L19" s="50"/>
      <c r="M19" s="50"/>
      <c r="P19" s="68"/>
    </row>
    <row r="20">
      <c r="A20" s="111" t="s">
        <v>115</v>
      </c>
      <c r="B20" s="111" t="s">
        <v>116</v>
      </c>
      <c r="C20" s="112" t="str">
        <f>MID($B20,6,7)</f>
        <v>CC18401</v>
      </c>
      <c r="D20" s="111"/>
      <c r="E20" s="111"/>
      <c r="F20" s="111"/>
      <c r="G20" s="111"/>
      <c r="H20" s="113">
        <v>44557.0</v>
      </c>
      <c r="J20" s="108" t="str">
        <f>IF(LEFT(B20,3)="Box","BOX","COUNT")</f>
        <v>BOX</v>
      </c>
      <c r="K20" s="99">
        <f>SUMIF($J$4:$J$8712,$C20,$D$4:$D$8712)</f>
        <v>14</v>
      </c>
      <c r="L20" s="50">
        <f>SUMIF($J$4:$J$8712,$C20,$F$4:$F$8712)</f>
        <v>1425</v>
      </c>
      <c r="M20" s="50">
        <f>SUMIF($J$4:$J$8712,$C20,$G$4:$G$8712)</f>
        <v>431.8181818</v>
      </c>
      <c r="N20" s="70" t="str">
        <f>C20</f>
        <v>CC18401</v>
      </c>
      <c r="O20" s="70" t="str">
        <f>J21</f>
        <v>SHIP</v>
      </c>
      <c r="P20" s="68">
        <f>M20</f>
        <v>431.8181818</v>
      </c>
      <c r="Q20" s="114">
        <v>44510.0</v>
      </c>
      <c r="R20" s="37" t="s">
        <v>117</v>
      </c>
      <c r="S20" s="37" t="s">
        <v>118</v>
      </c>
    </row>
    <row r="21">
      <c r="A21" s="115" t="s">
        <v>119</v>
      </c>
      <c r="B21" s="111" t="s">
        <v>120</v>
      </c>
      <c r="C21" s="109"/>
      <c r="D21" s="109"/>
      <c r="E21" s="116"/>
      <c r="F21" s="116"/>
      <c r="G21" s="116"/>
      <c r="H21" s="109"/>
      <c r="J21" s="108" t="str">
        <f>IF(B21="","NSHIP","SHIP")</f>
        <v>SHIP</v>
      </c>
      <c r="K21" s="99">
        <f>IF($J21="NSHIP",0,-SUMIF($J$4:$J$8712,$C20,$D$4:$D$8712))</f>
        <v>-14</v>
      </c>
      <c r="L21" s="50">
        <f>IF($J21="NSHIP",0,-SUMIF($J$4:$J$8710,$C20,$F$4:$F$8710))</f>
        <v>-1425</v>
      </c>
      <c r="M21" s="50">
        <f>IF($J21="NSHIP",0,-SUMIF($J$4:$J$8710,$C20,$G$4:$G$8710))</f>
        <v>-431.8181818</v>
      </c>
      <c r="P21" s="68"/>
    </row>
    <row r="22">
      <c r="A22" s="117">
        <v>1.7121557764E10</v>
      </c>
      <c r="B22" s="100" t="s">
        <v>121</v>
      </c>
      <c r="C22" s="118" t="s">
        <v>97</v>
      </c>
      <c r="D22" s="100">
        <v>1.0</v>
      </c>
      <c r="E22" s="119">
        <v>150.0</v>
      </c>
      <c r="F22" s="118">
        <f t="shared" ref="F22:F28" si="6">E22*D22</f>
        <v>150</v>
      </c>
      <c r="G22" s="118">
        <f t="shared" ref="G22:G28" si="7">F22/3.3</f>
        <v>45.45454545</v>
      </c>
      <c r="H22" s="100" t="s">
        <v>122</v>
      </c>
      <c r="I22" s="37" t="s">
        <v>123</v>
      </c>
      <c r="J22" s="120" t="s">
        <v>45</v>
      </c>
      <c r="K22" s="99"/>
      <c r="L22" s="50"/>
      <c r="M22" s="50"/>
      <c r="P22" s="68"/>
    </row>
    <row r="23">
      <c r="A23" s="117">
        <v>1.7121557931E10</v>
      </c>
      <c r="B23" s="100" t="s">
        <v>124</v>
      </c>
      <c r="C23" s="118" t="s">
        <v>97</v>
      </c>
      <c r="D23" s="100">
        <v>1.0</v>
      </c>
      <c r="E23" s="119">
        <v>150.0</v>
      </c>
      <c r="F23" s="118">
        <f t="shared" si="6"/>
        <v>150</v>
      </c>
      <c r="G23" s="118">
        <f t="shared" si="7"/>
        <v>45.45454545</v>
      </c>
      <c r="H23" s="100" t="s">
        <v>122</v>
      </c>
      <c r="I23" s="37" t="s">
        <v>123</v>
      </c>
      <c r="J23" s="120" t="s">
        <v>45</v>
      </c>
      <c r="K23" s="99"/>
      <c r="L23" s="50"/>
      <c r="M23" s="50"/>
      <c r="P23" s="68"/>
    </row>
    <row r="24">
      <c r="A24" s="117">
        <v>7.36713616268E11</v>
      </c>
      <c r="B24" s="100" t="s">
        <v>125</v>
      </c>
      <c r="C24" s="118" t="s">
        <v>97</v>
      </c>
      <c r="D24" s="100">
        <v>1.0</v>
      </c>
      <c r="E24" s="119">
        <v>150.0</v>
      </c>
      <c r="F24" s="118">
        <f t="shared" si="6"/>
        <v>150</v>
      </c>
      <c r="G24" s="118">
        <f t="shared" si="7"/>
        <v>45.45454545</v>
      </c>
      <c r="H24" s="100" t="s">
        <v>122</v>
      </c>
      <c r="J24" s="120" t="s">
        <v>45</v>
      </c>
      <c r="K24" s="99"/>
      <c r="L24" s="50"/>
      <c r="M24" s="50"/>
      <c r="P24" s="68"/>
    </row>
    <row r="25">
      <c r="A25" s="117">
        <v>7.36713616305E11</v>
      </c>
      <c r="B25" s="100" t="s">
        <v>126</v>
      </c>
      <c r="C25" s="118" t="s">
        <v>97</v>
      </c>
      <c r="D25" s="100">
        <v>1.0</v>
      </c>
      <c r="E25" s="119">
        <v>150.0</v>
      </c>
      <c r="F25" s="118">
        <f t="shared" si="6"/>
        <v>150</v>
      </c>
      <c r="G25" s="118">
        <f t="shared" si="7"/>
        <v>45.45454545</v>
      </c>
      <c r="H25" s="100" t="s">
        <v>122</v>
      </c>
      <c r="J25" s="120" t="s">
        <v>45</v>
      </c>
      <c r="K25" s="99"/>
      <c r="L25" s="50"/>
      <c r="M25" s="50"/>
      <c r="P25" s="68"/>
    </row>
    <row r="26">
      <c r="A26" s="117">
        <v>7.3671361635E11</v>
      </c>
      <c r="B26" s="100" t="s">
        <v>127</v>
      </c>
      <c r="C26" s="118" t="s">
        <v>97</v>
      </c>
      <c r="D26" s="100">
        <v>1.0</v>
      </c>
      <c r="E26" s="119">
        <v>150.0</v>
      </c>
      <c r="F26" s="118">
        <f t="shared" si="6"/>
        <v>150</v>
      </c>
      <c r="G26" s="118">
        <f t="shared" si="7"/>
        <v>45.45454545</v>
      </c>
      <c r="H26" s="100" t="s">
        <v>122</v>
      </c>
      <c r="J26" s="120" t="s">
        <v>45</v>
      </c>
      <c r="K26" s="99"/>
      <c r="L26" s="50"/>
      <c r="M26" s="50"/>
      <c r="P26" s="68"/>
    </row>
    <row r="27">
      <c r="A27" s="117">
        <v>7.36713972364E11</v>
      </c>
      <c r="B27" s="100" t="s">
        <v>128</v>
      </c>
      <c r="C27" s="118" t="s">
        <v>97</v>
      </c>
      <c r="D27" s="100">
        <v>1.0</v>
      </c>
      <c r="E27" s="119">
        <v>150.0</v>
      </c>
      <c r="F27" s="118">
        <f t="shared" si="6"/>
        <v>150</v>
      </c>
      <c r="G27" s="118">
        <f t="shared" si="7"/>
        <v>45.45454545</v>
      </c>
      <c r="H27" s="100" t="s">
        <v>122</v>
      </c>
      <c r="J27" s="120" t="s">
        <v>45</v>
      </c>
      <c r="K27" s="99"/>
      <c r="L27" s="50"/>
      <c r="M27" s="50"/>
      <c r="P27" s="68"/>
    </row>
    <row r="28">
      <c r="A28" s="117">
        <v>7.48149417975E11</v>
      </c>
      <c r="B28" s="100" t="s">
        <v>129</v>
      </c>
      <c r="C28" s="118" t="s">
        <v>97</v>
      </c>
      <c r="D28" s="100">
        <v>1.0</v>
      </c>
      <c r="E28" s="119">
        <v>130.0</v>
      </c>
      <c r="F28" s="118">
        <f t="shared" si="6"/>
        <v>130</v>
      </c>
      <c r="G28" s="118">
        <f t="shared" si="7"/>
        <v>39.39393939</v>
      </c>
      <c r="H28" s="100" t="s">
        <v>122</v>
      </c>
      <c r="J28" s="120" t="s">
        <v>45</v>
      </c>
      <c r="K28" s="99"/>
      <c r="L28" s="50"/>
      <c r="M28" s="50"/>
      <c r="P28" s="68"/>
    </row>
    <row r="29">
      <c r="A29" s="121" t="s">
        <v>130</v>
      </c>
      <c r="B29" s="122" t="s">
        <v>131</v>
      </c>
      <c r="C29" s="118"/>
      <c r="D29" s="100"/>
      <c r="E29" s="119"/>
      <c r="F29" s="118"/>
      <c r="G29" s="118"/>
      <c r="H29" s="100"/>
      <c r="J29" s="120"/>
      <c r="K29" s="99"/>
      <c r="L29" s="50"/>
      <c r="M29" s="50"/>
      <c r="P29" s="68"/>
    </row>
    <row r="30">
      <c r="A30" s="123" t="s">
        <v>132</v>
      </c>
      <c r="B30" s="112" t="s">
        <v>133</v>
      </c>
      <c r="C30" s="124" t="str">
        <f>MID($B30,6,7)</f>
        <v>CC18402</v>
      </c>
      <c r="D30" s="125"/>
      <c r="E30" s="126"/>
      <c r="F30" s="126"/>
      <c r="G30" s="126"/>
      <c r="H30" s="127">
        <v>44557.0</v>
      </c>
      <c r="J30" s="108" t="str">
        <f>IF(LEFT(B30,3)="Box","BOX","COUNT")</f>
        <v>BOX</v>
      </c>
      <c r="K30" s="99">
        <f>SUMIF($J$4:$J$8712,$C30,$D$4:$D$8712)</f>
        <v>7</v>
      </c>
      <c r="L30" s="50">
        <f>SUMIF($J$4:$J$8712,$C30,$F$4:$F$8712)</f>
        <v>1030</v>
      </c>
      <c r="M30" s="50">
        <f>SUMIF($J$4:$J$8712,$C30,$G$4:$G$8712)</f>
        <v>312.1212121</v>
      </c>
      <c r="N30" s="36" t="str">
        <f>C30</f>
        <v>CC18402</v>
      </c>
      <c r="O30" s="70" t="str">
        <f>J31</f>
        <v>SHIP</v>
      </c>
      <c r="P30" s="68">
        <f>M30</f>
        <v>312.1212121</v>
      </c>
      <c r="Q30" s="114">
        <v>44510.0</v>
      </c>
      <c r="R30" s="37" t="s">
        <v>117</v>
      </c>
      <c r="S30" s="37" t="s">
        <v>118</v>
      </c>
    </row>
    <row r="31">
      <c r="A31" s="128" t="s">
        <v>119</v>
      </c>
      <c r="B31" s="111" t="s">
        <v>134</v>
      </c>
      <c r="C31" s="129"/>
      <c r="D31" s="125"/>
      <c r="E31" s="126"/>
      <c r="F31" s="126"/>
      <c r="G31" s="126"/>
      <c r="H31" s="125"/>
      <c r="J31" s="108" t="str">
        <f>IF(B31="","NSHIP","SHIP")</f>
        <v>SHIP</v>
      </c>
      <c r="K31" s="99">
        <f>IF($J31="NSHIP",0,-SUMIF($J$4:$J$8712,$C30,$D$4:$D$8712))</f>
        <v>-7</v>
      </c>
      <c r="L31" s="50">
        <f>IF($J31="NSHIP",0,-SUMIF($J$4:$J$8710,$C30,$F$4:$F$8710))</f>
        <v>-1030</v>
      </c>
      <c r="M31" s="50">
        <f>IF($J31="NSHIP",0,-SUMIF($J$4:$J$8710,$C30,$G$4:$G$8710))</f>
        <v>-312.1212121</v>
      </c>
      <c r="P31" s="68"/>
    </row>
    <row r="32">
      <c r="A32" s="130">
        <v>1.94067093737E11</v>
      </c>
      <c r="B32" s="131" t="s">
        <v>135</v>
      </c>
      <c r="C32" s="100" t="s">
        <v>97</v>
      </c>
      <c r="D32" s="100">
        <v>1.0</v>
      </c>
      <c r="E32" s="119">
        <v>178.0</v>
      </c>
      <c r="F32" s="118">
        <f t="shared" ref="F32:F39" si="8">E32*D32</f>
        <v>178</v>
      </c>
      <c r="G32" s="118">
        <f t="shared" ref="G32:G39" si="9">F32/3.3</f>
        <v>53.93939394</v>
      </c>
      <c r="H32" s="132" t="s">
        <v>136</v>
      </c>
      <c r="I32" s="1"/>
      <c r="J32" s="104" t="s">
        <v>137</v>
      </c>
      <c r="K32" s="133"/>
      <c r="L32" s="105"/>
      <c r="M32" s="105"/>
      <c r="N32" s="1"/>
      <c r="O32" s="1"/>
      <c r="P32" s="68"/>
    </row>
    <row r="33">
      <c r="A33" s="134">
        <v>1.94067093751E11</v>
      </c>
      <c r="B33" s="131" t="s">
        <v>135</v>
      </c>
      <c r="C33" s="100" t="s">
        <v>97</v>
      </c>
      <c r="D33" s="100">
        <v>1.0</v>
      </c>
      <c r="E33" s="119">
        <v>178.0</v>
      </c>
      <c r="F33" s="118">
        <f t="shared" si="8"/>
        <v>178</v>
      </c>
      <c r="G33" s="118">
        <f t="shared" si="9"/>
        <v>53.93939394</v>
      </c>
      <c r="H33" s="132" t="s">
        <v>136</v>
      </c>
      <c r="I33" s="1"/>
      <c r="J33" s="104" t="s">
        <v>137</v>
      </c>
      <c r="K33" s="133"/>
      <c r="L33" s="105"/>
      <c r="M33" s="105"/>
      <c r="N33" s="1"/>
      <c r="O33" s="1"/>
      <c r="P33" s="68"/>
    </row>
    <row r="34">
      <c r="A34" s="134">
        <v>6.59464866754E11</v>
      </c>
      <c r="B34" s="131" t="s">
        <v>138</v>
      </c>
      <c r="C34" s="100" t="s">
        <v>97</v>
      </c>
      <c r="D34" s="100">
        <v>1.0</v>
      </c>
      <c r="E34" s="119">
        <v>228.0</v>
      </c>
      <c r="F34" s="118">
        <f t="shared" si="8"/>
        <v>228</v>
      </c>
      <c r="G34" s="118">
        <f t="shared" si="9"/>
        <v>69.09090909</v>
      </c>
      <c r="H34" s="132" t="s">
        <v>139</v>
      </c>
      <c r="I34" s="1"/>
      <c r="J34" s="104" t="s">
        <v>137</v>
      </c>
      <c r="K34" s="133"/>
      <c r="L34" s="105"/>
      <c r="M34" s="105"/>
      <c r="N34" s="1"/>
      <c r="O34" s="1"/>
      <c r="P34" s="68"/>
    </row>
    <row r="35">
      <c r="A35" s="134">
        <v>6.59464866761E11</v>
      </c>
      <c r="B35" s="131" t="s">
        <v>138</v>
      </c>
      <c r="C35" s="100" t="s">
        <v>97</v>
      </c>
      <c r="D35" s="100">
        <v>1.0</v>
      </c>
      <c r="E35" s="119">
        <v>228.0</v>
      </c>
      <c r="F35" s="118">
        <f t="shared" si="8"/>
        <v>228</v>
      </c>
      <c r="G35" s="118">
        <f t="shared" si="9"/>
        <v>69.09090909</v>
      </c>
      <c r="H35" s="132" t="s">
        <v>139</v>
      </c>
      <c r="I35" s="1"/>
      <c r="J35" s="104" t="s">
        <v>137</v>
      </c>
      <c r="K35" s="133"/>
      <c r="L35" s="105"/>
      <c r="M35" s="105"/>
      <c r="N35" s="1"/>
      <c r="O35" s="1"/>
      <c r="P35" s="68"/>
    </row>
    <row r="36">
      <c r="A36" s="134">
        <v>6.59464866778E11</v>
      </c>
      <c r="B36" s="131" t="s">
        <v>138</v>
      </c>
      <c r="C36" s="100" t="s">
        <v>97</v>
      </c>
      <c r="D36" s="100">
        <v>1.0</v>
      </c>
      <c r="E36" s="119">
        <v>228.0</v>
      </c>
      <c r="F36" s="118">
        <f t="shared" si="8"/>
        <v>228</v>
      </c>
      <c r="G36" s="118">
        <f t="shared" si="9"/>
        <v>69.09090909</v>
      </c>
      <c r="H36" s="132" t="s">
        <v>139</v>
      </c>
      <c r="I36" s="1"/>
      <c r="J36" s="104" t="s">
        <v>137</v>
      </c>
      <c r="K36" s="133"/>
      <c r="L36" s="105"/>
      <c r="M36" s="105"/>
      <c r="N36" s="1"/>
      <c r="O36" s="1"/>
      <c r="P36" s="68"/>
    </row>
    <row r="37">
      <c r="A37" s="134">
        <v>6.59464866792E11</v>
      </c>
      <c r="B37" s="131" t="s">
        <v>138</v>
      </c>
      <c r="C37" s="100" t="s">
        <v>97</v>
      </c>
      <c r="D37" s="100">
        <v>1.0</v>
      </c>
      <c r="E37" s="119">
        <v>228.0</v>
      </c>
      <c r="F37" s="118">
        <f t="shared" si="8"/>
        <v>228</v>
      </c>
      <c r="G37" s="118">
        <f t="shared" si="9"/>
        <v>69.09090909</v>
      </c>
      <c r="H37" s="132" t="s">
        <v>139</v>
      </c>
      <c r="I37" s="1"/>
      <c r="J37" s="104" t="s">
        <v>137</v>
      </c>
      <c r="K37" s="133"/>
      <c r="L37" s="105"/>
      <c r="M37" s="105"/>
      <c r="N37" s="1"/>
      <c r="O37" s="1"/>
      <c r="P37" s="68"/>
    </row>
    <row r="38">
      <c r="A38" s="134">
        <v>6.59464866808E11</v>
      </c>
      <c r="B38" s="131" t="s">
        <v>138</v>
      </c>
      <c r="C38" s="100" t="s">
        <v>97</v>
      </c>
      <c r="D38" s="100">
        <v>1.0</v>
      </c>
      <c r="E38" s="119">
        <v>228.0</v>
      </c>
      <c r="F38" s="118">
        <f t="shared" si="8"/>
        <v>228</v>
      </c>
      <c r="G38" s="118">
        <f t="shared" si="9"/>
        <v>69.09090909</v>
      </c>
      <c r="H38" s="132" t="s">
        <v>139</v>
      </c>
      <c r="I38" s="1"/>
      <c r="J38" s="104" t="s">
        <v>137</v>
      </c>
      <c r="K38" s="133"/>
      <c r="L38" s="105"/>
      <c r="M38" s="105"/>
      <c r="N38" s="1"/>
      <c r="O38" s="1"/>
      <c r="P38" s="68"/>
    </row>
    <row r="39">
      <c r="A39" s="134">
        <v>6.59464891817E11</v>
      </c>
      <c r="B39" s="131" t="s">
        <v>140</v>
      </c>
      <c r="C39" s="100" t="s">
        <v>97</v>
      </c>
      <c r="D39" s="100">
        <v>1.0</v>
      </c>
      <c r="E39" s="119">
        <v>248.0</v>
      </c>
      <c r="F39" s="118">
        <f t="shared" si="8"/>
        <v>248</v>
      </c>
      <c r="G39" s="118">
        <f t="shared" si="9"/>
        <v>75.15151515</v>
      </c>
      <c r="H39" s="132" t="s">
        <v>139</v>
      </c>
      <c r="I39" s="1"/>
      <c r="J39" s="104" t="s">
        <v>137</v>
      </c>
      <c r="K39" s="133"/>
      <c r="L39" s="105"/>
      <c r="M39" s="105"/>
      <c r="N39" s="1"/>
      <c r="O39" s="1"/>
      <c r="P39" s="68"/>
    </row>
    <row r="40">
      <c r="A40" s="135" t="s">
        <v>141</v>
      </c>
      <c r="B40" s="136" t="s">
        <v>142</v>
      </c>
      <c r="C40" s="100"/>
      <c r="D40" s="100"/>
      <c r="E40" s="119"/>
      <c r="F40" s="118"/>
      <c r="G40" s="118"/>
      <c r="H40" s="100"/>
      <c r="I40" s="1"/>
      <c r="J40" s="104"/>
      <c r="K40" s="133"/>
      <c r="L40" s="105"/>
      <c r="M40" s="105"/>
      <c r="N40" s="1"/>
      <c r="O40" s="1"/>
      <c r="P40" s="68"/>
    </row>
    <row r="41">
      <c r="A41" s="137">
        <v>1.94067093775E11</v>
      </c>
      <c r="B41" s="131" t="s">
        <v>135</v>
      </c>
      <c r="C41" s="100" t="s">
        <v>97</v>
      </c>
      <c r="D41" s="100">
        <v>1.0</v>
      </c>
      <c r="E41" s="119">
        <v>178.0</v>
      </c>
      <c r="F41" s="118">
        <f t="shared" ref="F41:F49" si="10">E41*D41</f>
        <v>178</v>
      </c>
      <c r="G41" s="118">
        <f t="shared" ref="G41:G49" si="11">F41/3.3</f>
        <v>53.93939394</v>
      </c>
      <c r="H41" s="100" t="s">
        <v>136</v>
      </c>
      <c r="I41" s="1" t="s">
        <v>143</v>
      </c>
      <c r="J41" s="104" t="s">
        <v>137</v>
      </c>
      <c r="K41" s="133"/>
      <c r="L41" s="105"/>
      <c r="M41" s="105"/>
      <c r="N41" s="1"/>
      <c r="O41" s="1"/>
      <c r="P41" s="68"/>
    </row>
    <row r="42">
      <c r="A42" s="137">
        <v>1.94067093799E11</v>
      </c>
      <c r="B42" s="131" t="s">
        <v>135</v>
      </c>
      <c r="C42" s="100" t="s">
        <v>97</v>
      </c>
      <c r="D42" s="100">
        <v>1.0</v>
      </c>
      <c r="E42" s="119">
        <v>178.0</v>
      </c>
      <c r="F42" s="118">
        <f t="shared" si="10"/>
        <v>178</v>
      </c>
      <c r="G42" s="118">
        <f t="shared" si="11"/>
        <v>53.93939394</v>
      </c>
      <c r="H42" s="100" t="s">
        <v>136</v>
      </c>
      <c r="I42" s="1" t="s">
        <v>143</v>
      </c>
      <c r="J42" s="104" t="s">
        <v>137</v>
      </c>
      <c r="K42" s="133"/>
      <c r="L42" s="105"/>
      <c r="M42" s="105"/>
      <c r="N42" s="1"/>
      <c r="O42" s="1"/>
      <c r="P42" s="68"/>
    </row>
    <row r="43">
      <c r="A43" s="137">
        <v>1.94713293245E11</v>
      </c>
      <c r="B43" s="131" t="s">
        <v>144</v>
      </c>
      <c r="C43" s="100" t="s">
        <v>97</v>
      </c>
      <c r="D43" s="100">
        <v>1.0</v>
      </c>
      <c r="E43" s="119">
        <v>94.95</v>
      </c>
      <c r="F43" s="118">
        <f t="shared" si="10"/>
        <v>94.95</v>
      </c>
      <c r="G43" s="118">
        <f t="shared" si="11"/>
        <v>28.77272727</v>
      </c>
      <c r="H43" s="100" t="s">
        <v>145</v>
      </c>
      <c r="I43" s="1" t="s">
        <v>143</v>
      </c>
      <c r="J43" s="104" t="s">
        <v>137</v>
      </c>
      <c r="K43" s="133"/>
      <c r="L43" s="105"/>
      <c r="M43" s="105"/>
      <c r="N43" s="1"/>
      <c r="O43" s="1"/>
      <c r="P43" s="68"/>
    </row>
    <row r="44">
      <c r="A44" s="137">
        <v>1.94713297625E11</v>
      </c>
      <c r="B44" s="131" t="s">
        <v>146</v>
      </c>
      <c r="C44" s="100" t="s">
        <v>97</v>
      </c>
      <c r="D44" s="100">
        <v>1.0</v>
      </c>
      <c r="E44" s="119">
        <v>99.95</v>
      </c>
      <c r="F44" s="118">
        <f t="shared" si="10"/>
        <v>99.95</v>
      </c>
      <c r="G44" s="118">
        <f t="shared" si="11"/>
        <v>30.28787879</v>
      </c>
      <c r="H44" s="100" t="s">
        <v>145</v>
      </c>
      <c r="I44" s="1" t="s">
        <v>143</v>
      </c>
      <c r="J44" s="104" t="s">
        <v>137</v>
      </c>
      <c r="K44" s="133"/>
      <c r="L44" s="105"/>
      <c r="M44" s="105"/>
      <c r="N44" s="1"/>
      <c r="O44" s="1"/>
      <c r="P44" s="68"/>
    </row>
    <row r="45">
      <c r="A45" s="137">
        <v>1.93605362076E11</v>
      </c>
      <c r="B45" s="131" t="s">
        <v>147</v>
      </c>
      <c r="C45" s="100" t="s">
        <v>97</v>
      </c>
      <c r="D45" s="100">
        <v>1.0</v>
      </c>
      <c r="E45" s="119">
        <v>40.0</v>
      </c>
      <c r="F45" s="118">
        <f t="shared" si="10"/>
        <v>40</v>
      </c>
      <c r="G45" s="118">
        <f t="shared" si="11"/>
        <v>12.12121212</v>
      </c>
      <c r="H45" s="100" t="s">
        <v>148</v>
      </c>
      <c r="I45" s="1" t="s">
        <v>149</v>
      </c>
      <c r="J45" s="104" t="s">
        <v>137</v>
      </c>
      <c r="K45" s="133"/>
      <c r="L45" s="105"/>
      <c r="M45" s="105"/>
      <c r="N45" s="1"/>
      <c r="O45" s="1"/>
      <c r="P45" s="68"/>
    </row>
    <row r="46">
      <c r="A46" s="137">
        <v>1.93605462837E11</v>
      </c>
      <c r="B46" s="131" t="s">
        <v>150</v>
      </c>
      <c r="C46" s="100" t="s">
        <v>97</v>
      </c>
      <c r="D46" s="100">
        <v>1.0</v>
      </c>
      <c r="E46" s="119">
        <v>80.0</v>
      </c>
      <c r="F46" s="118">
        <f t="shared" si="10"/>
        <v>80</v>
      </c>
      <c r="G46" s="118">
        <f t="shared" si="11"/>
        <v>24.24242424</v>
      </c>
      <c r="H46" s="100" t="s">
        <v>148</v>
      </c>
      <c r="I46" s="1" t="s">
        <v>149</v>
      </c>
      <c r="J46" s="104" t="s">
        <v>137</v>
      </c>
      <c r="K46" s="133"/>
      <c r="L46" s="105"/>
      <c r="M46" s="105"/>
      <c r="N46" s="1"/>
      <c r="O46" s="1"/>
      <c r="P46" s="68"/>
    </row>
    <row r="47">
      <c r="A47" s="137">
        <v>1.94067011229E11</v>
      </c>
      <c r="B47" s="131" t="s">
        <v>151</v>
      </c>
      <c r="C47" s="100" t="s">
        <v>97</v>
      </c>
      <c r="D47" s="100">
        <v>1.0</v>
      </c>
      <c r="E47" s="119">
        <v>298.0</v>
      </c>
      <c r="F47" s="118">
        <f t="shared" si="10"/>
        <v>298</v>
      </c>
      <c r="G47" s="118">
        <f t="shared" si="11"/>
        <v>90.3030303</v>
      </c>
      <c r="H47" s="100" t="s">
        <v>136</v>
      </c>
      <c r="I47" s="1" t="s">
        <v>143</v>
      </c>
      <c r="J47" s="104" t="s">
        <v>137</v>
      </c>
      <c r="K47" s="133"/>
      <c r="L47" s="105"/>
      <c r="M47" s="105"/>
      <c r="N47" s="1"/>
      <c r="O47" s="1"/>
      <c r="P47" s="68"/>
    </row>
    <row r="48">
      <c r="A48" s="137">
        <v>1.94067043572E11</v>
      </c>
      <c r="B48" s="131" t="s">
        <v>152</v>
      </c>
      <c r="C48" s="100" t="s">
        <v>97</v>
      </c>
      <c r="D48" s="100">
        <v>1.0</v>
      </c>
      <c r="E48" s="119">
        <v>198.0</v>
      </c>
      <c r="F48" s="118">
        <f t="shared" si="10"/>
        <v>198</v>
      </c>
      <c r="G48" s="118">
        <f t="shared" si="11"/>
        <v>60</v>
      </c>
      <c r="H48" s="100" t="s">
        <v>136</v>
      </c>
      <c r="I48" s="1" t="s">
        <v>143</v>
      </c>
      <c r="J48" s="104" t="s">
        <v>137</v>
      </c>
      <c r="K48" s="133"/>
      <c r="L48" s="105"/>
      <c r="M48" s="105"/>
      <c r="N48" s="1"/>
      <c r="O48" s="1"/>
      <c r="P48" s="68"/>
    </row>
    <row r="49">
      <c r="A49" s="137">
        <v>1.94067093676E11</v>
      </c>
      <c r="B49" s="131" t="s">
        <v>135</v>
      </c>
      <c r="C49" s="100" t="s">
        <v>97</v>
      </c>
      <c r="D49" s="100">
        <v>1.0</v>
      </c>
      <c r="E49" s="119">
        <v>178.0</v>
      </c>
      <c r="F49" s="118">
        <f t="shared" si="10"/>
        <v>178</v>
      </c>
      <c r="G49" s="118">
        <f t="shared" si="11"/>
        <v>53.93939394</v>
      </c>
      <c r="H49" s="100" t="s">
        <v>136</v>
      </c>
      <c r="I49" s="1" t="s">
        <v>143</v>
      </c>
      <c r="J49" s="104" t="s">
        <v>137</v>
      </c>
      <c r="K49" s="133"/>
      <c r="L49" s="105"/>
      <c r="M49" s="105"/>
      <c r="N49" s="1"/>
      <c r="O49" s="1"/>
      <c r="P49" s="68"/>
    </row>
    <row r="50">
      <c r="A50" s="112" t="s">
        <v>153</v>
      </c>
      <c r="B50" s="112" t="s">
        <v>154</v>
      </c>
      <c r="C50" s="112" t="str">
        <f>MID($B50,6,7)</f>
        <v>CC18403</v>
      </c>
      <c r="D50" s="112"/>
      <c r="E50" s="138"/>
      <c r="F50" s="124"/>
      <c r="G50" s="124"/>
      <c r="H50" s="127">
        <v>44557.0</v>
      </c>
      <c r="I50" s="1"/>
      <c r="J50" s="104" t="str">
        <f>IF(LEFT(B50,3)="Box","BOX","COUNT")</f>
        <v>BOX</v>
      </c>
      <c r="K50" s="139">
        <f>SUMIF($J$20:$J$8707,$C50,$D$20:$D$8707)</f>
        <v>17</v>
      </c>
      <c r="L50" s="32">
        <f>SUMIF($J$20:$J$8707,$C50,$F$20:$F$8707)</f>
        <v>3088.9</v>
      </c>
      <c r="M50" s="32">
        <f>SUMIF($J$20:$J$8707,$C50,$G$20:$G$8707)</f>
        <v>936.030303</v>
      </c>
      <c r="N50" s="1" t="str">
        <f>C50</f>
        <v>CC18403</v>
      </c>
      <c r="O50" s="1" t="str">
        <f>J51</f>
        <v>SHIP</v>
      </c>
      <c r="P50" s="68">
        <f>M50</f>
        <v>936.030303</v>
      </c>
      <c r="Q50" s="114">
        <v>44559.0</v>
      </c>
      <c r="R50" s="37" t="s">
        <v>155</v>
      </c>
      <c r="S50" s="37" t="s">
        <v>156</v>
      </c>
    </row>
    <row r="51">
      <c r="A51" s="115" t="s">
        <v>119</v>
      </c>
      <c r="B51" s="140" t="s">
        <v>157</v>
      </c>
      <c r="C51" s="141"/>
      <c r="D51" s="141"/>
      <c r="E51" s="142"/>
      <c r="F51" s="142"/>
      <c r="G51" s="142"/>
      <c r="H51" s="141"/>
      <c r="I51" s="1"/>
      <c r="J51" s="104" t="str">
        <f>IF(B51="","NSHIP","SHIP")</f>
        <v>SHIP</v>
      </c>
      <c r="K51" s="139">
        <f>IF($J51="NSHIP",0,-SUMIF($J$20:$J$8707,$C50,$D$20:$D$8707))</f>
        <v>-17</v>
      </c>
      <c r="L51" s="32">
        <f>IF($J51="NSHIP",0,-SUMIF($J$20:$J$8705,$C50,$F$20:$F$8705))</f>
        <v>-3088.9</v>
      </c>
      <c r="M51" s="32">
        <f>IF($J51="NSHIP",0,-SUMIF($J$20:$J$8705,$C50,$G$20:$G$8705))</f>
        <v>-936.030303</v>
      </c>
      <c r="N51" s="1"/>
      <c r="O51" s="1"/>
      <c r="P51" s="68"/>
    </row>
    <row r="52">
      <c r="A52" s="100">
        <v>8.867004919E9</v>
      </c>
      <c r="B52" s="131" t="s">
        <v>158</v>
      </c>
      <c r="C52" s="100" t="s">
        <v>97</v>
      </c>
      <c r="D52" s="100">
        <v>1.0</v>
      </c>
      <c r="E52" s="119">
        <v>89.0</v>
      </c>
      <c r="F52" s="118">
        <f t="shared" ref="F52:F80" si="12">E52*D52</f>
        <v>89</v>
      </c>
      <c r="G52" s="118">
        <f t="shared" ref="G52:G80" si="13">F52/4</f>
        <v>22.25</v>
      </c>
      <c r="H52" s="100" t="s">
        <v>159</v>
      </c>
      <c r="I52" s="1"/>
      <c r="J52" s="120" t="s">
        <v>160</v>
      </c>
      <c r="K52" s="99"/>
      <c r="L52" s="50"/>
      <c r="M52" s="50"/>
      <c r="P52" s="68"/>
    </row>
    <row r="53">
      <c r="A53" s="100">
        <v>1.9183709947E11</v>
      </c>
      <c r="B53" s="131" t="s">
        <v>161</v>
      </c>
      <c r="C53" s="100" t="s">
        <v>97</v>
      </c>
      <c r="D53" s="100">
        <v>1.0</v>
      </c>
      <c r="E53" s="119">
        <v>169.0</v>
      </c>
      <c r="F53" s="118">
        <f t="shared" si="12"/>
        <v>169</v>
      </c>
      <c r="G53" s="118">
        <f t="shared" si="13"/>
        <v>42.25</v>
      </c>
      <c r="H53" s="143" t="s">
        <v>162</v>
      </c>
      <c r="I53" s="1"/>
      <c r="J53" s="120" t="s">
        <v>160</v>
      </c>
      <c r="K53" s="99"/>
      <c r="L53" s="50"/>
      <c r="M53" s="50"/>
      <c r="P53" s="68"/>
    </row>
    <row r="54">
      <c r="A54" s="100">
        <v>1.92284747082E11</v>
      </c>
      <c r="B54" s="131" t="s">
        <v>163</v>
      </c>
      <c r="C54" s="100" t="s">
        <v>97</v>
      </c>
      <c r="D54" s="100">
        <v>1.0</v>
      </c>
      <c r="E54" s="119">
        <v>34.99</v>
      </c>
      <c r="F54" s="118">
        <f t="shared" si="12"/>
        <v>34.99</v>
      </c>
      <c r="G54" s="118">
        <f t="shared" si="13"/>
        <v>8.7475</v>
      </c>
      <c r="H54" s="100" t="s">
        <v>164</v>
      </c>
      <c r="I54" s="1"/>
      <c r="J54" s="120" t="s">
        <v>160</v>
      </c>
      <c r="K54" s="99"/>
      <c r="L54" s="50"/>
      <c r="M54" s="50"/>
      <c r="P54" s="68"/>
    </row>
    <row r="55">
      <c r="A55" s="100">
        <v>1.92523584829E11</v>
      </c>
      <c r="B55" s="131" t="s">
        <v>165</v>
      </c>
      <c r="C55" s="100" t="s">
        <v>97</v>
      </c>
      <c r="D55" s="100">
        <v>1.0</v>
      </c>
      <c r="E55" s="119">
        <v>128.0</v>
      </c>
      <c r="F55" s="118">
        <f t="shared" si="12"/>
        <v>128</v>
      </c>
      <c r="G55" s="118">
        <f t="shared" si="13"/>
        <v>32</v>
      </c>
      <c r="H55" s="100" t="s">
        <v>166</v>
      </c>
      <c r="I55" s="1"/>
      <c r="J55" s="120" t="s">
        <v>160</v>
      </c>
      <c r="K55" s="99"/>
      <c r="L55" s="50"/>
      <c r="M55" s="50"/>
      <c r="P55" s="68"/>
    </row>
    <row r="56">
      <c r="A56" s="100">
        <v>1.92523699141E11</v>
      </c>
      <c r="B56" s="131" t="s">
        <v>167</v>
      </c>
      <c r="C56" s="100" t="s">
        <v>97</v>
      </c>
      <c r="D56" s="100">
        <v>1.0</v>
      </c>
      <c r="E56" s="119">
        <v>128.0</v>
      </c>
      <c r="F56" s="118">
        <f t="shared" si="12"/>
        <v>128</v>
      </c>
      <c r="G56" s="118">
        <f t="shared" si="13"/>
        <v>32</v>
      </c>
      <c r="H56" s="100" t="s">
        <v>166</v>
      </c>
      <c r="I56" s="1"/>
      <c r="J56" s="120" t="s">
        <v>160</v>
      </c>
      <c r="K56" s="99"/>
      <c r="L56" s="50"/>
      <c r="M56" s="50"/>
      <c r="P56" s="68"/>
    </row>
    <row r="57">
      <c r="A57" s="100">
        <v>1.94374166742E11</v>
      </c>
      <c r="B57" s="131" t="s">
        <v>168</v>
      </c>
      <c r="C57" s="100" t="s">
        <v>97</v>
      </c>
      <c r="D57" s="100">
        <v>1.0</v>
      </c>
      <c r="E57" s="119">
        <v>58.0</v>
      </c>
      <c r="F57" s="118">
        <f t="shared" si="12"/>
        <v>58</v>
      </c>
      <c r="G57" s="118">
        <f t="shared" si="13"/>
        <v>14.5</v>
      </c>
      <c r="H57" s="100" t="s">
        <v>169</v>
      </c>
      <c r="I57" s="1"/>
      <c r="J57" s="120" t="s">
        <v>160</v>
      </c>
      <c r="K57" s="99"/>
      <c r="L57" s="50"/>
      <c r="M57" s="50"/>
      <c r="P57" s="68"/>
    </row>
    <row r="58">
      <c r="A58" s="100">
        <v>1.95170005624E11</v>
      </c>
      <c r="B58" s="131" t="s">
        <v>170</v>
      </c>
      <c r="C58" s="100" t="s">
        <v>97</v>
      </c>
      <c r="D58" s="100">
        <v>1.0</v>
      </c>
      <c r="E58" s="119">
        <v>159.0</v>
      </c>
      <c r="F58" s="118">
        <f t="shared" si="12"/>
        <v>159</v>
      </c>
      <c r="G58" s="118">
        <f t="shared" si="13"/>
        <v>39.75</v>
      </c>
      <c r="H58" s="100" t="s">
        <v>171</v>
      </c>
      <c r="I58" s="1"/>
      <c r="J58" s="120" t="s">
        <v>160</v>
      </c>
      <c r="K58" s="99"/>
      <c r="L58" s="50"/>
      <c r="M58" s="50"/>
      <c r="P58" s="68"/>
    </row>
    <row r="59">
      <c r="A59" s="100">
        <v>1.95191178925E11</v>
      </c>
      <c r="B59" s="131" t="s">
        <v>172</v>
      </c>
      <c r="C59" s="100" t="s">
        <v>97</v>
      </c>
      <c r="D59" s="100">
        <v>1.0</v>
      </c>
      <c r="E59" s="119">
        <v>98.0</v>
      </c>
      <c r="F59" s="118">
        <f t="shared" si="12"/>
        <v>98</v>
      </c>
      <c r="G59" s="118">
        <f t="shared" si="13"/>
        <v>24.5</v>
      </c>
      <c r="H59" s="100" t="s">
        <v>169</v>
      </c>
      <c r="I59" s="1"/>
      <c r="J59" s="120" t="s">
        <v>160</v>
      </c>
      <c r="K59" s="99"/>
      <c r="L59" s="50"/>
      <c r="M59" s="50"/>
      <c r="P59" s="68"/>
    </row>
    <row r="60">
      <c r="A60" s="100">
        <v>6.28292186785E11</v>
      </c>
      <c r="B60" s="131" t="s">
        <v>173</v>
      </c>
      <c r="C60" s="100" t="s">
        <v>97</v>
      </c>
      <c r="D60" s="100">
        <v>1.0</v>
      </c>
      <c r="E60" s="119">
        <v>245.0</v>
      </c>
      <c r="F60" s="118">
        <f t="shared" si="12"/>
        <v>245</v>
      </c>
      <c r="G60" s="118">
        <f t="shared" si="13"/>
        <v>61.25</v>
      </c>
      <c r="H60" s="100" t="s">
        <v>174</v>
      </c>
      <c r="I60" s="1"/>
      <c r="J60" s="120" t="s">
        <v>160</v>
      </c>
      <c r="K60" s="99"/>
      <c r="L60" s="50"/>
      <c r="M60" s="50"/>
      <c r="P60" s="68"/>
    </row>
    <row r="61">
      <c r="A61" s="100">
        <v>6.28292326761E11</v>
      </c>
      <c r="B61" s="131" t="s">
        <v>175</v>
      </c>
      <c r="C61" s="100" t="s">
        <v>97</v>
      </c>
      <c r="D61" s="100">
        <v>1.0</v>
      </c>
      <c r="E61" s="119">
        <v>295.0</v>
      </c>
      <c r="F61" s="118">
        <f t="shared" si="12"/>
        <v>295</v>
      </c>
      <c r="G61" s="118">
        <f t="shared" si="13"/>
        <v>73.75</v>
      </c>
      <c r="H61" s="100" t="s">
        <v>176</v>
      </c>
      <c r="I61" s="1"/>
      <c r="J61" s="120" t="s">
        <v>160</v>
      </c>
      <c r="K61" s="99"/>
      <c r="L61" s="50"/>
      <c r="M61" s="50"/>
      <c r="P61" s="68"/>
    </row>
    <row r="62">
      <c r="A62" s="100">
        <v>6.28292458042E11</v>
      </c>
      <c r="B62" s="131" t="s">
        <v>177</v>
      </c>
      <c r="C62" s="100" t="s">
        <v>97</v>
      </c>
      <c r="D62" s="100">
        <v>1.0</v>
      </c>
      <c r="E62" s="119">
        <v>345.0</v>
      </c>
      <c r="F62" s="118">
        <f t="shared" si="12"/>
        <v>345</v>
      </c>
      <c r="G62" s="118">
        <f t="shared" si="13"/>
        <v>86.25</v>
      </c>
      <c r="H62" s="100" t="s">
        <v>174</v>
      </c>
      <c r="I62" s="1"/>
      <c r="J62" s="120" t="s">
        <v>160</v>
      </c>
      <c r="K62" s="99"/>
      <c r="L62" s="50"/>
      <c r="M62" s="50"/>
      <c r="P62" s="68"/>
    </row>
    <row r="63">
      <c r="A63" s="100">
        <v>6.50868162695E11</v>
      </c>
      <c r="B63" s="131" t="s">
        <v>178</v>
      </c>
      <c r="C63" s="100" t="s">
        <v>97</v>
      </c>
      <c r="D63" s="100">
        <v>1.0</v>
      </c>
      <c r="E63" s="119">
        <v>39.0</v>
      </c>
      <c r="F63" s="118">
        <f t="shared" si="12"/>
        <v>39</v>
      </c>
      <c r="G63" s="118">
        <f t="shared" si="13"/>
        <v>9.75</v>
      </c>
      <c r="H63" s="100" t="s">
        <v>179</v>
      </c>
      <c r="I63" s="1"/>
      <c r="J63" s="120" t="s">
        <v>160</v>
      </c>
      <c r="K63" s="99"/>
      <c r="L63" s="50"/>
      <c r="M63" s="50"/>
      <c r="P63" s="68"/>
    </row>
    <row r="64">
      <c r="A64" s="100">
        <v>6.51481559282E11</v>
      </c>
      <c r="B64" s="131" t="s">
        <v>180</v>
      </c>
      <c r="C64" s="100" t="s">
        <v>97</v>
      </c>
      <c r="D64" s="100">
        <v>1.0</v>
      </c>
      <c r="E64" s="119">
        <v>69.0</v>
      </c>
      <c r="F64" s="118">
        <f t="shared" si="12"/>
        <v>69</v>
      </c>
      <c r="G64" s="118">
        <f t="shared" si="13"/>
        <v>17.25</v>
      </c>
      <c r="H64" s="100" t="s">
        <v>181</v>
      </c>
      <c r="I64" s="1"/>
      <c r="J64" s="120" t="s">
        <v>160</v>
      </c>
      <c r="K64" s="99"/>
      <c r="L64" s="50"/>
      <c r="M64" s="50"/>
      <c r="P64" s="68"/>
    </row>
    <row r="65">
      <c r="A65" s="100">
        <v>6.52874053882E11</v>
      </c>
      <c r="B65" s="131" t="s">
        <v>182</v>
      </c>
      <c r="C65" s="100" t="s">
        <v>97</v>
      </c>
      <c r="D65" s="100">
        <v>1.0</v>
      </c>
      <c r="E65" s="119">
        <v>69.0</v>
      </c>
      <c r="F65" s="118">
        <f t="shared" si="12"/>
        <v>69</v>
      </c>
      <c r="G65" s="118">
        <f t="shared" si="13"/>
        <v>17.25</v>
      </c>
      <c r="H65" s="100" t="s">
        <v>183</v>
      </c>
      <c r="I65" s="1"/>
      <c r="J65" s="120" t="s">
        <v>160</v>
      </c>
      <c r="K65" s="99"/>
      <c r="L65" s="50"/>
      <c r="M65" s="50"/>
      <c r="P65" s="68"/>
    </row>
    <row r="66">
      <c r="A66" s="100">
        <v>6.89886561197E11</v>
      </c>
      <c r="B66" s="131" t="s">
        <v>184</v>
      </c>
      <c r="C66" s="100" t="s">
        <v>97</v>
      </c>
      <c r="D66" s="100">
        <v>1.0</v>
      </c>
      <c r="E66" s="119">
        <v>69.0</v>
      </c>
      <c r="F66" s="118">
        <f t="shared" si="12"/>
        <v>69</v>
      </c>
      <c r="G66" s="118">
        <f t="shared" si="13"/>
        <v>17.25</v>
      </c>
      <c r="H66" s="100" t="s">
        <v>185</v>
      </c>
      <c r="I66" s="1"/>
      <c r="J66" s="120" t="s">
        <v>160</v>
      </c>
      <c r="K66" s="99"/>
      <c r="L66" s="50"/>
      <c r="M66" s="50"/>
      <c r="P66" s="68"/>
    </row>
    <row r="67">
      <c r="A67" s="100">
        <v>7.07762035072E11</v>
      </c>
      <c r="B67" s="131" t="s">
        <v>186</v>
      </c>
      <c r="C67" s="100" t="s">
        <v>97</v>
      </c>
      <c r="D67" s="100">
        <v>1.0</v>
      </c>
      <c r="E67" s="119">
        <v>149.0</v>
      </c>
      <c r="F67" s="118">
        <f t="shared" si="12"/>
        <v>149</v>
      </c>
      <c r="G67" s="118">
        <f t="shared" si="13"/>
        <v>37.25</v>
      </c>
      <c r="H67" s="100" t="s">
        <v>187</v>
      </c>
      <c r="I67" s="1"/>
      <c r="J67" s="120" t="s">
        <v>160</v>
      </c>
      <c r="K67" s="99"/>
      <c r="L67" s="50"/>
      <c r="M67" s="50"/>
      <c r="P67" s="68"/>
    </row>
    <row r="68">
      <c r="A68" s="100">
        <v>7.08008594353E11</v>
      </c>
      <c r="B68" s="131" t="s">
        <v>188</v>
      </c>
      <c r="C68" s="100" t="s">
        <v>97</v>
      </c>
      <c r="D68" s="100">
        <v>1.0</v>
      </c>
      <c r="E68" s="119">
        <v>59.0</v>
      </c>
      <c r="F68" s="118">
        <f t="shared" si="12"/>
        <v>59</v>
      </c>
      <c r="G68" s="118">
        <f t="shared" si="13"/>
        <v>14.75</v>
      </c>
      <c r="H68" s="100" t="s">
        <v>189</v>
      </c>
      <c r="I68" s="1"/>
      <c r="J68" s="120" t="s">
        <v>160</v>
      </c>
      <c r="K68" s="99"/>
      <c r="L68" s="50"/>
      <c r="M68" s="50"/>
      <c r="P68" s="68"/>
    </row>
    <row r="69">
      <c r="A69" s="100">
        <v>7.0800859436E11</v>
      </c>
      <c r="B69" s="131" t="s">
        <v>190</v>
      </c>
      <c r="C69" s="100" t="s">
        <v>97</v>
      </c>
      <c r="D69" s="100">
        <v>1.0</v>
      </c>
      <c r="E69" s="119">
        <v>59.0</v>
      </c>
      <c r="F69" s="118">
        <f t="shared" si="12"/>
        <v>59</v>
      </c>
      <c r="G69" s="118">
        <f t="shared" si="13"/>
        <v>14.75</v>
      </c>
      <c r="H69" s="100" t="s">
        <v>189</v>
      </c>
      <c r="I69" s="1"/>
      <c r="J69" s="120" t="s">
        <v>160</v>
      </c>
      <c r="K69" s="99"/>
      <c r="L69" s="50"/>
      <c r="M69" s="50"/>
      <c r="P69" s="68"/>
    </row>
    <row r="70">
      <c r="A70" s="100">
        <v>7.08008599037E11</v>
      </c>
      <c r="B70" s="131" t="s">
        <v>191</v>
      </c>
      <c r="C70" s="100" t="s">
        <v>97</v>
      </c>
      <c r="D70" s="100">
        <v>1.0</v>
      </c>
      <c r="E70" s="119">
        <v>59.0</v>
      </c>
      <c r="F70" s="118">
        <f t="shared" si="12"/>
        <v>59</v>
      </c>
      <c r="G70" s="118">
        <f t="shared" si="13"/>
        <v>14.75</v>
      </c>
      <c r="H70" s="100" t="s">
        <v>189</v>
      </c>
      <c r="I70" s="1"/>
      <c r="J70" s="120" t="s">
        <v>160</v>
      </c>
      <c r="K70" s="99"/>
      <c r="L70" s="50"/>
      <c r="M70" s="50"/>
      <c r="P70" s="68"/>
    </row>
    <row r="71">
      <c r="A71" s="100">
        <v>7.33001698555E11</v>
      </c>
      <c r="B71" s="131" t="s">
        <v>192</v>
      </c>
      <c r="C71" s="100" t="s">
        <v>97</v>
      </c>
      <c r="D71" s="100">
        <v>1.0</v>
      </c>
      <c r="E71" s="119">
        <v>189.5</v>
      </c>
      <c r="F71" s="118">
        <f t="shared" si="12"/>
        <v>189.5</v>
      </c>
      <c r="G71" s="118">
        <f t="shared" si="13"/>
        <v>47.375</v>
      </c>
      <c r="H71" s="100" t="s">
        <v>193</v>
      </c>
      <c r="I71" s="1"/>
      <c r="J71" s="120" t="s">
        <v>160</v>
      </c>
      <c r="K71" s="99"/>
      <c r="L71" s="50"/>
      <c r="M71" s="50"/>
      <c r="P71" s="68"/>
    </row>
    <row r="72">
      <c r="A72" s="100">
        <v>8.22240847241E11</v>
      </c>
      <c r="B72" s="131" t="s">
        <v>194</v>
      </c>
      <c r="C72" s="100" t="s">
        <v>97</v>
      </c>
      <c r="D72" s="100">
        <v>1.0</v>
      </c>
      <c r="E72" s="119">
        <v>59.0</v>
      </c>
      <c r="F72" s="118">
        <f t="shared" si="12"/>
        <v>59</v>
      </c>
      <c r="G72" s="118">
        <f t="shared" si="13"/>
        <v>14.75</v>
      </c>
      <c r="H72" s="100" t="s">
        <v>179</v>
      </c>
      <c r="I72" s="1"/>
      <c r="J72" s="120" t="s">
        <v>160</v>
      </c>
      <c r="K72" s="99"/>
      <c r="L72" s="50"/>
      <c r="M72" s="50"/>
      <c r="P72" s="68"/>
    </row>
    <row r="73">
      <c r="A73" s="100">
        <v>8.83806035564E11</v>
      </c>
      <c r="B73" s="131" t="s">
        <v>195</v>
      </c>
      <c r="C73" s="100" t="s">
        <v>97</v>
      </c>
      <c r="D73" s="100">
        <v>1.0</v>
      </c>
      <c r="E73" s="119">
        <v>185.0</v>
      </c>
      <c r="F73" s="118">
        <f t="shared" si="12"/>
        <v>185</v>
      </c>
      <c r="G73" s="118">
        <f t="shared" si="13"/>
        <v>46.25</v>
      </c>
      <c r="H73" s="100" t="s">
        <v>196</v>
      </c>
      <c r="I73" s="1"/>
      <c r="J73" s="120" t="s">
        <v>160</v>
      </c>
      <c r="K73" s="99"/>
      <c r="L73" s="50"/>
      <c r="M73" s="50"/>
      <c r="P73" s="68"/>
    </row>
    <row r="74">
      <c r="A74" s="100">
        <v>8.83806035618E11</v>
      </c>
      <c r="B74" s="131" t="s">
        <v>197</v>
      </c>
      <c r="C74" s="100" t="s">
        <v>97</v>
      </c>
      <c r="D74" s="100">
        <v>1.0</v>
      </c>
      <c r="E74" s="119">
        <v>185.0</v>
      </c>
      <c r="F74" s="118">
        <f t="shared" si="12"/>
        <v>185</v>
      </c>
      <c r="G74" s="118">
        <f t="shared" si="13"/>
        <v>46.25</v>
      </c>
      <c r="H74" s="100" t="s">
        <v>198</v>
      </c>
      <c r="I74" s="1"/>
      <c r="J74" s="120" t="s">
        <v>160</v>
      </c>
      <c r="K74" s="99"/>
      <c r="L74" s="50"/>
      <c r="M74" s="50"/>
      <c r="P74" s="68"/>
    </row>
    <row r="75">
      <c r="A75" s="100">
        <v>8.83806035687E11</v>
      </c>
      <c r="B75" s="131" t="s">
        <v>199</v>
      </c>
      <c r="C75" s="100" t="s">
        <v>97</v>
      </c>
      <c r="D75" s="100">
        <v>1.0</v>
      </c>
      <c r="E75" s="119">
        <v>94.99</v>
      </c>
      <c r="F75" s="118">
        <f t="shared" si="12"/>
        <v>94.99</v>
      </c>
      <c r="G75" s="118">
        <f t="shared" si="13"/>
        <v>23.7475</v>
      </c>
      <c r="H75" s="100" t="s">
        <v>200</v>
      </c>
      <c r="I75" s="1"/>
      <c r="J75" s="120" t="s">
        <v>160</v>
      </c>
      <c r="K75" s="99"/>
      <c r="L75" s="50"/>
      <c r="M75" s="50"/>
      <c r="P75" s="68"/>
    </row>
    <row r="76">
      <c r="A76" s="100">
        <v>8.83806166701E11</v>
      </c>
      <c r="B76" s="131" t="s">
        <v>201</v>
      </c>
      <c r="C76" s="100" t="s">
        <v>97</v>
      </c>
      <c r="D76" s="100">
        <v>1.0</v>
      </c>
      <c r="E76" s="119">
        <v>109.0</v>
      </c>
      <c r="F76" s="118">
        <f t="shared" si="12"/>
        <v>109</v>
      </c>
      <c r="G76" s="118">
        <f t="shared" si="13"/>
        <v>27.25</v>
      </c>
      <c r="H76" s="100" t="s">
        <v>198</v>
      </c>
      <c r="I76" s="1"/>
      <c r="J76" s="120" t="s">
        <v>160</v>
      </c>
      <c r="K76" s="99"/>
      <c r="L76" s="50"/>
      <c r="M76" s="50"/>
      <c r="P76" s="68"/>
    </row>
    <row r="77">
      <c r="A77" s="100">
        <v>8.8380624849E11</v>
      </c>
      <c r="B77" s="131" t="s">
        <v>202</v>
      </c>
      <c r="C77" s="100" t="s">
        <v>97</v>
      </c>
      <c r="D77" s="100">
        <v>1.0</v>
      </c>
      <c r="E77" s="119">
        <v>109.0</v>
      </c>
      <c r="F77" s="118">
        <f t="shared" si="12"/>
        <v>109</v>
      </c>
      <c r="G77" s="118">
        <f t="shared" si="13"/>
        <v>27.25</v>
      </c>
      <c r="H77" s="100" t="s">
        <v>203</v>
      </c>
      <c r="I77" s="1"/>
      <c r="J77" s="120" t="s">
        <v>160</v>
      </c>
      <c r="K77" s="99"/>
      <c r="L77" s="50"/>
      <c r="M77" s="50"/>
      <c r="P77" s="68"/>
    </row>
    <row r="78">
      <c r="A78" s="100">
        <v>8.84094248032E11</v>
      </c>
      <c r="B78" s="131" t="s">
        <v>204</v>
      </c>
      <c r="C78" s="100" t="s">
        <v>97</v>
      </c>
      <c r="D78" s="100">
        <v>1.0</v>
      </c>
      <c r="E78" s="119">
        <v>145.0</v>
      </c>
      <c r="F78" s="118">
        <f t="shared" si="12"/>
        <v>145</v>
      </c>
      <c r="G78" s="118">
        <f t="shared" si="13"/>
        <v>36.25</v>
      </c>
      <c r="H78" s="100" t="s">
        <v>198</v>
      </c>
      <c r="I78" s="1"/>
      <c r="J78" s="120" t="s">
        <v>160</v>
      </c>
      <c r="K78" s="99"/>
      <c r="L78" s="50"/>
      <c r="M78" s="50"/>
      <c r="P78" s="68"/>
    </row>
    <row r="79">
      <c r="A79" s="100">
        <v>8.88815867687E11</v>
      </c>
      <c r="B79" s="131" t="s">
        <v>205</v>
      </c>
      <c r="C79" s="100" t="s">
        <v>97</v>
      </c>
      <c r="D79" s="100">
        <v>1.0</v>
      </c>
      <c r="E79" s="119">
        <v>89.0</v>
      </c>
      <c r="F79" s="118">
        <f t="shared" si="12"/>
        <v>89</v>
      </c>
      <c r="G79" s="118">
        <f t="shared" si="13"/>
        <v>22.25</v>
      </c>
      <c r="H79" s="100" t="s">
        <v>206</v>
      </c>
      <c r="I79" s="1"/>
      <c r="J79" s="120" t="s">
        <v>160</v>
      </c>
      <c r="K79" s="99"/>
      <c r="L79" s="50"/>
      <c r="M79" s="50"/>
      <c r="P79" s="68"/>
    </row>
    <row r="80">
      <c r="A80" s="100">
        <v>8.88815966403E11</v>
      </c>
      <c r="B80" s="131" t="s">
        <v>207</v>
      </c>
      <c r="C80" s="100" t="s">
        <v>97</v>
      </c>
      <c r="D80" s="100">
        <v>1.0</v>
      </c>
      <c r="E80" s="119">
        <v>69.0</v>
      </c>
      <c r="F80" s="118">
        <f t="shared" si="12"/>
        <v>69</v>
      </c>
      <c r="G80" s="118">
        <f t="shared" si="13"/>
        <v>17.25</v>
      </c>
      <c r="H80" s="100" t="s">
        <v>206</v>
      </c>
      <c r="I80" s="1"/>
      <c r="J80" s="120" t="s">
        <v>160</v>
      </c>
      <c r="K80" s="99"/>
      <c r="L80" s="50"/>
      <c r="M80" s="50"/>
      <c r="P80" s="68"/>
    </row>
    <row r="81">
      <c r="A81" s="144" t="s">
        <v>208</v>
      </c>
      <c r="B81" s="145" t="s">
        <v>209</v>
      </c>
      <c r="C81" s="146"/>
      <c r="D81" s="146"/>
      <c r="E81" s="147"/>
      <c r="F81" s="147"/>
      <c r="G81" s="147"/>
      <c r="H81" s="148"/>
      <c r="I81" s="1"/>
      <c r="J81" s="120"/>
      <c r="K81" s="99"/>
      <c r="L81" s="50"/>
      <c r="M81" s="50"/>
      <c r="P81" s="68"/>
    </row>
    <row r="82">
      <c r="A82" s="134">
        <v>1.92648057567E11</v>
      </c>
      <c r="B82" s="131" t="s">
        <v>210</v>
      </c>
      <c r="C82" s="100" t="s">
        <v>97</v>
      </c>
      <c r="D82" s="100">
        <v>1.0</v>
      </c>
      <c r="E82" s="119">
        <v>855.0</v>
      </c>
      <c r="F82" s="118">
        <f t="shared" ref="F82:F86" si="14">E82*D82</f>
        <v>855</v>
      </c>
      <c r="G82" s="118">
        <f t="shared" ref="G82:G86" si="15">F82/4</f>
        <v>213.75</v>
      </c>
      <c r="H82" s="143" t="s">
        <v>211</v>
      </c>
      <c r="I82" s="1"/>
      <c r="J82" s="120" t="s">
        <v>160</v>
      </c>
      <c r="K82" s="99"/>
      <c r="L82" s="50"/>
      <c r="M82" s="50"/>
      <c r="P82" s="68"/>
    </row>
    <row r="83">
      <c r="A83" s="134">
        <v>1.92648063568E11</v>
      </c>
      <c r="B83" s="131" t="s">
        <v>212</v>
      </c>
      <c r="C83" s="100" t="s">
        <v>97</v>
      </c>
      <c r="D83" s="100">
        <v>1.0</v>
      </c>
      <c r="E83" s="119">
        <v>385.0</v>
      </c>
      <c r="F83" s="118">
        <f t="shared" si="14"/>
        <v>385</v>
      </c>
      <c r="G83" s="118">
        <f t="shared" si="15"/>
        <v>96.25</v>
      </c>
      <c r="H83" s="143" t="s">
        <v>211</v>
      </c>
      <c r="I83" s="1"/>
      <c r="J83" s="120" t="s">
        <v>160</v>
      </c>
      <c r="K83" s="99"/>
      <c r="L83" s="50"/>
      <c r="M83" s="50"/>
      <c r="P83" s="68"/>
    </row>
    <row r="84">
      <c r="A84" s="134">
        <v>7.24432815383E11</v>
      </c>
      <c r="B84" s="131" t="s">
        <v>213</v>
      </c>
      <c r="C84" s="100" t="s">
        <v>97</v>
      </c>
      <c r="D84" s="100">
        <v>1.0</v>
      </c>
      <c r="E84" s="119">
        <v>128.0</v>
      </c>
      <c r="F84" s="118">
        <f t="shared" si="14"/>
        <v>128</v>
      </c>
      <c r="G84" s="118">
        <f t="shared" si="15"/>
        <v>32</v>
      </c>
      <c r="H84" s="143" t="s">
        <v>214</v>
      </c>
      <c r="I84" s="1"/>
      <c r="J84" s="120" t="s">
        <v>160</v>
      </c>
      <c r="K84" s="99"/>
      <c r="L84" s="50"/>
      <c r="M84" s="50"/>
      <c r="P84" s="68"/>
    </row>
    <row r="85">
      <c r="A85" s="134">
        <v>8.84094027637E11</v>
      </c>
      <c r="B85" s="131" t="s">
        <v>215</v>
      </c>
      <c r="C85" s="100" t="s">
        <v>97</v>
      </c>
      <c r="D85" s="100">
        <v>1.0</v>
      </c>
      <c r="E85" s="119">
        <v>125.0</v>
      </c>
      <c r="F85" s="118">
        <f t="shared" si="14"/>
        <v>125</v>
      </c>
      <c r="G85" s="118">
        <f t="shared" si="15"/>
        <v>31.25</v>
      </c>
      <c r="H85" s="143" t="s">
        <v>198</v>
      </c>
      <c r="I85" s="1"/>
      <c r="J85" s="120" t="s">
        <v>160</v>
      </c>
      <c r="K85" s="99"/>
      <c r="L85" s="50"/>
      <c r="M85" s="50"/>
      <c r="P85" s="68"/>
    </row>
    <row r="86">
      <c r="A86" s="134">
        <v>8.84094075072E11</v>
      </c>
      <c r="B86" s="131" t="s">
        <v>216</v>
      </c>
      <c r="C86" s="100" t="s">
        <v>97</v>
      </c>
      <c r="D86" s="100">
        <v>1.0</v>
      </c>
      <c r="E86" s="119">
        <v>125.0</v>
      </c>
      <c r="F86" s="118">
        <f t="shared" si="14"/>
        <v>125</v>
      </c>
      <c r="G86" s="118">
        <f t="shared" si="15"/>
        <v>31.25</v>
      </c>
      <c r="H86" s="143" t="s">
        <v>198</v>
      </c>
      <c r="I86" s="1"/>
      <c r="J86" s="120" t="s">
        <v>160</v>
      </c>
      <c r="K86" s="99"/>
      <c r="L86" s="50"/>
      <c r="M86" s="50"/>
      <c r="P86" s="68"/>
    </row>
    <row r="87">
      <c r="A87" s="144" t="s">
        <v>217</v>
      </c>
      <c r="B87" s="145" t="s">
        <v>218</v>
      </c>
      <c r="C87" s="100"/>
      <c r="D87" s="100"/>
      <c r="E87" s="119"/>
      <c r="F87" s="119"/>
      <c r="G87" s="119"/>
      <c r="H87" s="143"/>
      <c r="I87" s="1"/>
      <c r="J87" s="120"/>
      <c r="K87" s="99"/>
      <c r="L87" s="50"/>
      <c r="M87" s="50"/>
      <c r="P87" s="68"/>
    </row>
    <row r="88">
      <c r="A88" s="149">
        <v>1.0026360381E10</v>
      </c>
      <c r="B88" s="131" t="s">
        <v>219</v>
      </c>
      <c r="C88" s="100" t="s">
        <v>97</v>
      </c>
      <c r="D88" s="100">
        <v>1.0</v>
      </c>
      <c r="E88" s="119"/>
      <c r="F88" s="119">
        <v>0.0</v>
      </c>
      <c r="G88" s="119">
        <v>0.0</v>
      </c>
      <c r="H88" s="143"/>
      <c r="I88" s="1" t="s">
        <v>220</v>
      </c>
      <c r="J88" s="120" t="s">
        <v>160</v>
      </c>
      <c r="K88" s="99"/>
      <c r="L88" s="50"/>
      <c r="M88" s="50"/>
      <c r="P88" s="68"/>
    </row>
    <row r="89">
      <c r="A89" s="149">
        <v>3.7882810649E10</v>
      </c>
      <c r="B89" s="131" t="s">
        <v>221</v>
      </c>
      <c r="C89" s="100" t="s">
        <v>97</v>
      </c>
      <c r="D89" s="100">
        <v>1.0</v>
      </c>
      <c r="E89" s="119">
        <v>36.0</v>
      </c>
      <c r="F89" s="118">
        <f t="shared" ref="F89:F90" si="16">E89*D89</f>
        <v>36</v>
      </c>
      <c r="G89" s="118">
        <f t="shared" ref="G89:G90" si="17">F89/4</f>
        <v>9</v>
      </c>
      <c r="H89" s="143" t="s">
        <v>222</v>
      </c>
      <c r="I89" s="1" t="s">
        <v>149</v>
      </c>
      <c r="J89" s="120" t="s">
        <v>160</v>
      </c>
      <c r="K89" s="99"/>
      <c r="L89" s="50"/>
      <c r="M89" s="50"/>
      <c r="P89" s="68"/>
    </row>
    <row r="90">
      <c r="A90" s="149">
        <v>3.7882810663E10</v>
      </c>
      <c r="B90" s="131" t="s">
        <v>223</v>
      </c>
      <c r="C90" s="100" t="s">
        <v>97</v>
      </c>
      <c r="D90" s="100">
        <v>1.0</v>
      </c>
      <c r="E90" s="119">
        <v>36.0</v>
      </c>
      <c r="F90" s="118">
        <f t="shared" si="16"/>
        <v>36</v>
      </c>
      <c r="G90" s="118">
        <f t="shared" si="17"/>
        <v>9</v>
      </c>
      <c r="H90" s="143" t="s">
        <v>222</v>
      </c>
      <c r="I90" s="1" t="s">
        <v>149</v>
      </c>
      <c r="J90" s="120" t="s">
        <v>160</v>
      </c>
      <c r="K90" s="99"/>
      <c r="L90" s="50"/>
      <c r="M90" s="50"/>
      <c r="P90" s="68"/>
    </row>
    <row r="91">
      <c r="A91" s="112" t="s">
        <v>224</v>
      </c>
      <c r="B91" s="112" t="s">
        <v>225</v>
      </c>
      <c r="C91" s="112" t="str">
        <f>MID($B91,6,7)</f>
        <v>LC18300</v>
      </c>
      <c r="D91" s="112"/>
      <c r="E91" s="112"/>
      <c r="F91" s="112"/>
      <c r="G91" s="112"/>
      <c r="H91" s="127">
        <v>44557.0</v>
      </c>
      <c r="I91" s="1"/>
      <c r="J91" s="108" t="str">
        <f>IF(LEFT(B91,3)="Box","BOX","COUNT")</f>
        <v>BOX</v>
      </c>
      <c r="K91" s="99">
        <f>SUMIF($J$4:$J$8712,$C91,$D$4:$D$8712)</f>
        <v>37</v>
      </c>
      <c r="L91" s="50">
        <f>SUMIF($J$4:$J$8712,$C91,$F$4:$F$8712)</f>
        <v>5245.48</v>
      </c>
      <c r="M91" s="50">
        <f>SUMIF($J$4:$J$8712,$C91,$G$4:$G$8712)</f>
        <v>1311.37</v>
      </c>
      <c r="N91" s="70" t="str">
        <f>C91</f>
        <v>LC18300</v>
      </c>
      <c r="O91" s="70" t="str">
        <f>J92</f>
        <v>SHIP</v>
      </c>
      <c r="P91" s="68">
        <f>M91</f>
        <v>1311.37</v>
      </c>
      <c r="Q91" s="114">
        <v>44483.0</v>
      </c>
      <c r="R91" s="37" t="s">
        <v>117</v>
      </c>
      <c r="S91" s="37" t="s">
        <v>118</v>
      </c>
    </row>
    <row r="92">
      <c r="A92" s="150"/>
      <c r="B92" s="112" t="s">
        <v>226</v>
      </c>
      <c r="C92" s="141"/>
      <c r="D92" s="141"/>
      <c r="E92" s="142"/>
      <c r="F92" s="142"/>
      <c r="G92" s="142"/>
      <c r="H92" s="141"/>
      <c r="I92" s="1"/>
      <c r="J92" s="108" t="str">
        <f>IF(B92="","NSHIP","SHIP")</f>
        <v>SHIP</v>
      </c>
      <c r="K92" s="99">
        <f>IF($J92="NSHIP",0,-SUMIF($J$4:$J$8712,$C91,$D$4:$D$8712))</f>
        <v>-37</v>
      </c>
      <c r="L92" s="50">
        <f>IF($J92="NSHIP",0,-SUMIF($J$4:$J$8710,$C91,$F$4:$F$8710))</f>
        <v>-5245.48</v>
      </c>
      <c r="M92" s="50">
        <f>IF($J92="NSHIP",0,-SUMIF($J$4:$J$8710,$C91,$G$4:$G$8710))</f>
        <v>-1311.37</v>
      </c>
      <c r="P92" s="68"/>
    </row>
    <row r="93">
      <c r="A93" s="95">
        <v>1.93277670271E11</v>
      </c>
      <c r="B93" s="151" t="s">
        <v>227</v>
      </c>
      <c r="C93" s="95" t="s">
        <v>97</v>
      </c>
      <c r="D93" s="95">
        <v>1.0</v>
      </c>
      <c r="E93" s="101">
        <v>215.0</v>
      </c>
      <c r="F93" s="97">
        <f t="shared" ref="F93:F120" si="18">E93*D93</f>
        <v>215</v>
      </c>
      <c r="G93" s="97">
        <f t="shared" ref="G93:G120" si="19">F93/4</f>
        <v>53.75</v>
      </c>
      <c r="H93" s="95" t="s">
        <v>228</v>
      </c>
      <c r="J93" s="120" t="s">
        <v>229</v>
      </c>
      <c r="K93" s="99"/>
      <c r="L93" s="50"/>
      <c r="M93" s="50"/>
      <c r="P93" s="68"/>
    </row>
    <row r="94">
      <c r="A94" s="95">
        <v>1.94540229103E11</v>
      </c>
      <c r="B94" s="151" t="s">
        <v>230</v>
      </c>
      <c r="C94" s="95" t="s">
        <v>97</v>
      </c>
      <c r="D94" s="95">
        <v>1.0</v>
      </c>
      <c r="E94" s="101">
        <v>125.0</v>
      </c>
      <c r="F94" s="97">
        <f t="shared" si="18"/>
        <v>125</v>
      </c>
      <c r="G94" s="97">
        <f t="shared" si="19"/>
        <v>31.25</v>
      </c>
      <c r="H94" s="95" t="s">
        <v>196</v>
      </c>
      <c r="J94" s="120" t="s">
        <v>229</v>
      </c>
      <c r="K94" s="99"/>
      <c r="L94" s="50"/>
      <c r="M94" s="50"/>
      <c r="P94" s="68"/>
    </row>
    <row r="95">
      <c r="A95" s="95">
        <v>1.95170005501E11</v>
      </c>
      <c r="B95" s="151" t="s">
        <v>231</v>
      </c>
      <c r="C95" s="95" t="s">
        <v>97</v>
      </c>
      <c r="D95" s="95">
        <v>1.0</v>
      </c>
      <c r="E95" s="101">
        <v>159.0</v>
      </c>
      <c r="F95" s="97">
        <f t="shared" si="18"/>
        <v>159</v>
      </c>
      <c r="G95" s="97">
        <f t="shared" si="19"/>
        <v>39.75</v>
      </c>
      <c r="H95" s="95" t="s">
        <v>171</v>
      </c>
      <c r="J95" s="120" t="s">
        <v>229</v>
      </c>
      <c r="K95" s="99"/>
      <c r="L95" s="50"/>
      <c r="M95" s="50"/>
      <c r="P95" s="68"/>
    </row>
    <row r="96">
      <c r="A96" s="95">
        <v>1.95170006027E11</v>
      </c>
      <c r="B96" s="151" t="s">
        <v>232</v>
      </c>
      <c r="C96" s="95" t="s">
        <v>97</v>
      </c>
      <c r="D96" s="95">
        <v>1.0</v>
      </c>
      <c r="E96" s="101">
        <v>149.0</v>
      </c>
      <c r="F96" s="97">
        <f t="shared" si="18"/>
        <v>149</v>
      </c>
      <c r="G96" s="97">
        <f t="shared" si="19"/>
        <v>37.25</v>
      </c>
      <c r="H96" s="95" t="s">
        <v>171</v>
      </c>
      <c r="J96" s="120" t="s">
        <v>229</v>
      </c>
      <c r="K96" s="99"/>
      <c r="L96" s="50"/>
      <c r="M96" s="50"/>
      <c r="P96" s="68"/>
    </row>
    <row r="97">
      <c r="A97" s="95">
        <v>6.8943910286E11</v>
      </c>
      <c r="B97" s="151" t="s">
        <v>233</v>
      </c>
      <c r="C97" s="95" t="s">
        <v>97</v>
      </c>
      <c r="D97" s="95">
        <v>1.0</v>
      </c>
      <c r="E97" s="101">
        <v>20.93</v>
      </c>
      <c r="F97" s="97">
        <f t="shared" si="18"/>
        <v>20.93</v>
      </c>
      <c r="G97" s="97">
        <f t="shared" si="19"/>
        <v>5.2325</v>
      </c>
      <c r="H97" s="95" t="s">
        <v>234</v>
      </c>
      <c r="J97" s="120" t="s">
        <v>229</v>
      </c>
      <c r="K97" s="99"/>
      <c r="L97" s="50"/>
      <c r="M97" s="50"/>
      <c r="P97" s="68"/>
    </row>
    <row r="98">
      <c r="A98" s="95">
        <v>7.91841023821E11</v>
      </c>
      <c r="B98" s="151" t="s">
        <v>235</v>
      </c>
      <c r="C98" s="95" t="s">
        <v>97</v>
      </c>
      <c r="D98" s="95">
        <v>1.0</v>
      </c>
      <c r="E98" s="101">
        <v>40.99</v>
      </c>
      <c r="F98" s="97">
        <f t="shared" si="18"/>
        <v>40.99</v>
      </c>
      <c r="G98" s="97">
        <f t="shared" si="19"/>
        <v>10.2475</v>
      </c>
      <c r="H98" s="95" t="s">
        <v>236</v>
      </c>
      <c r="J98" s="120" t="s">
        <v>229</v>
      </c>
      <c r="K98" s="99"/>
      <c r="L98" s="50"/>
      <c r="M98" s="50"/>
      <c r="P98" s="68"/>
    </row>
    <row r="99">
      <c r="A99" s="95">
        <v>7.91841034865E11</v>
      </c>
      <c r="B99" s="151" t="s">
        <v>237</v>
      </c>
      <c r="C99" s="95" t="s">
        <v>97</v>
      </c>
      <c r="D99" s="95">
        <v>1.0</v>
      </c>
      <c r="E99" s="101">
        <v>59.0</v>
      </c>
      <c r="F99" s="97">
        <f t="shared" si="18"/>
        <v>59</v>
      </c>
      <c r="G99" s="97">
        <f t="shared" si="19"/>
        <v>14.75</v>
      </c>
      <c r="H99" s="95" t="s">
        <v>238</v>
      </c>
      <c r="J99" s="120" t="s">
        <v>229</v>
      </c>
      <c r="K99" s="99"/>
      <c r="L99" s="50"/>
      <c r="M99" s="50"/>
      <c r="P99" s="68"/>
    </row>
    <row r="100">
      <c r="A100" s="95">
        <v>7.91841034872E11</v>
      </c>
      <c r="B100" s="151" t="s">
        <v>239</v>
      </c>
      <c r="C100" s="95" t="s">
        <v>97</v>
      </c>
      <c r="D100" s="95">
        <v>1.0</v>
      </c>
      <c r="E100" s="101">
        <v>59.0</v>
      </c>
      <c r="F100" s="97">
        <f t="shared" si="18"/>
        <v>59</v>
      </c>
      <c r="G100" s="97">
        <f t="shared" si="19"/>
        <v>14.75</v>
      </c>
      <c r="H100" s="95" t="s">
        <v>238</v>
      </c>
      <c r="J100" s="120" t="s">
        <v>229</v>
      </c>
      <c r="K100" s="99"/>
      <c r="L100" s="50"/>
      <c r="M100" s="50"/>
      <c r="P100" s="68"/>
    </row>
    <row r="101">
      <c r="A101" s="95">
        <v>7.91841043188E11</v>
      </c>
      <c r="B101" s="151" t="s">
        <v>240</v>
      </c>
      <c r="C101" s="95" t="s">
        <v>97</v>
      </c>
      <c r="D101" s="95">
        <v>2.0</v>
      </c>
      <c r="E101" s="101">
        <v>59.0</v>
      </c>
      <c r="F101" s="97">
        <f t="shared" si="18"/>
        <v>118</v>
      </c>
      <c r="G101" s="97">
        <f t="shared" si="19"/>
        <v>29.5</v>
      </c>
      <c r="H101" s="95" t="s">
        <v>238</v>
      </c>
      <c r="J101" s="120" t="s">
        <v>229</v>
      </c>
      <c r="K101" s="99"/>
      <c r="L101" s="50"/>
      <c r="M101" s="50"/>
      <c r="P101" s="68"/>
    </row>
    <row r="102">
      <c r="A102" s="95">
        <v>7.91841043195E11</v>
      </c>
      <c r="B102" s="151" t="s">
        <v>241</v>
      </c>
      <c r="C102" s="95" t="s">
        <v>97</v>
      </c>
      <c r="D102" s="95">
        <v>2.0</v>
      </c>
      <c r="E102" s="101">
        <v>59.0</v>
      </c>
      <c r="F102" s="97">
        <f t="shared" si="18"/>
        <v>118</v>
      </c>
      <c r="G102" s="97">
        <f t="shared" si="19"/>
        <v>29.5</v>
      </c>
      <c r="H102" s="95" t="s">
        <v>238</v>
      </c>
      <c r="J102" s="120" t="s">
        <v>229</v>
      </c>
      <c r="K102" s="99"/>
      <c r="L102" s="50"/>
      <c r="M102" s="50"/>
      <c r="P102" s="68"/>
    </row>
    <row r="103">
      <c r="A103" s="95">
        <v>7.91841043201E11</v>
      </c>
      <c r="B103" s="151" t="s">
        <v>242</v>
      </c>
      <c r="C103" s="95" t="s">
        <v>97</v>
      </c>
      <c r="D103" s="95">
        <v>2.0</v>
      </c>
      <c r="E103" s="101">
        <v>59.0</v>
      </c>
      <c r="F103" s="97">
        <f t="shared" si="18"/>
        <v>118</v>
      </c>
      <c r="G103" s="97">
        <f t="shared" si="19"/>
        <v>29.5</v>
      </c>
      <c r="H103" s="95" t="s">
        <v>238</v>
      </c>
      <c r="J103" s="120" t="s">
        <v>229</v>
      </c>
      <c r="K103" s="99"/>
      <c r="L103" s="50"/>
      <c r="M103" s="50"/>
      <c r="P103" s="68"/>
    </row>
    <row r="104">
      <c r="A104" s="95">
        <v>7.91841047025E11</v>
      </c>
      <c r="B104" s="151" t="s">
        <v>243</v>
      </c>
      <c r="C104" s="95" t="s">
        <v>97</v>
      </c>
      <c r="D104" s="95">
        <v>1.0</v>
      </c>
      <c r="E104" s="101">
        <v>59.0</v>
      </c>
      <c r="F104" s="97">
        <f t="shared" si="18"/>
        <v>59</v>
      </c>
      <c r="G104" s="97">
        <f t="shared" si="19"/>
        <v>14.75</v>
      </c>
      <c r="H104" s="95" t="s">
        <v>236</v>
      </c>
      <c r="J104" s="120" t="s">
        <v>229</v>
      </c>
      <c r="K104" s="99"/>
      <c r="L104" s="50"/>
      <c r="M104" s="50"/>
      <c r="P104" s="68"/>
    </row>
    <row r="105">
      <c r="A105" s="95">
        <v>7.9184104707E11</v>
      </c>
      <c r="B105" s="151" t="s">
        <v>244</v>
      </c>
      <c r="C105" s="95" t="s">
        <v>97</v>
      </c>
      <c r="D105" s="95">
        <v>1.0</v>
      </c>
      <c r="E105" s="101">
        <v>59.0</v>
      </c>
      <c r="F105" s="97">
        <f t="shared" si="18"/>
        <v>59</v>
      </c>
      <c r="G105" s="97">
        <f t="shared" si="19"/>
        <v>14.75</v>
      </c>
      <c r="H105" s="95" t="s">
        <v>236</v>
      </c>
      <c r="J105" s="120" t="s">
        <v>229</v>
      </c>
      <c r="K105" s="99"/>
      <c r="L105" s="50"/>
      <c r="M105" s="50"/>
      <c r="P105" s="68"/>
    </row>
    <row r="106">
      <c r="A106" s="95">
        <v>7.91841114185E11</v>
      </c>
      <c r="B106" s="151" t="s">
        <v>245</v>
      </c>
      <c r="C106" s="95" t="s">
        <v>97</v>
      </c>
      <c r="D106" s="95">
        <v>1.0</v>
      </c>
      <c r="E106" s="101">
        <v>40.99</v>
      </c>
      <c r="F106" s="97">
        <f t="shared" si="18"/>
        <v>40.99</v>
      </c>
      <c r="G106" s="97">
        <f t="shared" si="19"/>
        <v>10.2475</v>
      </c>
      <c r="H106" s="95" t="s">
        <v>236</v>
      </c>
      <c r="J106" s="120" t="s">
        <v>229</v>
      </c>
      <c r="K106" s="99"/>
      <c r="L106" s="50"/>
      <c r="M106" s="50"/>
      <c r="P106" s="68"/>
    </row>
    <row r="107">
      <c r="A107" s="95">
        <v>7.91841114208E11</v>
      </c>
      <c r="B107" s="151" t="s">
        <v>246</v>
      </c>
      <c r="C107" s="95" t="s">
        <v>97</v>
      </c>
      <c r="D107" s="95">
        <v>1.0</v>
      </c>
      <c r="E107" s="101">
        <v>40.99</v>
      </c>
      <c r="F107" s="97">
        <f t="shared" si="18"/>
        <v>40.99</v>
      </c>
      <c r="G107" s="97">
        <f t="shared" si="19"/>
        <v>10.2475</v>
      </c>
      <c r="H107" s="95" t="s">
        <v>236</v>
      </c>
      <c r="J107" s="120" t="s">
        <v>229</v>
      </c>
      <c r="K107" s="99"/>
      <c r="L107" s="50"/>
      <c r="M107" s="50"/>
      <c r="P107" s="68"/>
    </row>
    <row r="108">
      <c r="A108" s="95">
        <v>7.91841142393E11</v>
      </c>
      <c r="B108" s="151" t="s">
        <v>247</v>
      </c>
      <c r="C108" s="95" t="s">
        <v>97</v>
      </c>
      <c r="D108" s="95">
        <v>1.0</v>
      </c>
      <c r="E108" s="101">
        <v>49.99</v>
      </c>
      <c r="F108" s="97">
        <f t="shared" si="18"/>
        <v>49.99</v>
      </c>
      <c r="G108" s="97">
        <f t="shared" si="19"/>
        <v>12.4975</v>
      </c>
      <c r="H108" s="95" t="s">
        <v>236</v>
      </c>
      <c r="J108" s="120" t="s">
        <v>229</v>
      </c>
      <c r="K108" s="99"/>
      <c r="L108" s="50"/>
      <c r="M108" s="50"/>
      <c r="P108" s="68"/>
    </row>
    <row r="109">
      <c r="A109" s="95">
        <v>7.91841174585E11</v>
      </c>
      <c r="B109" s="151" t="s">
        <v>248</v>
      </c>
      <c r="C109" s="95" t="s">
        <v>97</v>
      </c>
      <c r="D109" s="95">
        <v>1.0</v>
      </c>
      <c r="E109" s="101">
        <v>79.0</v>
      </c>
      <c r="F109" s="97">
        <f t="shared" si="18"/>
        <v>79</v>
      </c>
      <c r="G109" s="97">
        <f t="shared" si="19"/>
        <v>19.75</v>
      </c>
      <c r="H109" s="95" t="s">
        <v>236</v>
      </c>
      <c r="J109" s="120" t="s">
        <v>229</v>
      </c>
      <c r="K109" s="99"/>
      <c r="L109" s="50"/>
      <c r="M109" s="50"/>
      <c r="P109" s="68"/>
    </row>
    <row r="110">
      <c r="A110" s="95">
        <v>8.8380603554E11</v>
      </c>
      <c r="B110" s="151" t="s">
        <v>249</v>
      </c>
      <c r="C110" s="95" t="s">
        <v>97</v>
      </c>
      <c r="D110" s="95">
        <v>1.0</v>
      </c>
      <c r="E110" s="101">
        <v>185.0</v>
      </c>
      <c r="F110" s="97">
        <f t="shared" si="18"/>
        <v>185</v>
      </c>
      <c r="G110" s="97">
        <f t="shared" si="19"/>
        <v>46.25</v>
      </c>
      <c r="H110" s="95" t="s">
        <v>198</v>
      </c>
      <c r="J110" s="120" t="s">
        <v>229</v>
      </c>
      <c r="K110" s="99"/>
      <c r="L110" s="50"/>
      <c r="M110" s="50"/>
      <c r="P110" s="68"/>
    </row>
    <row r="111">
      <c r="A111" s="95">
        <v>8.83806035595E11</v>
      </c>
      <c r="B111" s="151" t="s">
        <v>250</v>
      </c>
      <c r="C111" s="95" t="s">
        <v>97</v>
      </c>
      <c r="D111" s="95">
        <v>1.0</v>
      </c>
      <c r="E111" s="101">
        <v>185.0</v>
      </c>
      <c r="F111" s="97">
        <f t="shared" si="18"/>
        <v>185</v>
      </c>
      <c r="G111" s="97">
        <f t="shared" si="19"/>
        <v>46.25</v>
      </c>
      <c r="H111" s="95" t="s">
        <v>196</v>
      </c>
      <c r="J111" s="120" t="s">
        <v>229</v>
      </c>
      <c r="K111" s="99"/>
      <c r="L111" s="50"/>
      <c r="M111" s="50"/>
      <c r="P111" s="68"/>
    </row>
    <row r="112">
      <c r="A112" s="95">
        <v>8.8380625459E11</v>
      </c>
      <c r="B112" s="151" t="s">
        <v>251</v>
      </c>
      <c r="C112" s="95" t="s">
        <v>97</v>
      </c>
      <c r="D112" s="95">
        <v>1.0</v>
      </c>
      <c r="E112" s="101">
        <v>175.0</v>
      </c>
      <c r="F112" s="97">
        <f t="shared" si="18"/>
        <v>175</v>
      </c>
      <c r="G112" s="97">
        <f t="shared" si="19"/>
        <v>43.75</v>
      </c>
      <c r="H112" s="95" t="s">
        <v>198</v>
      </c>
      <c r="J112" s="120" t="s">
        <v>229</v>
      </c>
      <c r="K112" s="99"/>
      <c r="L112" s="50"/>
      <c r="M112" s="50"/>
      <c r="P112" s="68"/>
    </row>
    <row r="113">
      <c r="A113" s="95">
        <v>8.840942481E11</v>
      </c>
      <c r="B113" s="151" t="s">
        <v>252</v>
      </c>
      <c r="C113" s="95" t="s">
        <v>97</v>
      </c>
      <c r="D113" s="95">
        <v>1.0</v>
      </c>
      <c r="E113" s="101">
        <v>145.0</v>
      </c>
      <c r="F113" s="97">
        <f t="shared" si="18"/>
        <v>145</v>
      </c>
      <c r="G113" s="97">
        <f t="shared" si="19"/>
        <v>36.25</v>
      </c>
      <c r="H113" s="95" t="s">
        <v>198</v>
      </c>
      <c r="J113" s="120" t="s">
        <v>229</v>
      </c>
      <c r="K113" s="99"/>
      <c r="L113" s="50"/>
      <c r="M113" s="50"/>
      <c r="P113" s="68"/>
    </row>
    <row r="114">
      <c r="A114" s="95">
        <v>8.84094262069E11</v>
      </c>
      <c r="B114" s="151" t="s">
        <v>253</v>
      </c>
      <c r="C114" s="95" t="s">
        <v>97</v>
      </c>
      <c r="D114" s="95">
        <v>1.0</v>
      </c>
      <c r="E114" s="101">
        <v>175.0</v>
      </c>
      <c r="F114" s="97">
        <f t="shared" si="18"/>
        <v>175</v>
      </c>
      <c r="G114" s="97">
        <f t="shared" si="19"/>
        <v>43.75</v>
      </c>
      <c r="H114" s="95" t="s">
        <v>198</v>
      </c>
      <c r="J114" s="120" t="s">
        <v>229</v>
      </c>
      <c r="K114" s="99"/>
      <c r="L114" s="50"/>
      <c r="M114" s="50"/>
      <c r="P114" s="68"/>
    </row>
    <row r="115">
      <c r="A115" s="95">
        <v>8.84094540327E11</v>
      </c>
      <c r="B115" s="151" t="s">
        <v>254</v>
      </c>
      <c r="C115" s="95" t="s">
        <v>97</v>
      </c>
      <c r="D115" s="95">
        <v>1.0</v>
      </c>
      <c r="E115" s="101">
        <v>145.0</v>
      </c>
      <c r="F115" s="97">
        <f t="shared" si="18"/>
        <v>145</v>
      </c>
      <c r="G115" s="97">
        <f t="shared" si="19"/>
        <v>36.25</v>
      </c>
      <c r="H115" s="95" t="s">
        <v>196</v>
      </c>
      <c r="J115" s="120" t="s">
        <v>229</v>
      </c>
      <c r="K115" s="99"/>
      <c r="L115" s="50"/>
      <c r="M115" s="50"/>
      <c r="P115" s="68"/>
    </row>
    <row r="116">
      <c r="A116" s="95">
        <v>8.84094540389E11</v>
      </c>
      <c r="B116" s="151" t="s">
        <v>255</v>
      </c>
      <c r="C116" s="95" t="s">
        <v>97</v>
      </c>
      <c r="D116" s="95">
        <v>1.0</v>
      </c>
      <c r="E116" s="101">
        <v>145.0</v>
      </c>
      <c r="F116" s="97">
        <f t="shared" si="18"/>
        <v>145</v>
      </c>
      <c r="G116" s="97">
        <f t="shared" si="19"/>
        <v>36.25</v>
      </c>
      <c r="H116" s="95" t="s">
        <v>198</v>
      </c>
      <c r="J116" s="120" t="s">
        <v>229</v>
      </c>
      <c r="K116" s="99"/>
      <c r="L116" s="50"/>
      <c r="M116" s="50"/>
      <c r="P116" s="68"/>
    </row>
    <row r="117">
      <c r="A117" s="95">
        <v>8.8654286036E11</v>
      </c>
      <c r="B117" s="151" t="s">
        <v>256</v>
      </c>
      <c r="C117" s="95" t="s">
        <v>97</v>
      </c>
      <c r="D117" s="95">
        <v>1.0</v>
      </c>
      <c r="E117" s="101">
        <v>59.0</v>
      </c>
      <c r="F117" s="97">
        <f t="shared" si="18"/>
        <v>59</v>
      </c>
      <c r="G117" s="97">
        <f t="shared" si="19"/>
        <v>14.75</v>
      </c>
      <c r="H117" s="95" t="s">
        <v>238</v>
      </c>
      <c r="J117" s="120" t="s">
        <v>229</v>
      </c>
      <c r="K117" s="99"/>
      <c r="L117" s="50"/>
      <c r="M117" s="50"/>
      <c r="P117" s="68"/>
    </row>
    <row r="118">
      <c r="A118" s="95">
        <v>8.86542860377E11</v>
      </c>
      <c r="B118" s="151" t="s">
        <v>257</v>
      </c>
      <c r="C118" s="95" t="s">
        <v>97</v>
      </c>
      <c r="D118" s="95">
        <v>1.0</v>
      </c>
      <c r="E118" s="101">
        <v>59.0</v>
      </c>
      <c r="F118" s="97">
        <f t="shared" si="18"/>
        <v>59</v>
      </c>
      <c r="G118" s="97">
        <f t="shared" si="19"/>
        <v>14.75</v>
      </c>
      <c r="H118" s="95" t="s">
        <v>238</v>
      </c>
      <c r="J118" s="120" t="s">
        <v>229</v>
      </c>
      <c r="K118" s="99"/>
      <c r="L118" s="50"/>
      <c r="M118" s="50"/>
      <c r="P118" s="68"/>
    </row>
    <row r="119">
      <c r="A119" s="95">
        <v>8.86542860421E11</v>
      </c>
      <c r="B119" s="151" t="s">
        <v>258</v>
      </c>
      <c r="C119" s="95" t="s">
        <v>97</v>
      </c>
      <c r="D119" s="95">
        <v>2.0</v>
      </c>
      <c r="E119" s="101">
        <v>59.0</v>
      </c>
      <c r="F119" s="97">
        <f t="shared" si="18"/>
        <v>118</v>
      </c>
      <c r="G119" s="97">
        <f t="shared" si="19"/>
        <v>29.5</v>
      </c>
      <c r="H119" s="95" t="s">
        <v>238</v>
      </c>
      <c r="J119" s="120" t="s">
        <v>229</v>
      </c>
      <c r="K119" s="99"/>
      <c r="L119" s="50"/>
      <c r="M119" s="50"/>
      <c r="P119" s="68"/>
    </row>
    <row r="120">
      <c r="A120" s="95">
        <v>8.86542997301E11</v>
      </c>
      <c r="B120" s="151" t="s">
        <v>259</v>
      </c>
      <c r="C120" s="95" t="s">
        <v>97</v>
      </c>
      <c r="D120" s="95">
        <v>1.0</v>
      </c>
      <c r="E120" s="101">
        <v>59.0</v>
      </c>
      <c r="F120" s="97">
        <f t="shared" si="18"/>
        <v>59</v>
      </c>
      <c r="G120" s="97">
        <f t="shared" si="19"/>
        <v>14.75</v>
      </c>
      <c r="H120" s="95" t="s">
        <v>238</v>
      </c>
      <c r="J120" s="120" t="s">
        <v>229</v>
      </c>
      <c r="K120" s="99"/>
      <c r="L120" s="50"/>
      <c r="M120" s="50"/>
      <c r="P120" s="68"/>
    </row>
    <row r="121">
      <c r="A121" s="152" t="s">
        <v>260</v>
      </c>
      <c r="B121" s="122" t="s">
        <v>261</v>
      </c>
      <c r="C121" s="153"/>
      <c r="D121" s="154"/>
      <c r="E121" s="154"/>
      <c r="F121" s="154"/>
      <c r="G121" s="154"/>
      <c r="H121" s="155"/>
      <c r="I121" s="98"/>
      <c r="J121" s="156"/>
      <c r="K121" s="157"/>
      <c r="L121" s="158"/>
      <c r="M121" s="158"/>
      <c r="N121" s="98"/>
      <c r="O121" s="98"/>
      <c r="P121" s="6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09">
        <v>1.93371331931E11</v>
      </c>
      <c r="B122" s="151" t="s">
        <v>262</v>
      </c>
      <c r="C122" s="95" t="s">
        <v>97</v>
      </c>
      <c r="D122" s="95">
        <v>1.0</v>
      </c>
      <c r="E122" s="101">
        <v>98.0</v>
      </c>
      <c r="F122" s="97">
        <f t="shared" ref="F122:F123" si="20">E122*D122</f>
        <v>98</v>
      </c>
      <c r="G122" s="97">
        <f t="shared" ref="G122:G123" si="21">F122/4</f>
        <v>24.5</v>
      </c>
      <c r="H122" s="95" t="s">
        <v>263</v>
      </c>
      <c r="J122" s="120" t="s">
        <v>229</v>
      </c>
      <c r="K122" s="99"/>
      <c r="L122" s="50"/>
      <c r="M122" s="50"/>
      <c r="P122" s="68"/>
    </row>
    <row r="123">
      <c r="A123" s="109">
        <v>1.92648111412E11</v>
      </c>
      <c r="B123" s="151" t="s">
        <v>264</v>
      </c>
      <c r="C123" s="95" t="s">
        <v>97</v>
      </c>
      <c r="D123" s="95">
        <v>1.0</v>
      </c>
      <c r="E123" s="101">
        <v>395.0</v>
      </c>
      <c r="F123" s="97">
        <f t="shared" si="20"/>
        <v>395</v>
      </c>
      <c r="G123" s="97">
        <f t="shared" si="21"/>
        <v>98.75</v>
      </c>
      <c r="H123" s="95" t="s">
        <v>211</v>
      </c>
      <c r="J123" s="120" t="s">
        <v>229</v>
      </c>
      <c r="K123" s="99"/>
      <c r="L123" s="50"/>
      <c r="M123" s="50"/>
      <c r="P123" s="68"/>
    </row>
    <row r="124">
      <c r="A124" s="152" t="s">
        <v>265</v>
      </c>
      <c r="B124" s="122" t="s">
        <v>266</v>
      </c>
      <c r="C124" s="153"/>
      <c r="D124" s="154"/>
      <c r="E124" s="154"/>
      <c r="F124" s="154"/>
      <c r="G124" s="154"/>
      <c r="H124" s="155"/>
      <c r="I124" s="98"/>
      <c r="J124" s="156"/>
      <c r="K124" s="157"/>
      <c r="L124" s="158"/>
      <c r="M124" s="158"/>
      <c r="N124" s="98"/>
      <c r="O124" s="98"/>
      <c r="P124" s="6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1" t="s">
        <v>267</v>
      </c>
      <c r="B125" s="111" t="s">
        <v>268</v>
      </c>
      <c r="C125" s="112" t="str">
        <f>MID($B125,6,7)</f>
        <v>LC18301</v>
      </c>
      <c r="D125" s="111"/>
      <c r="E125" s="111"/>
      <c r="F125" s="111"/>
      <c r="G125" s="111"/>
      <c r="H125" s="113">
        <v>44557.0</v>
      </c>
      <c r="I125" s="159"/>
      <c r="J125" s="160" t="str">
        <f>IF(LEFT(B125,3)="Box","BOX","COUNT")</f>
        <v>BOX</v>
      </c>
      <c r="K125" s="161">
        <f>SUMIF($J$4:$J$8712,$C125,$D$4:$D$8712)</f>
        <v>34</v>
      </c>
      <c r="L125" s="162">
        <f>SUMIF($J$4:$J$8712,$C125,$F$4:$F$8712)</f>
        <v>3453.89</v>
      </c>
      <c r="M125" s="162">
        <f>SUMIF($J$4:$J$8712,$C125,$G$4:$G$8712)</f>
        <v>863.4725</v>
      </c>
      <c r="N125" s="159" t="str">
        <f>C125</f>
        <v>LC18301</v>
      </c>
      <c r="O125" s="159" t="str">
        <f>J126</f>
        <v>SHIP</v>
      </c>
      <c r="P125" s="68">
        <f>M125</f>
        <v>863.4725</v>
      </c>
      <c r="Q125" s="114">
        <v>44483.0</v>
      </c>
      <c r="R125" s="37" t="s">
        <v>117</v>
      </c>
      <c r="S125" s="37" t="s">
        <v>118</v>
      </c>
      <c r="T125" s="159"/>
      <c r="U125" s="159"/>
      <c r="V125" s="159"/>
      <c r="W125" s="159"/>
      <c r="X125" s="159"/>
      <c r="Y125" s="159"/>
      <c r="Z125" s="159"/>
    </row>
    <row r="126">
      <c r="A126" s="163"/>
      <c r="B126" s="111" t="s">
        <v>269</v>
      </c>
      <c r="C126" s="109"/>
      <c r="D126" s="109"/>
      <c r="E126" s="116"/>
      <c r="F126" s="116"/>
      <c r="G126" s="116"/>
      <c r="H126" s="109"/>
      <c r="J126" s="108" t="str">
        <f>IF(B126="","NSHIP","SHIP")</f>
        <v>SHIP</v>
      </c>
      <c r="K126" s="99">
        <f>IF($J126="NSHIP",0,-SUMIF($J$4:$J$8712,$C125,$D$4:$D$8712))</f>
        <v>-34</v>
      </c>
      <c r="L126" s="50">
        <f>IF($J126="NSHIP",0,-SUMIF($J$4:$J$8710,$C125,$F$4:$F$8710))</f>
        <v>-3453.89</v>
      </c>
      <c r="M126" s="50">
        <f>IF($J126="NSHIP",0,-SUMIF($J$4:$J$8710,$C125,$G$4:$G$8710))</f>
        <v>-863.4725</v>
      </c>
      <c r="P126" s="68"/>
    </row>
    <row r="127">
      <c r="A127" s="95">
        <v>1.91797050573E11</v>
      </c>
      <c r="B127" s="164" t="s">
        <v>270</v>
      </c>
      <c r="C127" s="95" t="s">
        <v>97</v>
      </c>
      <c r="D127" s="95">
        <v>1.0</v>
      </c>
      <c r="E127" s="101">
        <v>89.98</v>
      </c>
      <c r="F127" s="97">
        <f t="shared" ref="F127:F150" si="22">E127*D127</f>
        <v>89.98</v>
      </c>
      <c r="G127" s="97">
        <f t="shared" ref="G127:G150" si="23">F127/4</f>
        <v>22.495</v>
      </c>
      <c r="H127" s="95" t="s">
        <v>271</v>
      </c>
      <c r="J127" s="120" t="s">
        <v>272</v>
      </c>
      <c r="K127" s="99"/>
      <c r="L127" s="50"/>
      <c r="M127" s="50"/>
      <c r="P127" s="68"/>
    </row>
    <row r="128">
      <c r="A128" s="95">
        <v>1.91855495414E11</v>
      </c>
      <c r="B128" s="131" t="s">
        <v>273</v>
      </c>
      <c r="C128" s="95" t="s">
        <v>97</v>
      </c>
      <c r="D128" s="95">
        <v>1.0</v>
      </c>
      <c r="E128" s="101">
        <v>248.0</v>
      </c>
      <c r="F128" s="97">
        <f t="shared" si="22"/>
        <v>248</v>
      </c>
      <c r="G128" s="97">
        <f t="shared" si="23"/>
        <v>62</v>
      </c>
      <c r="H128" s="95" t="s">
        <v>274</v>
      </c>
      <c r="J128" s="120" t="s">
        <v>272</v>
      </c>
      <c r="K128" s="99"/>
      <c r="L128" s="50"/>
      <c r="M128" s="50"/>
      <c r="P128" s="68"/>
    </row>
    <row r="129">
      <c r="A129" s="95">
        <v>1.91855546994E11</v>
      </c>
      <c r="B129" s="131" t="s">
        <v>275</v>
      </c>
      <c r="C129" s="95" t="s">
        <v>97</v>
      </c>
      <c r="D129" s="95">
        <v>1.0</v>
      </c>
      <c r="E129" s="101">
        <v>368.0</v>
      </c>
      <c r="F129" s="97">
        <f t="shared" si="22"/>
        <v>368</v>
      </c>
      <c r="G129" s="97">
        <f t="shared" si="23"/>
        <v>92</v>
      </c>
      <c r="H129" s="95" t="s">
        <v>274</v>
      </c>
      <c r="J129" s="120" t="s">
        <v>272</v>
      </c>
      <c r="K129" s="99"/>
      <c r="L129" s="50"/>
      <c r="M129" s="50"/>
      <c r="P129" s="68"/>
    </row>
    <row r="130">
      <c r="A130" s="95">
        <v>1.91855567616E11</v>
      </c>
      <c r="B130" s="131" t="s">
        <v>276</v>
      </c>
      <c r="C130" s="95" t="s">
        <v>97</v>
      </c>
      <c r="D130" s="95">
        <v>1.0</v>
      </c>
      <c r="E130" s="101">
        <v>198.0</v>
      </c>
      <c r="F130" s="97">
        <f t="shared" si="22"/>
        <v>198</v>
      </c>
      <c r="G130" s="97">
        <f t="shared" si="23"/>
        <v>49.5</v>
      </c>
      <c r="H130" s="95" t="s">
        <v>274</v>
      </c>
      <c r="J130" s="120" t="s">
        <v>272</v>
      </c>
      <c r="K130" s="99"/>
      <c r="L130" s="50"/>
      <c r="M130" s="50"/>
      <c r="P130" s="68"/>
    </row>
    <row r="131">
      <c r="A131" s="95">
        <v>1.92351067303E11</v>
      </c>
      <c r="B131" s="131" t="s">
        <v>277</v>
      </c>
      <c r="C131" s="95" t="s">
        <v>97</v>
      </c>
      <c r="D131" s="95">
        <v>1.0</v>
      </c>
      <c r="E131" s="101">
        <v>89.98</v>
      </c>
      <c r="F131" s="97">
        <f t="shared" si="22"/>
        <v>89.98</v>
      </c>
      <c r="G131" s="97">
        <f t="shared" si="23"/>
        <v>22.495</v>
      </c>
      <c r="H131" s="95" t="s">
        <v>271</v>
      </c>
      <c r="J131" s="120" t="s">
        <v>272</v>
      </c>
      <c r="K131" s="99"/>
      <c r="L131" s="50"/>
      <c r="M131" s="50"/>
      <c r="P131" s="68"/>
    </row>
    <row r="132">
      <c r="A132" s="95">
        <v>1.93623428303E11</v>
      </c>
      <c r="B132" s="131" t="s">
        <v>278</v>
      </c>
      <c r="C132" s="95" t="s">
        <v>97</v>
      </c>
      <c r="D132" s="95">
        <v>1.0</v>
      </c>
      <c r="E132" s="101">
        <v>199.0</v>
      </c>
      <c r="F132" s="97">
        <f t="shared" si="22"/>
        <v>199</v>
      </c>
      <c r="G132" s="97">
        <f t="shared" si="23"/>
        <v>49.75</v>
      </c>
      <c r="H132" s="95" t="s">
        <v>279</v>
      </c>
      <c r="J132" s="120" t="s">
        <v>272</v>
      </c>
      <c r="K132" s="99"/>
      <c r="L132" s="50"/>
      <c r="M132" s="50"/>
      <c r="P132" s="68"/>
    </row>
    <row r="133">
      <c r="A133" s="95">
        <v>1.93623436179E11</v>
      </c>
      <c r="B133" s="131" t="s">
        <v>280</v>
      </c>
      <c r="C133" s="95" t="s">
        <v>97</v>
      </c>
      <c r="D133" s="95">
        <v>1.0</v>
      </c>
      <c r="E133" s="101">
        <v>339.0</v>
      </c>
      <c r="F133" s="97">
        <f t="shared" si="22"/>
        <v>339</v>
      </c>
      <c r="G133" s="97">
        <f t="shared" si="23"/>
        <v>84.75</v>
      </c>
      <c r="H133" s="95" t="s">
        <v>271</v>
      </c>
      <c r="J133" s="120" t="s">
        <v>272</v>
      </c>
      <c r="K133" s="99"/>
      <c r="L133" s="50"/>
      <c r="M133" s="50"/>
      <c r="P133" s="68"/>
    </row>
    <row r="134">
      <c r="A134" s="95">
        <v>1.94414138845E11</v>
      </c>
      <c r="B134" s="131" t="s">
        <v>281</v>
      </c>
      <c r="C134" s="95" t="s">
        <v>97</v>
      </c>
      <c r="D134" s="95">
        <v>1.0</v>
      </c>
      <c r="E134" s="101">
        <v>89.98</v>
      </c>
      <c r="F134" s="97">
        <f t="shared" si="22"/>
        <v>89.98</v>
      </c>
      <c r="G134" s="97">
        <f t="shared" si="23"/>
        <v>22.495</v>
      </c>
      <c r="H134" s="95" t="s">
        <v>271</v>
      </c>
      <c r="J134" s="120" t="s">
        <v>272</v>
      </c>
      <c r="K134" s="99"/>
      <c r="L134" s="50"/>
      <c r="M134" s="50"/>
      <c r="P134" s="68"/>
    </row>
    <row r="135">
      <c r="A135" s="95">
        <v>1.94414138869E11</v>
      </c>
      <c r="B135" s="131" t="s">
        <v>282</v>
      </c>
      <c r="C135" s="95" t="s">
        <v>97</v>
      </c>
      <c r="D135" s="95">
        <v>1.0</v>
      </c>
      <c r="E135" s="101">
        <v>89.98</v>
      </c>
      <c r="F135" s="97">
        <f t="shared" si="22"/>
        <v>89.98</v>
      </c>
      <c r="G135" s="97">
        <f t="shared" si="23"/>
        <v>22.495</v>
      </c>
      <c r="H135" s="95" t="s">
        <v>271</v>
      </c>
      <c r="J135" s="120" t="s">
        <v>272</v>
      </c>
      <c r="K135" s="99"/>
      <c r="L135" s="50"/>
      <c r="M135" s="50"/>
      <c r="P135" s="68"/>
    </row>
    <row r="136">
      <c r="A136" s="95">
        <v>1.94414178858E11</v>
      </c>
      <c r="B136" s="131" t="s">
        <v>283</v>
      </c>
      <c r="C136" s="95" t="s">
        <v>97</v>
      </c>
      <c r="D136" s="95">
        <v>1.0</v>
      </c>
      <c r="E136" s="101">
        <v>139.0</v>
      </c>
      <c r="F136" s="97">
        <f t="shared" si="22"/>
        <v>139</v>
      </c>
      <c r="G136" s="97">
        <f t="shared" si="23"/>
        <v>34.75</v>
      </c>
      <c r="H136" s="95" t="s">
        <v>284</v>
      </c>
      <c r="J136" s="120" t="s">
        <v>272</v>
      </c>
      <c r="K136" s="99"/>
      <c r="L136" s="50"/>
      <c r="M136" s="50"/>
      <c r="P136" s="68"/>
    </row>
    <row r="137">
      <c r="A137" s="95">
        <v>1.94414621392E11</v>
      </c>
      <c r="B137" s="131" t="s">
        <v>285</v>
      </c>
      <c r="C137" s="95" t="s">
        <v>97</v>
      </c>
      <c r="D137" s="95">
        <v>1.0</v>
      </c>
      <c r="E137" s="101">
        <v>89.98</v>
      </c>
      <c r="F137" s="97">
        <f t="shared" si="22"/>
        <v>89.98</v>
      </c>
      <c r="G137" s="97">
        <f t="shared" si="23"/>
        <v>22.495</v>
      </c>
      <c r="H137" s="95" t="s">
        <v>271</v>
      </c>
      <c r="J137" s="120" t="s">
        <v>272</v>
      </c>
      <c r="K137" s="99"/>
      <c r="L137" s="50"/>
      <c r="M137" s="50"/>
      <c r="P137" s="68"/>
    </row>
    <row r="138">
      <c r="A138" s="95">
        <v>1.9441462584E11</v>
      </c>
      <c r="B138" s="131" t="s">
        <v>286</v>
      </c>
      <c r="C138" s="95" t="s">
        <v>97</v>
      </c>
      <c r="D138" s="95">
        <v>1.0</v>
      </c>
      <c r="E138" s="101">
        <v>59.98</v>
      </c>
      <c r="F138" s="97">
        <f t="shared" si="22"/>
        <v>59.98</v>
      </c>
      <c r="G138" s="97">
        <f t="shared" si="23"/>
        <v>14.995</v>
      </c>
      <c r="H138" s="95" t="s">
        <v>271</v>
      </c>
      <c r="J138" s="120" t="s">
        <v>272</v>
      </c>
      <c r="K138" s="99"/>
      <c r="L138" s="50"/>
      <c r="M138" s="50"/>
      <c r="P138" s="68"/>
    </row>
    <row r="139">
      <c r="A139" s="95">
        <v>1.94414937998E11</v>
      </c>
      <c r="B139" s="131" t="s">
        <v>287</v>
      </c>
      <c r="C139" s="95" t="s">
        <v>97</v>
      </c>
      <c r="D139" s="95">
        <v>1.0</v>
      </c>
      <c r="E139" s="101">
        <v>149.0</v>
      </c>
      <c r="F139" s="97">
        <f t="shared" si="22"/>
        <v>149</v>
      </c>
      <c r="G139" s="97">
        <f t="shared" si="23"/>
        <v>37.25</v>
      </c>
      <c r="H139" s="95" t="s">
        <v>271</v>
      </c>
      <c r="J139" s="120" t="s">
        <v>272</v>
      </c>
      <c r="K139" s="99"/>
      <c r="L139" s="50"/>
      <c r="M139" s="50"/>
      <c r="P139" s="68"/>
    </row>
    <row r="140">
      <c r="A140" s="95">
        <v>1.94414967803E11</v>
      </c>
      <c r="B140" s="131" t="s">
        <v>288</v>
      </c>
      <c r="C140" s="95" t="s">
        <v>97</v>
      </c>
      <c r="D140" s="95">
        <v>1.0</v>
      </c>
      <c r="E140" s="101">
        <v>89.98</v>
      </c>
      <c r="F140" s="97">
        <f t="shared" si="22"/>
        <v>89.98</v>
      </c>
      <c r="G140" s="97">
        <f t="shared" si="23"/>
        <v>22.495</v>
      </c>
      <c r="H140" s="95" t="s">
        <v>279</v>
      </c>
      <c r="J140" s="120" t="s">
        <v>272</v>
      </c>
      <c r="K140" s="99"/>
      <c r="L140" s="50"/>
      <c r="M140" s="50"/>
      <c r="P140" s="68"/>
    </row>
    <row r="141">
      <c r="A141" s="95">
        <v>1.94414967827E11</v>
      </c>
      <c r="B141" s="131" t="s">
        <v>289</v>
      </c>
      <c r="C141" s="95" t="s">
        <v>97</v>
      </c>
      <c r="D141" s="95">
        <v>1.0</v>
      </c>
      <c r="E141" s="101">
        <v>89.98</v>
      </c>
      <c r="F141" s="97">
        <f t="shared" si="22"/>
        <v>89.98</v>
      </c>
      <c r="G141" s="97">
        <f t="shared" si="23"/>
        <v>22.495</v>
      </c>
      <c r="H141" s="95" t="s">
        <v>279</v>
      </c>
      <c r="J141" s="120" t="s">
        <v>272</v>
      </c>
      <c r="K141" s="99"/>
      <c r="L141" s="50"/>
      <c r="M141" s="50"/>
      <c r="P141" s="68"/>
    </row>
    <row r="142">
      <c r="A142" s="95">
        <v>1.94414971084E11</v>
      </c>
      <c r="B142" s="131" t="s">
        <v>290</v>
      </c>
      <c r="C142" s="95" t="s">
        <v>97</v>
      </c>
      <c r="D142" s="95">
        <v>1.0</v>
      </c>
      <c r="E142" s="101">
        <v>447.0</v>
      </c>
      <c r="F142" s="97">
        <f t="shared" si="22"/>
        <v>447</v>
      </c>
      <c r="G142" s="97">
        <f t="shared" si="23"/>
        <v>111.75</v>
      </c>
      <c r="H142" s="95" t="s">
        <v>271</v>
      </c>
      <c r="J142" s="120" t="s">
        <v>272</v>
      </c>
      <c r="K142" s="99"/>
      <c r="L142" s="50"/>
      <c r="M142" s="50"/>
      <c r="P142" s="68"/>
    </row>
    <row r="143">
      <c r="A143" s="95">
        <v>1.94414971091E11</v>
      </c>
      <c r="B143" s="131" t="s">
        <v>291</v>
      </c>
      <c r="C143" s="95" t="s">
        <v>97</v>
      </c>
      <c r="D143" s="95">
        <v>1.0</v>
      </c>
      <c r="E143" s="101">
        <v>64.99</v>
      </c>
      <c r="F143" s="97">
        <f t="shared" si="22"/>
        <v>64.99</v>
      </c>
      <c r="G143" s="97">
        <f t="shared" si="23"/>
        <v>16.2475</v>
      </c>
      <c r="H143" s="95" t="s">
        <v>284</v>
      </c>
      <c r="J143" s="120" t="s">
        <v>272</v>
      </c>
      <c r="K143" s="99"/>
      <c r="L143" s="50"/>
      <c r="M143" s="50"/>
      <c r="P143" s="68"/>
    </row>
    <row r="144">
      <c r="A144" s="95">
        <v>1.94414971138E11</v>
      </c>
      <c r="B144" s="131" t="s">
        <v>292</v>
      </c>
      <c r="C144" s="95" t="s">
        <v>97</v>
      </c>
      <c r="D144" s="95">
        <v>1.0</v>
      </c>
      <c r="E144" s="101">
        <v>64.99</v>
      </c>
      <c r="F144" s="97">
        <f t="shared" si="22"/>
        <v>64.99</v>
      </c>
      <c r="G144" s="97">
        <f t="shared" si="23"/>
        <v>16.2475</v>
      </c>
      <c r="H144" s="95" t="s">
        <v>284</v>
      </c>
      <c r="J144" s="120" t="s">
        <v>272</v>
      </c>
      <c r="K144" s="99"/>
      <c r="L144" s="50"/>
      <c r="M144" s="50"/>
      <c r="P144" s="68"/>
    </row>
    <row r="145">
      <c r="A145" s="95">
        <v>1.95046660995E11</v>
      </c>
      <c r="B145" s="131" t="s">
        <v>293</v>
      </c>
      <c r="C145" s="95" t="s">
        <v>97</v>
      </c>
      <c r="D145" s="95">
        <v>1.0</v>
      </c>
      <c r="E145" s="101">
        <v>139.0</v>
      </c>
      <c r="F145" s="97">
        <f t="shared" si="22"/>
        <v>139</v>
      </c>
      <c r="G145" s="97">
        <f t="shared" si="23"/>
        <v>34.75</v>
      </c>
      <c r="H145" s="95" t="s">
        <v>271</v>
      </c>
      <c r="J145" s="120" t="s">
        <v>272</v>
      </c>
      <c r="K145" s="99"/>
      <c r="L145" s="50"/>
      <c r="M145" s="50"/>
      <c r="P145" s="68"/>
    </row>
    <row r="146">
      <c r="A146" s="95">
        <v>1.95046661015E11</v>
      </c>
      <c r="B146" s="131" t="s">
        <v>294</v>
      </c>
      <c r="C146" s="95" t="s">
        <v>97</v>
      </c>
      <c r="D146" s="95">
        <v>1.0</v>
      </c>
      <c r="E146" s="101">
        <v>139.0</v>
      </c>
      <c r="F146" s="97">
        <f t="shared" si="22"/>
        <v>139</v>
      </c>
      <c r="G146" s="97">
        <f t="shared" si="23"/>
        <v>34.75</v>
      </c>
      <c r="H146" s="95" t="s">
        <v>271</v>
      </c>
      <c r="J146" s="120" t="s">
        <v>272</v>
      </c>
      <c r="K146" s="99"/>
      <c r="L146" s="50"/>
      <c r="M146" s="50"/>
      <c r="P146" s="68"/>
    </row>
    <row r="147">
      <c r="A147" s="95">
        <v>1.95046661244E11</v>
      </c>
      <c r="B147" s="131" t="s">
        <v>295</v>
      </c>
      <c r="C147" s="95" t="s">
        <v>97</v>
      </c>
      <c r="D147" s="95">
        <v>1.0</v>
      </c>
      <c r="E147" s="101">
        <v>134.0</v>
      </c>
      <c r="F147" s="97">
        <f t="shared" si="22"/>
        <v>134</v>
      </c>
      <c r="G147" s="97">
        <f t="shared" si="23"/>
        <v>33.5</v>
      </c>
      <c r="H147" s="95" t="s">
        <v>271</v>
      </c>
      <c r="J147" s="120" t="s">
        <v>272</v>
      </c>
      <c r="K147" s="99"/>
      <c r="L147" s="50"/>
      <c r="M147" s="50"/>
      <c r="P147" s="68"/>
    </row>
    <row r="148">
      <c r="A148" s="95">
        <v>1.95046664948E11</v>
      </c>
      <c r="B148" s="131" t="s">
        <v>296</v>
      </c>
      <c r="C148" s="95" t="s">
        <v>97</v>
      </c>
      <c r="D148" s="95">
        <v>1.0</v>
      </c>
      <c r="E148" s="101">
        <v>139.0</v>
      </c>
      <c r="F148" s="97">
        <f t="shared" si="22"/>
        <v>139</v>
      </c>
      <c r="G148" s="97">
        <f t="shared" si="23"/>
        <v>34.75</v>
      </c>
      <c r="H148" s="95" t="s">
        <v>271</v>
      </c>
      <c r="J148" s="120" t="s">
        <v>272</v>
      </c>
      <c r="K148" s="99"/>
      <c r="L148" s="50"/>
      <c r="M148" s="50"/>
      <c r="P148" s="68"/>
    </row>
    <row r="149">
      <c r="A149" s="95">
        <v>1.95046877768E11</v>
      </c>
      <c r="B149" s="131" t="s">
        <v>297</v>
      </c>
      <c r="C149" s="95" t="s">
        <v>97</v>
      </c>
      <c r="D149" s="95">
        <v>1.0</v>
      </c>
      <c r="E149" s="101">
        <v>134.0</v>
      </c>
      <c r="F149" s="97">
        <f t="shared" si="22"/>
        <v>134</v>
      </c>
      <c r="G149" s="97">
        <f t="shared" si="23"/>
        <v>33.5</v>
      </c>
      <c r="H149" s="95" t="s">
        <v>271</v>
      </c>
      <c r="J149" s="120" t="s">
        <v>272</v>
      </c>
      <c r="K149" s="99"/>
      <c r="L149" s="50"/>
      <c r="M149" s="50"/>
      <c r="P149" s="68"/>
    </row>
    <row r="150">
      <c r="A150" s="95">
        <v>7.00289285944E11</v>
      </c>
      <c r="B150" s="131" t="s">
        <v>298</v>
      </c>
      <c r="C150" s="95" t="s">
        <v>97</v>
      </c>
      <c r="D150" s="95">
        <v>1.0</v>
      </c>
      <c r="E150" s="101">
        <v>49.98</v>
      </c>
      <c r="F150" s="97">
        <f t="shared" si="22"/>
        <v>49.98</v>
      </c>
      <c r="G150" s="97">
        <f t="shared" si="23"/>
        <v>12.495</v>
      </c>
      <c r="H150" s="95" t="s">
        <v>271</v>
      </c>
      <c r="J150" s="120" t="s">
        <v>272</v>
      </c>
      <c r="K150" s="99"/>
      <c r="L150" s="50"/>
      <c r="M150" s="50"/>
      <c r="P150" s="68"/>
    </row>
    <row r="151">
      <c r="A151" s="102" t="s">
        <v>299</v>
      </c>
      <c r="B151" s="103" t="s">
        <v>300</v>
      </c>
      <c r="C151" s="104"/>
      <c r="D151" s="104"/>
      <c r="E151" s="105"/>
      <c r="F151" s="106"/>
      <c r="G151" s="106"/>
      <c r="H151" s="107"/>
      <c r="J151" s="108"/>
      <c r="K151" s="99"/>
      <c r="L151" s="50"/>
      <c r="M151" s="50"/>
      <c r="P151" s="68"/>
    </row>
    <row r="152">
      <c r="A152" s="109">
        <v>1.91855562611E11</v>
      </c>
      <c r="B152" s="164" t="s">
        <v>301</v>
      </c>
      <c r="C152" s="95" t="s">
        <v>97</v>
      </c>
      <c r="D152" s="95">
        <v>1.0</v>
      </c>
      <c r="E152" s="101">
        <v>248.0</v>
      </c>
      <c r="F152" s="97">
        <f t="shared" ref="F152:F154" si="24">E152*D152</f>
        <v>248</v>
      </c>
      <c r="G152" s="97">
        <f t="shared" ref="G152:G154" si="25">F152/4</f>
        <v>62</v>
      </c>
      <c r="H152" s="95" t="s">
        <v>274</v>
      </c>
      <c r="J152" s="120" t="s">
        <v>272</v>
      </c>
      <c r="K152" s="99"/>
      <c r="L152" s="50"/>
      <c r="M152" s="50"/>
      <c r="P152" s="68"/>
    </row>
    <row r="153">
      <c r="A153" s="109">
        <v>1.91855562659E11</v>
      </c>
      <c r="B153" s="131" t="s">
        <v>302</v>
      </c>
      <c r="C153" s="95" t="s">
        <v>97</v>
      </c>
      <c r="D153" s="95">
        <v>1.0</v>
      </c>
      <c r="E153" s="101">
        <v>248.0</v>
      </c>
      <c r="F153" s="97">
        <f t="shared" si="24"/>
        <v>248</v>
      </c>
      <c r="G153" s="97">
        <f t="shared" si="25"/>
        <v>62</v>
      </c>
      <c r="H153" s="95" t="s">
        <v>274</v>
      </c>
      <c r="J153" s="120" t="s">
        <v>272</v>
      </c>
      <c r="K153" s="99"/>
      <c r="L153" s="50"/>
      <c r="M153" s="50"/>
      <c r="P153" s="68"/>
    </row>
    <row r="154">
      <c r="A154" s="109">
        <v>1.9441416015E11</v>
      </c>
      <c r="B154" s="131" t="s">
        <v>303</v>
      </c>
      <c r="C154" s="95" t="s">
        <v>97</v>
      </c>
      <c r="D154" s="95">
        <v>1.0</v>
      </c>
      <c r="E154" s="101">
        <v>199.0</v>
      </c>
      <c r="F154" s="97">
        <f t="shared" si="24"/>
        <v>199</v>
      </c>
      <c r="G154" s="97">
        <f t="shared" si="25"/>
        <v>49.75</v>
      </c>
      <c r="H154" s="95" t="s">
        <v>271</v>
      </c>
      <c r="J154" s="120" t="s">
        <v>272</v>
      </c>
      <c r="K154" s="99"/>
      <c r="L154" s="50"/>
      <c r="M154" s="50"/>
      <c r="P154" s="68"/>
    </row>
    <row r="155">
      <c r="A155" s="102" t="s">
        <v>304</v>
      </c>
      <c r="B155" s="103" t="s">
        <v>305</v>
      </c>
      <c r="C155" s="104"/>
      <c r="D155" s="104"/>
      <c r="E155" s="105"/>
      <c r="F155" s="106"/>
      <c r="G155" s="106"/>
      <c r="H155" s="107"/>
      <c r="J155" s="108"/>
      <c r="K155" s="99"/>
      <c r="L155" s="50"/>
      <c r="M155" s="50"/>
      <c r="P155" s="68"/>
    </row>
    <row r="156">
      <c r="A156" s="111" t="s">
        <v>115</v>
      </c>
      <c r="B156" s="111" t="s">
        <v>306</v>
      </c>
      <c r="C156" s="112" t="str">
        <f>MID($B156,6,7)</f>
        <v>MF18850</v>
      </c>
      <c r="D156" s="111"/>
      <c r="E156" s="111"/>
      <c r="F156" s="111"/>
      <c r="G156" s="111"/>
      <c r="H156" s="113">
        <v>44557.0</v>
      </c>
      <c r="J156" s="108" t="str">
        <f>IF(LEFT(B156,3)="Box","BOX","COUNT")</f>
        <v>BOX</v>
      </c>
      <c r="K156" s="99">
        <f>SUMIF($J$4:$J$8712,$C156,$D$4:$D$8712)</f>
        <v>27</v>
      </c>
      <c r="L156" s="50">
        <f>SUMIF($J$4:$J$8712,$C156,$F$4:$F$8712)</f>
        <v>4336.8</v>
      </c>
      <c r="M156" s="50">
        <f>SUMIF($J$4:$J$8712,$C156,$G$4:$G$8712)</f>
        <v>1084.2</v>
      </c>
      <c r="N156" s="70" t="str">
        <f>C156</f>
        <v>MF18850</v>
      </c>
      <c r="O156" s="70" t="str">
        <f>J157</f>
        <v>SHIP</v>
      </c>
      <c r="P156" s="68">
        <f>M156</f>
        <v>1084.2</v>
      </c>
      <c r="Q156" s="114">
        <v>44510.0</v>
      </c>
      <c r="R156" s="37" t="s">
        <v>117</v>
      </c>
      <c r="S156" s="37" t="s">
        <v>118</v>
      </c>
    </row>
    <row r="157">
      <c r="A157" s="165" t="s">
        <v>307</v>
      </c>
      <c r="B157" s="111" t="s">
        <v>308</v>
      </c>
      <c r="C157" s="109"/>
      <c r="D157" s="109"/>
      <c r="E157" s="116"/>
      <c r="F157" s="116"/>
      <c r="G157" s="116"/>
      <c r="H157" s="109"/>
      <c r="J157" s="108" t="str">
        <f>IF(B157="","NSHIP","SHIP")</f>
        <v>SHIP</v>
      </c>
      <c r="K157" s="99">
        <f>IF($J157="NSHIP",0,-SUMIF($J$4:$J$8712,$C156,$D$4:$D$8712))</f>
        <v>-27</v>
      </c>
      <c r="L157" s="50">
        <f>IF($J157="NSHIP",0,-SUMIF($J$4:$J$8710,$C156,$F$4:$F$8710))</f>
        <v>-4336.8</v>
      </c>
      <c r="M157" s="50">
        <f>IF($J157="NSHIP",0,-SUMIF($J$4:$J$8710,$C156,$G$4:$G$8710))</f>
        <v>-1084.2</v>
      </c>
      <c r="P157" s="68"/>
    </row>
    <row r="158">
      <c r="A158" s="117">
        <v>7.94278984E11</v>
      </c>
      <c r="B158" s="100" t="s">
        <v>309</v>
      </c>
      <c r="C158" s="118" t="s">
        <v>97</v>
      </c>
      <c r="D158" s="100">
        <v>1.0</v>
      </c>
      <c r="E158" s="119">
        <v>119.0</v>
      </c>
      <c r="F158" s="118">
        <f t="shared" ref="F158:F177" si="26">E158*D158</f>
        <v>119</v>
      </c>
      <c r="G158" s="118">
        <f t="shared" ref="G158:G177" si="27">F158/4</f>
        <v>29.75</v>
      </c>
      <c r="H158" s="100" t="s">
        <v>310</v>
      </c>
      <c r="J158" s="120" t="s">
        <v>311</v>
      </c>
      <c r="K158" s="99"/>
      <c r="L158" s="50"/>
      <c r="M158" s="50"/>
      <c r="P158" s="68"/>
    </row>
    <row r="159">
      <c r="A159" s="117">
        <v>7.94278984024E11</v>
      </c>
      <c r="B159" s="100" t="s">
        <v>312</v>
      </c>
      <c r="C159" s="118" t="s">
        <v>97</v>
      </c>
      <c r="D159" s="100">
        <v>1.0</v>
      </c>
      <c r="E159" s="119">
        <v>119.0</v>
      </c>
      <c r="F159" s="118">
        <f t="shared" si="26"/>
        <v>119</v>
      </c>
      <c r="G159" s="118">
        <f t="shared" si="27"/>
        <v>29.75</v>
      </c>
      <c r="H159" s="100" t="s">
        <v>310</v>
      </c>
      <c r="J159" s="120" t="s">
        <v>311</v>
      </c>
      <c r="K159" s="99"/>
      <c r="L159" s="50"/>
      <c r="M159" s="50"/>
      <c r="P159" s="68"/>
    </row>
    <row r="160">
      <c r="A160" s="117">
        <v>7.94278984048E11</v>
      </c>
      <c r="B160" s="100" t="s">
        <v>313</v>
      </c>
      <c r="C160" s="118" t="s">
        <v>97</v>
      </c>
      <c r="D160" s="100">
        <v>1.0</v>
      </c>
      <c r="E160" s="119">
        <v>119.0</v>
      </c>
      <c r="F160" s="118">
        <f t="shared" si="26"/>
        <v>119</v>
      </c>
      <c r="G160" s="118">
        <f t="shared" si="27"/>
        <v>29.75</v>
      </c>
      <c r="H160" s="100" t="s">
        <v>310</v>
      </c>
      <c r="J160" s="120" t="s">
        <v>311</v>
      </c>
      <c r="K160" s="99"/>
      <c r="L160" s="50"/>
      <c r="M160" s="50"/>
      <c r="P160" s="68"/>
    </row>
    <row r="161">
      <c r="A161" s="117">
        <v>7.95728912963E11</v>
      </c>
      <c r="B161" s="100" t="s">
        <v>314</v>
      </c>
      <c r="C161" s="118" t="s">
        <v>97</v>
      </c>
      <c r="D161" s="100">
        <v>1.0</v>
      </c>
      <c r="E161" s="119">
        <v>129.0</v>
      </c>
      <c r="F161" s="118">
        <f t="shared" si="26"/>
        <v>129</v>
      </c>
      <c r="G161" s="118">
        <f t="shared" si="27"/>
        <v>32.25</v>
      </c>
      <c r="H161" s="100" t="s">
        <v>310</v>
      </c>
      <c r="J161" s="120" t="s">
        <v>311</v>
      </c>
      <c r="K161" s="99"/>
      <c r="L161" s="50"/>
      <c r="M161" s="50"/>
      <c r="P161" s="68"/>
    </row>
    <row r="162">
      <c r="A162" s="117">
        <v>7.95728954697E11</v>
      </c>
      <c r="B162" s="100" t="s">
        <v>315</v>
      </c>
      <c r="C162" s="118" t="s">
        <v>97</v>
      </c>
      <c r="D162" s="100">
        <v>1.0</v>
      </c>
      <c r="E162" s="119">
        <v>119.0</v>
      </c>
      <c r="F162" s="118">
        <f t="shared" si="26"/>
        <v>119</v>
      </c>
      <c r="G162" s="118">
        <f t="shared" si="27"/>
        <v>29.75</v>
      </c>
      <c r="H162" s="100" t="s">
        <v>310</v>
      </c>
      <c r="J162" s="120" t="s">
        <v>311</v>
      </c>
      <c r="K162" s="99"/>
      <c r="L162" s="50"/>
      <c r="M162" s="50"/>
      <c r="P162" s="68"/>
    </row>
    <row r="163">
      <c r="A163" s="117">
        <v>7.95728983086E11</v>
      </c>
      <c r="B163" s="100" t="s">
        <v>316</v>
      </c>
      <c r="C163" s="118" t="s">
        <v>97</v>
      </c>
      <c r="D163" s="100">
        <v>1.0</v>
      </c>
      <c r="E163" s="119">
        <v>119.0</v>
      </c>
      <c r="F163" s="118">
        <f t="shared" si="26"/>
        <v>119</v>
      </c>
      <c r="G163" s="118">
        <f t="shared" si="27"/>
        <v>29.75</v>
      </c>
      <c r="H163" s="100" t="s">
        <v>310</v>
      </c>
      <c r="J163" s="120" t="s">
        <v>311</v>
      </c>
      <c r="K163" s="99"/>
      <c r="L163" s="50"/>
      <c r="M163" s="50"/>
      <c r="P163" s="68"/>
    </row>
    <row r="164">
      <c r="A164" s="117">
        <v>7.95730220315E11</v>
      </c>
      <c r="B164" s="100" t="s">
        <v>317</v>
      </c>
      <c r="C164" s="118" t="s">
        <v>97</v>
      </c>
      <c r="D164" s="100">
        <v>1.0</v>
      </c>
      <c r="E164" s="119">
        <v>129.0</v>
      </c>
      <c r="F164" s="118">
        <f t="shared" si="26"/>
        <v>129</v>
      </c>
      <c r="G164" s="118">
        <f t="shared" si="27"/>
        <v>32.25</v>
      </c>
      <c r="H164" s="100" t="s">
        <v>310</v>
      </c>
      <c r="J164" s="120" t="s">
        <v>311</v>
      </c>
      <c r="K164" s="99"/>
      <c r="L164" s="50"/>
      <c r="M164" s="50"/>
      <c r="P164" s="68"/>
    </row>
    <row r="165">
      <c r="A165" s="117">
        <v>7.95730727609E11</v>
      </c>
      <c r="B165" s="100" t="s">
        <v>318</v>
      </c>
      <c r="C165" s="118" t="s">
        <v>97</v>
      </c>
      <c r="D165" s="100">
        <v>1.0</v>
      </c>
      <c r="E165" s="119">
        <v>49.0</v>
      </c>
      <c r="F165" s="118">
        <f t="shared" si="26"/>
        <v>49</v>
      </c>
      <c r="G165" s="118">
        <f t="shared" si="27"/>
        <v>12.25</v>
      </c>
      <c r="H165" s="100" t="s">
        <v>310</v>
      </c>
      <c r="J165" s="120" t="s">
        <v>311</v>
      </c>
      <c r="K165" s="99"/>
      <c r="L165" s="50"/>
      <c r="M165" s="50"/>
      <c r="P165" s="68"/>
    </row>
    <row r="166">
      <c r="A166" s="117">
        <v>7.95730732887E11</v>
      </c>
      <c r="B166" s="100" t="s">
        <v>319</v>
      </c>
      <c r="C166" s="118" t="s">
        <v>97</v>
      </c>
      <c r="D166" s="100">
        <v>1.0</v>
      </c>
      <c r="E166" s="119">
        <v>129.0</v>
      </c>
      <c r="F166" s="118">
        <f t="shared" si="26"/>
        <v>129</v>
      </c>
      <c r="G166" s="118">
        <f t="shared" si="27"/>
        <v>32.25</v>
      </c>
      <c r="H166" s="100" t="s">
        <v>310</v>
      </c>
      <c r="J166" s="120" t="s">
        <v>311</v>
      </c>
      <c r="K166" s="99"/>
      <c r="L166" s="50"/>
      <c r="M166" s="50"/>
      <c r="P166" s="68"/>
    </row>
    <row r="167">
      <c r="A167" s="117">
        <v>7.95731592909E11</v>
      </c>
      <c r="B167" s="100" t="s">
        <v>320</v>
      </c>
      <c r="C167" s="118" t="s">
        <v>97</v>
      </c>
      <c r="D167" s="100">
        <v>1.0</v>
      </c>
      <c r="E167" s="119">
        <v>129.0</v>
      </c>
      <c r="F167" s="118">
        <f t="shared" si="26"/>
        <v>129</v>
      </c>
      <c r="G167" s="118">
        <f t="shared" si="27"/>
        <v>32.25</v>
      </c>
      <c r="H167" s="100" t="s">
        <v>310</v>
      </c>
      <c r="J167" s="120" t="s">
        <v>311</v>
      </c>
      <c r="K167" s="99"/>
      <c r="L167" s="50"/>
      <c r="M167" s="50"/>
      <c r="P167" s="68"/>
    </row>
    <row r="168">
      <c r="A168" s="117">
        <v>7.95731939636E11</v>
      </c>
      <c r="B168" s="100" t="s">
        <v>321</v>
      </c>
      <c r="C168" s="118" t="s">
        <v>97</v>
      </c>
      <c r="D168" s="100">
        <v>1.0</v>
      </c>
      <c r="E168" s="119">
        <v>109.0</v>
      </c>
      <c r="F168" s="118">
        <f t="shared" si="26"/>
        <v>109</v>
      </c>
      <c r="G168" s="118">
        <f t="shared" si="27"/>
        <v>27.25</v>
      </c>
      <c r="H168" s="100" t="s">
        <v>322</v>
      </c>
      <c r="J168" s="120" t="s">
        <v>311</v>
      </c>
      <c r="K168" s="99"/>
      <c r="L168" s="50"/>
      <c r="M168" s="50"/>
      <c r="P168" s="68"/>
    </row>
    <row r="169">
      <c r="A169" s="117">
        <v>7.95731941608E11</v>
      </c>
      <c r="B169" s="100" t="s">
        <v>323</v>
      </c>
      <c r="C169" s="118" t="s">
        <v>97</v>
      </c>
      <c r="D169" s="100">
        <v>1.0</v>
      </c>
      <c r="E169" s="119">
        <v>129.0</v>
      </c>
      <c r="F169" s="118">
        <f t="shared" si="26"/>
        <v>129</v>
      </c>
      <c r="G169" s="118">
        <f t="shared" si="27"/>
        <v>32.25</v>
      </c>
      <c r="H169" s="100" t="s">
        <v>310</v>
      </c>
      <c r="J169" s="120" t="s">
        <v>311</v>
      </c>
      <c r="K169" s="99"/>
      <c r="L169" s="50"/>
      <c r="M169" s="50"/>
      <c r="P169" s="68"/>
    </row>
    <row r="170">
      <c r="A170" s="117">
        <v>7.95731949994E11</v>
      </c>
      <c r="B170" s="100" t="s">
        <v>324</v>
      </c>
      <c r="C170" s="118" t="s">
        <v>97</v>
      </c>
      <c r="D170" s="100">
        <v>1.0</v>
      </c>
      <c r="E170" s="119">
        <v>79.99</v>
      </c>
      <c r="F170" s="118">
        <f t="shared" si="26"/>
        <v>79.99</v>
      </c>
      <c r="G170" s="118">
        <f t="shared" si="27"/>
        <v>19.9975</v>
      </c>
      <c r="H170" s="100" t="s">
        <v>322</v>
      </c>
      <c r="J170" s="120" t="s">
        <v>311</v>
      </c>
      <c r="K170" s="99"/>
      <c r="L170" s="50"/>
      <c r="M170" s="50"/>
      <c r="P170" s="68"/>
    </row>
    <row r="171">
      <c r="A171" s="117">
        <v>7.95731957234E11</v>
      </c>
      <c r="B171" s="100" t="s">
        <v>325</v>
      </c>
      <c r="C171" s="118" t="s">
        <v>97</v>
      </c>
      <c r="D171" s="100">
        <v>1.0</v>
      </c>
      <c r="E171" s="119">
        <v>129.0</v>
      </c>
      <c r="F171" s="118">
        <f t="shared" si="26"/>
        <v>129</v>
      </c>
      <c r="G171" s="118">
        <f t="shared" si="27"/>
        <v>32.25</v>
      </c>
      <c r="H171" s="100" t="s">
        <v>310</v>
      </c>
      <c r="J171" s="120" t="s">
        <v>311</v>
      </c>
      <c r="K171" s="99"/>
      <c r="L171" s="50"/>
      <c r="M171" s="50"/>
      <c r="P171" s="68"/>
    </row>
    <row r="172">
      <c r="A172" s="117">
        <v>7.95731986463E11</v>
      </c>
      <c r="B172" s="100" t="s">
        <v>326</v>
      </c>
      <c r="C172" s="118" t="s">
        <v>97</v>
      </c>
      <c r="D172" s="100">
        <v>1.0</v>
      </c>
      <c r="E172" s="119">
        <v>119.0</v>
      </c>
      <c r="F172" s="118">
        <f t="shared" si="26"/>
        <v>119</v>
      </c>
      <c r="G172" s="118">
        <f t="shared" si="27"/>
        <v>29.75</v>
      </c>
      <c r="H172" s="100" t="s">
        <v>322</v>
      </c>
      <c r="J172" s="120" t="s">
        <v>311</v>
      </c>
      <c r="K172" s="99"/>
      <c r="L172" s="50"/>
      <c r="M172" s="50"/>
      <c r="P172" s="68"/>
    </row>
    <row r="173">
      <c r="A173" s="117">
        <v>7.95733019787E11</v>
      </c>
      <c r="B173" s="100" t="s">
        <v>327</v>
      </c>
      <c r="C173" s="118" t="s">
        <v>97</v>
      </c>
      <c r="D173" s="100">
        <v>1.0</v>
      </c>
      <c r="E173" s="119">
        <v>129.0</v>
      </c>
      <c r="F173" s="118">
        <f t="shared" si="26"/>
        <v>129</v>
      </c>
      <c r="G173" s="118">
        <f t="shared" si="27"/>
        <v>32.25</v>
      </c>
      <c r="H173" s="100" t="s">
        <v>310</v>
      </c>
      <c r="J173" s="120" t="s">
        <v>311</v>
      </c>
      <c r="K173" s="99"/>
      <c r="L173" s="50"/>
      <c r="M173" s="50"/>
      <c r="P173" s="68"/>
    </row>
    <row r="174">
      <c r="A174" s="117">
        <v>7.95733132097E11</v>
      </c>
      <c r="B174" s="100" t="s">
        <v>328</v>
      </c>
      <c r="C174" s="118" t="s">
        <v>97</v>
      </c>
      <c r="D174" s="100">
        <v>1.0</v>
      </c>
      <c r="E174" s="119">
        <v>139.0</v>
      </c>
      <c r="F174" s="118">
        <f t="shared" si="26"/>
        <v>139</v>
      </c>
      <c r="G174" s="118">
        <f t="shared" si="27"/>
        <v>34.75</v>
      </c>
      <c r="H174" s="100" t="s">
        <v>310</v>
      </c>
      <c r="J174" s="120" t="s">
        <v>311</v>
      </c>
      <c r="K174" s="99"/>
      <c r="L174" s="50"/>
      <c r="M174" s="50"/>
      <c r="P174" s="68"/>
    </row>
    <row r="175">
      <c r="A175" s="117">
        <v>7.95733132103E11</v>
      </c>
      <c r="B175" s="100" t="s">
        <v>329</v>
      </c>
      <c r="C175" s="118" t="s">
        <v>97</v>
      </c>
      <c r="D175" s="100">
        <v>1.0</v>
      </c>
      <c r="E175" s="119">
        <v>139.0</v>
      </c>
      <c r="F175" s="118">
        <f t="shared" si="26"/>
        <v>139</v>
      </c>
      <c r="G175" s="118">
        <f t="shared" si="27"/>
        <v>34.75</v>
      </c>
      <c r="H175" s="100" t="s">
        <v>310</v>
      </c>
      <c r="J175" s="120" t="s">
        <v>311</v>
      </c>
      <c r="K175" s="99"/>
      <c r="L175" s="50"/>
      <c r="M175" s="50"/>
      <c r="P175" s="68"/>
    </row>
    <row r="176">
      <c r="A176" s="117">
        <v>7.9573313211E11</v>
      </c>
      <c r="B176" s="100" t="s">
        <v>330</v>
      </c>
      <c r="C176" s="118" t="s">
        <v>97</v>
      </c>
      <c r="D176" s="100">
        <v>1.0</v>
      </c>
      <c r="E176" s="119">
        <v>139.0</v>
      </c>
      <c r="F176" s="118">
        <f t="shared" si="26"/>
        <v>139</v>
      </c>
      <c r="G176" s="118">
        <f t="shared" si="27"/>
        <v>34.75</v>
      </c>
      <c r="H176" s="100" t="s">
        <v>310</v>
      </c>
      <c r="J176" s="120" t="s">
        <v>311</v>
      </c>
      <c r="K176" s="99"/>
      <c r="L176" s="50"/>
      <c r="M176" s="50"/>
      <c r="P176" s="68"/>
    </row>
    <row r="177">
      <c r="A177" s="117">
        <v>8.02892087684E11</v>
      </c>
      <c r="B177" s="100" t="s">
        <v>331</v>
      </c>
      <c r="C177" s="118" t="s">
        <v>97</v>
      </c>
      <c r="D177" s="100">
        <v>1.0</v>
      </c>
      <c r="E177" s="119">
        <v>129.0</v>
      </c>
      <c r="F177" s="118">
        <f t="shared" si="26"/>
        <v>129</v>
      </c>
      <c r="G177" s="118">
        <f t="shared" si="27"/>
        <v>32.25</v>
      </c>
      <c r="H177" s="100" t="s">
        <v>310</v>
      </c>
      <c r="J177" s="120" t="s">
        <v>311</v>
      </c>
      <c r="K177" s="99"/>
      <c r="L177" s="50"/>
      <c r="M177" s="50"/>
      <c r="P177" s="68"/>
    </row>
    <row r="178">
      <c r="A178" s="166" t="s">
        <v>332</v>
      </c>
      <c r="B178" s="122" t="s">
        <v>333</v>
      </c>
      <c r="C178" s="118"/>
      <c r="D178" s="100"/>
      <c r="E178" s="119"/>
      <c r="F178" s="118"/>
      <c r="G178" s="118"/>
      <c r="H178" s="100"/>
      <c r="J178" s="120"/>
      <c r="K178" s="99"/>
      <c r="L178" s="50"/>
      <c r="M178" s="50"/>
      <c r="P178" s="68"/>
    </row>
    <row r="179">
      <c r="A179" s="163">
        <v>7.94278873618E11</v>
      </c>
      <c r="B179" s="151" t="s">
        <v>334</v>
      </c>
      <c r="C179" s="95" t="s">
        <v>97</v>
      </c>
      <c r="D179" s="95">
        <v>1.0</v>
      </c>
      <c r="E179" s="101">
        <v>119.0</v>
      </c>
      <c r="F179" s="97">
        <f>E179*D179</f>
        <v>119</v>
      </c>
      <c r="G179" s="97">
        <f>F179/4</f>
        <v>29.75</v>
      </c>
      <c r="H179" s="95" t="s">
        <v>322</v>
      </c>
      <c r="I179" s="37" t="s">
        <v>335</v>
      </c>
      <c r="J179" s="120" t="s">
        <v>311</v>
      </c>
      <c r="K179" s="99"/>
      <c r="L179" s="50"/>
      <c r="M179" s="50"/>
      <c r="P179" s="68"/>
    </row>
    <row r="180">
      <c r="A180" s="111" t="s">
        <v>132</v>
      </c>
      <c r="B180" s="167" t="s">
        <v>336</v>
      </c>
      <c r="C180" s="112" t="str">
        <f>MID($B180,6,7)</f>
        <v>MF18851</v>
      </c>
      <c r="D180" s="111"/>
      <c r="E180" s="111"/>
      <c r="F180" s="111"/>
      <c r="G180" s="111"/>
      <c r="H180" s="113">
        <v>44557.0</v>
      </c>
      <c r="J180" s="108" t="str">
        <f>IF(LEFT(B180,3)="Box","BOX","COUNT")</f>
        <v>BOX</v>
      </c>
      <c r="K180" s="99">
        <f>SUMIF($J$4:$J$8712,$C180,$D$4:$D$8712)</f>
        <v>21</v>
      </c>
      <c r="L180" s="50">
        <f>SUMIF($J$4:$J$8712,$C180,$F$4:$F$8712)</f>
        <v>2519.99</v>
      </c>
      <c r="M180" s="50">
        <f>SUMIF($J$4:$J$8712,$C180,$G$4:$G$8712)</f>
        <v>629.9975</v>
      </c>
      <c r="N180" s="70" t="str">
        <f>C180</f>
        <v>MF18851</v>
      </c>
      <c r="O180" s="70" t="str">
        <f>J181</f>
        <v>SHIP</v>
      </c>
      <c r="P180" s="68">
        <f>M180</f>
        <v>629.9975</v>
      </c>
      <c r="Q180" s="168">
        <v>44469.0</v>
      </c>
      <c r="R180" s="37" t="s">
        <v>337</v>
      </c>
      <c r="S180" s="37" t="s">
        <v>338</v>
      </c>
    </row>
    <row r="181">
      <c r="A181" s="163"/>
      <c r="B181" s="112" t="s">
        <v>339</v>
      </c>
      <c r="C181" s="169"/>
      <c r="D181" s="169"/>
      <c r="E181" s="170"/>
      <c r="F181" s="170"/>
      <c r="G181" s="170"/>
      <c r="H181" s="169"/>
      <c r="J181" s="108" t="str">
        <f>IF(B181="","NSHIP","SHIP")</f>
        <v>SHIP</v>
      </c>
      <c r="K181" s="99">
        <f>IF($J181="NSHIP",0,-SUMIF($J$4:$J$8712,$C180,$D$4:$D$8712))</f>
        <v>-21</v>
      </c>
      <c r="L181" s="50">
        <f>IF($J181="NSHIP",0,-SUMIF($J$4:$J$8710,$C180,$F$4:$F$8710))</f>
        <v>-2519.99</v>
      </c>
      <c r="M181" s="50">
        <f>IF($J181="NSHIP",0,-SUMIF($J$4:$J$8710,$C180,$G$4:$G$8710))</f>
        <v>-629.9975</v>
      </c>
      <c r="P181" s="68"/>
    </row>
    <row r="182">
      <c r="A182" s="96">
        <v>1.90607396351E11</v>
      </c>
      <c r="B182" s="171" t="s">
        <v>340</v>
      </c>
      <c r="C182" s="100" t="s">
        <v>97</v>
      </c>
      <c r="D182" s="100">
        <v>1.0</v>
      </c>
      <c r="E182" s="119">
        <v>99.0</v>
      </c>
      <c r="F182" s="118">
        <f t="shared" ref="F182:F199" si="28">E182*D182</f>
        <v>99</v>
      </c>
      <c r="G182" s="118">
        <f t="shared" ref="G182:G199" si="29">F182/4</f>
        <v>24.75</v>
      </c>
      <c r="H182" s="132" t="s">
        <v>341</v>
      </c>
      <c r="I182" s="1"/>
      <c r="J182" s="104" t="s">
        <v>342</v>
      </c>
      <c r="K182" s="133"/>
      <c r="L182" s="105"/>
      <c r="M182" s="105"/>
      <c r="N182" s="1"/>
      <c r="O182" s="1"/>
      <c r="P182" s="68"/>
    </row>
    <row r="183">
      <c r="A183" s="100">
        <v>1.90607422838E11</v>
      </c>
      <c r="B183" s="171" t="s">
        <v>343</v>
      </c>
      <c r="C183" s="100" t="s">
        <v>97</v>
      </c>
      <c r="D183" s="100">
        <v>1.0</v>
      </c>
      <c r="E183" s="119">
        <v>139.0</v>
      </c>
      <c r="F183" s="118">
        <f t="shared" si="28"/>
        <v>139</v>
      </c>
      <c r="G183" s="118">
        <f t="shared" si="29"/>
        <v>34.75</v>
      </c>
      <c r="H183" s="132" t="s">
        <v>341</v>
      </c>
      <c r="I183" s="1"/>
      <c r="J183" s="104" t="s">
        <v>342</v>
      </c>
      <c r="K183" s="133"/>
      <c r="L183" s="105"/>
      <c r="M183" s="105"/>
      <c r="N183" s="1"/>
      <c r="O183" s="1"/>
      <c r="P183" s="68"/>
    </row>
    <row r="184">
      <c r="A184" s="100">
        <v>1.9060742304E11</v>
      </c>
      <c r="B184" s="171" t="s">
        <v>344</v>
      </c>
      <c r="C184" s="100" t="s">
        <v>97</v>
      </c>
      <c r="D184" s="100">
        <v>1.0</v>
      </c>
      <c r="E184" s="119">
        <v>134.0</v>
      </c>
      <c r="F184" s="118">
        <f t="shared" si="28"/>
        <v>134</v>
      </c>
      <c r="G184" s="118">
        <f t="shared" si="29"/>
        <v>33.5</v>
      </c>
      <c r="H184" s="100" t="s">
        <v>345</v>
      </c>
      <c r="I184" s="1"/>
      <c r="J184" s="104" t="s">
        <v>342</v>
      </c>
      <c r="K184" s="133"/>
      <c r="L184" s="105"/>
      <c r="M184" s="105"/>
      <c r="N184" s="1"/>
      <c r="O184" s="1"/>
      <c r="P184" s="68"/>
    </row>
    <row r="185">
      <c r="A185" s="100">
        <v>1.90607425211E11</v>
      </c>
      <c r="B185" s="171" t="s">
        <v>346</v>
      </c>
      <c r="C185" s="100" t="s">
        <v>97</v>
      </c>
      <c r="D185" s="100">
        <v>1.0</v>
      </c>
      <c r="E185" s="119">
        <v>109.0</v>
      </c>
      <c r="F185" s="118">
        <f t="shared" si="28"/>
        <v>109</v>
      </c>
      <c r="G185" s="118">
        <f t="shared" si="29"/>
        <v>27.25</v>
      </c>
      <c r="H185" s="132" t="s">
        <v>341</v>
      </c>
      <c r="I185" s="1"/>
      <c r="J185" s="104" t="s">
        <v>342</v>
      </c>
      <c r="K185" s="133"/>
      <c r="L185" s="105"/>
      <c r="M185" s="105"/>
      <c r="N185" s="1"/>
      <c r="O185" s="1"/>
      <c r="P185" s="68"/>
    </row>
    <row r="186">
      <c r="A186" s="100">
        <v>1.92114004743E11</v>
      </c>
      <c r="B186" s="171" t="s">
        <v>347</v>
      </c>
      <c r="C186" s="100" t="s">
        <v>97</v>
      </c>
      <c r="D186" s="100">
        <v>1.0</v>
      </c>
      <c r="E186" s="119">
        <v>129.0</v>
      </c>
      <c r="F186" s="118">
        <f t="shared" si="28"/>
        <v>129</v>
      </c>
      <c r="G186" s="118">
        <f t="shared" si="29"/>
        <v>32.25</v>
      </c>
      <c r="H186" s="132" t="s">
        <v>341</v>
      </c>
      <c r="I186" s="1"/>
      <c r="J186" s="104" t="s">
        <v>342</v>
      </c>
      <c r="K186" s="133"/>
      <c r="L186" s="105"/>
      <c r="M186" s="105"/>
      <c r="N186" s="1"/>
      <c r="O186" s="1"/>
      <c r="P186" s="68"/>
    </row>
    <row r="187">
      <c r="A187" s="100">
        <v>1.92114074494E11</v>
      </c>
      <c r="B187" s="172" t="s">
        <v>348</v>
      </c>
      <c r="C187" s="100" t="s">
        <v>97</v>
      </c>
      <c r="D187" s="100">
        <v>1.0</v>
      </c>
      <c r="E187" s="119">
        <v>99.0</v>
      </c>
      <c r="F187" s="118">
        <f t="shared" si="28"/>
        <v>99</v>
      </c>
      <c r="G187" s="118">
        <f t="shared" si="29"/>
        <v>24.75</v>
      </c>
      <c r="H187" s="132" t="s">
        <v>341</v>
      </c>
      <c r="I187" s="1"/>
      <c r="J187" s="104" t="s">
        <v>342</v>
      </c>
      <c r="K187" s="133"/>
      <c r="L187" s="105"/>
      <c r="M187" s="105"/>
      <c r="N187" s="1"/>
      <c r="O187" s="1"/>
      <c r="P187" s="68"/>
    </row>
    <row r="188">
      <c r="A188" s="100">
        <v>1.92114074548E11</v>
      </c>
      <c r="B188" s="171" t="s">
        <v>349</v>
      </c>
      <c r="C188" s="100" t="s">
        <v>97</v>
      </c>
      <c r="D188" s="100">
        <v>1.0</v>
      </c>
      <c r="E188" s="119">
        <v>99.0</v>
      </c>
      <c r="F188" s="118">
        <f t="shared" si="28"/>
        <v>99</v>
      </c>
      <c r="G188" s="118">
        <f t="shared" si="29"/>
        <v>24.75</v>
      </c>
      <c r="H188" s="132" t="s">
        <v>341</v>
      </c>
      <c r="I188" s="1"/>
      <c r="J188" s="104" t="s">
        <v>342</v>
      </c>
      <c r="K188" s="133"/>
      <c r="L188" s="105"/>
      <c r="M188" s="105"/>
      <c r="N188" s="1"/>
      <c r="O188" s="1"/>
      <c r="P188" s="68"/>
    </row>
    <row r="189">
      <c r="A189" s="100">
        <v>1.92114075002E11</v>
      </c>
      <c r="B189" s="171" t="s">
        <v>350</v>
      </c>
      <c r="C189" s="100" t="s">
        <v>97</v>
      </c>
      <c r="D189" s="100">
        <v>1.0</v>
      </c>
      <c r="E189" s="119">
        <v>139.0</v>
      </c>
      <c r="F189" s="118">
        <f t="shared" si="28"/>
        <v>139</v>
      </c>
      <c r="G189" s="118">
        <f t="shared" si="29"/>
        <v>34.75</v>
      </c>
      <c r="H189" s="132" t="s">
        <v>341</v>
      </c>
      <c r="I189" s="1"/>
      <c r="J189" s="104" t="s">
        <v>342</v>
      </c>
      <c r="K189" s="133"/>
      <c r="L189" s="105"/>
      <c r="M189" s="105"/>
      <c r="N189" s="1"/>
      <c r="O189" s="1"/>
      <c r="P189" s="68"/>
    </row>
    <row r="190">
      <c r="A190" s="100">
        <v>1.92114138042E11</v>
      </c>
      <c r="B190" s="171" t="s">
        <v>351</v>
      </c>
      <c r="C190" s="100" t="s">
        <v>97</v>
      </c>
      <c r="D190" s="100">
        <v>1.0</v>
      </c>
      <c r="E190" s="119">
        <v>49.0</v>
      </c>
      <c r="F190" s="118">
        <f t="shared" si="28"/>
        <v>49</v>
      </c>
      <c r="G190" s="118">
        <f t="shared" si="29"/>
        <v>12.25</v>
      </c>
      <c r="H190" s="132" t="s">
        <v>341</v>
      </c>
      <c r="I190" s="1"/>
      <c r="J190" s="104" t="s">
        <v>342</v>
      </c>
      <c r="K190" s="133"/>
      <c r="L190" s="105"/>
      <c r="M190" s="105"/>
      <c r="N190" s="1"/>
      <c r="O190" s="1"/>
      <c r="P190" s="68"/>
    </row>
    <row r="191">
      <c r="A191" s="100">
        <v>1.92114144821E11</v>
      </c>
      <c r="B191" s="171" t="s">
        <v>352</v>
      </c>
      <c r="C191" s="100" t="s">
        <v>97</v>
      </c>
      <c r="D191" s="100">
        <v>1.0</v>
      </c>
      <c r="E191" s="119">
        <v>134.0</v>
      </c>
      <c r="F191" s="118">
        <f t="shared" si="28"/>
        <v>134</v>
      </c>
      <c r="G191" s="118">
        <f t="shared" si="29"/>
        <v>33.5</v>
      </c>
      <c r="H191" s="132" t="s">
        <v>341</v>
      </c>
      <c r="I191" s="1"/>
      <c r="J191" s="104" t="s">
        <v>342</v>
      </c>
      <c r="K191" s="133"/>
      <c r="L191" s="105"/>
      <c r="M191" s="105"/>
      <c r="N191" s="1"/>
      <c r="O191" s="1"/>
      <c r="P191" s="68"/>
    </row>
    <row r="192">
      <c r="A192" s="100">
        <v>1.92114289416E11</v>
      </c>
      <c r="B192" s="172" t="s">
        <v>353</v>
      </c>
      <c r="C192" s="100" t="s">
        <v>97</v>
      </c>
      <c r="D192" s="100">
        <v>1.0</v>
      </c>
      <c r="E192" s="119">
        <v>99.0</v>
      </c>
      <c r="F192" s="118">
        <f t="shared" si="28"/>
        <v>99</v>
      </c>
      <c r="G192" s="118">
        <f t="shared" si="29"/>
        <v>24.75</v>
      </c>
      <c r="H192" s="132" t="s">
        <v>341</v>
      </c>
      <c r="I192" s="1"/>
      <c r="J192" s="104" t="s">
        <v>342</v>
      </c>
      <c r="K192" s="133"/>
      <c r="L192" s="105"/>
      <c r="M192" s="105"/>
      <c r="N192" s="1"/>
      <c r="O192" s="1"/>
      <c r="P192" s="68"/>
    </row>
    <row r="193">
      <c r="A193" s="100">
        <v>1.92114708146E11</v>
      </c>
      <c r="B193" s="171" t="s">
        <v>354</v>
      </c>
      <c r="C193" s="100" t="s">
        <v>97</v>
      </c>
      <c r="D193" s="100">
        <v>1.0</v>
      </c>
      <c r="E193" s="119">
        <v>49.0</v>
      </c>
      <c r="F193" s="118">
        <f t="shared" si="28"/>
        <v>49</v>
      </c>
      <c r="G193" s="118">
        <f t="shared" si="29"/>
        <v>12.25</v>
      </c>
      <c r="H193" s="132" t="s">
        <v>341</v>
      </c>
      <c r="I193" s="1"/>
      <c r="J193" s="104" t="s">
        <v>342</v>
      </c>
      <c r="K193" s="133"/>
      <c r="L193" s="105"/>
      <c r="M193" s="105"/>
      <c r="N193" s="1"/>
      <c r="O193" s="1"/>
      <c r="P193" s="68"/>
    </row>
    <row r="194">
      <c r="A194" s="100">
        <v>1.92114944414E11</v>
      </c>
      <c r="B194" s="172" t="s">
        <v>355</v>
      </c>
      <c r="C194" s="100" t="s">
        <v>97</v>
      </c>
      <c r="D194" s="100">
        <v>1.0</v>
      </c>
      <c r="E194" s="119">
        <v>24.5</v>
      </c>
      <c r="F194" s="118">
        <f t="shared" si="28"/>
        <v>24.5</v>
      </c>
      <c r="G194" s="118">
        <f t="shared" si="29"/>
        <v>6.125</v>
      </c>
      <c r="H194" s="132" t="s">
        <v>341</v>
      </c>
      <c r="I194" s="1"/>
      <c r="J194" s="104" t="s">
        <v>342</v>
      </c>
      <c r="K194" s="133"/>
      <c r="L194" s="105"/>
      <c r="M194" s="105"/>
      <c r="N194" s="1"/>
      <c r="O194" s="1"/>
      <c r="P194" s="68"/>
    </row>
    <row r="195">
      <c r="A195" s="100">
        <v>1.95105643389E11</v>
      </c>
      <c r="B195" s="171" t="s">
        <v>356</v>
      </c>
      <c r="C195" s="100" t="s">
        <v>97</v>
      </c>
      <c r="D195" s="100">
        <v>1.0</v>
      </c>
      <c r="E195" s="119">
        <v>59.0</v>
      </c>
      <c r="F195" s="118">
        <f t="shared" si="28"/>
        <v>59</v>
      </c>
      <c r="G195" s="118">
        <f t="shared" si="29"/>
        <v>14.75</v>
      </c>
      <c r="H195" s="132" t="s">
        <v>341</v>
      </c>
      <c r="I195" s="1"/>
      <c r="J195" s="104" t="s">
        <v>342</v>
      </c>
      <c r="K195" s="133"/>
      <c r="L195" s="105"/>
      <c r="M195" s="105"/>
      <c r="N195" s="1"/>
      <c r="O195" s="1"/>
      <c r="P195" s="68"/>
    </row>
    <row r="196">
      <c r="A196" s="100">
        <v>1.95105863053E11</v>
      </c>
      <c r="B196" s="172" t="s">
        <v>357</v>
      </c>
      <c r="C196" s="100" t="s">
        <v>97</v>
      </c>
      <c r="D196" s="100">
        <v>1.0</v>
      </c>
      <c r="E196" s="119">
        <v>129.0</v>
      </c>
      <c r="F196" s="118">
        <f t="shared" si="28"/>
        <v>129</v>
      </c>
      <c r="G196" s="118">
        <f t="shared" si="29"/>
        <v>32.25</v>
      </c>
      <c r="H196" s="132" t="s">
        <v>341</v>
      </c>
      <c r="I196" s="1"/>
      <c r="J196" s="104" t="s">
        <v>342</v>
      </c>
      <c r="K196" s="133"/>
      <c r="L196" s="105"/>
      <c r="M196" s="105"/>
      <c r="N196" s="1"/>
      <c r="O196" s="1"/>
      <c r="P196" s="68"/>
    </row>
    <row r="197">
      <c r="A197" s="100">
        <v>1.95105864371E11</v>
      </c>
      <c r="B197" s="171" t="s">
        <v>358</v>
      </c>
      <c r="C197" s="100" t="s">
        <v>97</v>
      </c>
      <c r="D197" s="100">
        <v>1.0</v>
      </c>
      <c r="E197" s="119">
        <v>129.0</v>
      </c>
      <c r="F197" s="118">
        <f t="shared" si="28"/>
        <v>129</v>
      </c>
      <c r="G197" s="118">
        <f t="shared" si="29"/>
        <v>32.25</v>
      </c>
      <c r="H197" s="132" t="s">
        <v>341</v>
      </c>
      <c r="I197" s="1"/>
      <c r="J197" s="104" t="s">
        <v>342</v>
      </c>
      <c r="K197" s="133"/>
      <c r="L197" s="105"/>
      <c r="M197" s="105"/>
      <c r="N197" s="1"/>
      <c r="O197" s="1"/>
      <c r="P197" s="68"/>
    </row>
    <row r="198">
      <c r="A198" s="100">
        <v>1.95105950326E11</v>
      </c>
      <c r="B198" s="172" t="s">
        <v>359</v>
      </c>
      <c r="C198" s="100" t="s">
        <v>97</v>
      </c>
      <c r="D198" s="100">
        <v>1.0</v>
      </c>
      <c r="E198" s="119">
        <v>129.0</v>
      </c>
      <c r="F198" s="118">
        <f t="shared" si="28"/>
        <v>129</v>
      </c>
      <c r="G198" s="118">
        <f t="shared" si="29"/>
        <v>32.25</v>
      </c>
      <c r="H198" s="132" t="s">
        <v>341</v>
      </c>
      <c r="I198" s="1"/>
      <c r="J198" s="104" t="s">
        <v>342</v>
      </c>
      <c r="K198" s="133"/>
      <c r="L198" s="105"/>
      <c r="M198" s="105"/>
      <c r="N198" s="1"/>
      <c r="O198" s="1"/>
      <c r="P198" s="68"/>
    </row>
    <row r="199">
      <c r="A199" s="100">
        <v>7.95730451092E11</v>
      </c>
      <c r="B199" s="172" t="s">
        <v>360</v>
      </c>
      <c r="C199" s="100" t="s">
        <v>97</v>
      </c>
      <c r="D199" s="100">
        <v>1.0</v>
      </c>
      <c r="E199" s="119">
        <v>139.0</v>
      </c>
      <c r="F199" s="118">
        <f t="shared" si="28"/>
        <v>139</v>
      </c>
      <c r="G199" s="118">
        <f t="shared" si="29"/>
        <v>34.75</v>
      </c>
      <c r="H199" s="132" t="s">
        <v>310</v>
      </c>
      <c r="I199" s="1"/>
      <c r="J199" s="104" t="s">
        <v>342</v>
      </c>
      <c r="K199" s="133"/>
      <c r="L199" s="105"/>
      <c r="M199" s="105"/>
      <c r="N199" s="1"/>
      <c r="O199" s="1"/>
      <c r="P199" s="68"/>
    </row>
    <row r="200">
      <c r="A200" s="135" t="s">
        <v>361</v>
      </c>
      <c r="B200" s="173" t="s">
        <v>362</v>
      </c>
      <c r="C200" s="100"/>
      <c r="D200" s="100"/>
      <c r="E200" s="119"/>
      <c r="F200" s="118"/>
      <c r="G200" s="118"/>
      <c r="H200" s="146"/>
      <c r="I200" s="1"/>
      <c r="J200" s="104"/>
      <c r="K200" s="133"/>
      <c r="L200" s="105"/>
      <c r="M200" s="105"/>
      <c r="N200" s="1"/>
      <c r="O200" s="1"/>
      <c r="P200" s="68"/>
    </row>
    <row r="201">
      <c r="A201" s="174">
        <v>8.88807431391E11</v>
      </c>
      <c r="B201" s="171" t="s">
        <v>363</v>
      </c>
      <c r="C201" s="100" t="s">
        <v>97</v>
      </c>
      <c r="D201" s="100">
        <v>1.0</v>
      </c>
      <c r="E201" s="119">
        <v>128.0</v>
      </c>
      <c r="F201" s="118">
        <f t="shared" ref="F201:F203" si="30">E201*D201</f>
        <v>128</v>
      </c>
      <c r="G201" s="118">
        <f t="shared" ref="G201:G203" si="31">F201/4</f>
        <v>32</v>
      </c>
      <c r="H201" s="100" t="s">
        <v>364</v>
      </c>
      <c r="I201" s="175" t="s">
        <v>149</v>
      </c>
      <c r="J201" s="104" t="s">
        <v>342</v>
      </c>
      <c r="K201" s="133"/>
      <c r="L201" s="105"/>
      <c r="M201" s="105"/>
      <c r="N201" s="1"/>
      <c r="O201" s="1"/>
      <c r="P201" s="68"/>
    </row>
    <row r="202">
      <c r="A202" s="174">
        <v>8.888075714E11</v>
      </c>
      <c r="B202" s="171" t="s">
        <v>365</v>
      </c>
      <c r="C202" s="100" t="s">
        <v>97</v>
      </c>
      <c r="D202" s="100">
        <v>1.0</v>
      </c>
      <c r="E202" s="119">
        <v>118.0</v>
      </c>
      <c r="F202" s="118">
        <f t="shared" si="30"/>
        <v>118</v>
      </c>
      <c r="G202" s="118">
        <f t="shared" si="31"/>
        <v>29.5</v>
      </c>
      <c r="H202" s="100" t="s">
        <v>364</v>
      </c>
      <c r="I202" s="1" t="s">
        <v>149</v>
      </c>
      <c r="J202" s="104" t="s">
        <v>342</v>
      </c>
      <c r="K202" s="133"/>
      <c r="L202" s="105"/>
      <c r="M202" s="105"/>
      <c r="N202" s="1"/>
      <c r="O202" s="1"/>
      <c r="P202" s="68"/>
    </row>
    <row r="203">
      <c r="A203" s="174">
        <v>1.95105934746E11</v>
      </c>
      <c r="B203" s="171" t="s">
        <v>366</v>
      </c>
      <c r="C203" s="100" t="s">
        <v>97</v>
      </c>
      <c r="D203" s="100">
        <v>1.0</v>
      </c>
      <c r="E203" s="119">
        <v>129.0</v>
      </c>
      <c r="F203" s="118">
        <f t="shared" si="30"/>
        <v>129</v>
      </c>
      <c r="G203" s="118">
        <f t="shared" si="31"/>
        <v>32.25</v>
      </c>
      <c r="H203" s="132" t="s">
        <v>341</v>
      </c>
      <c r="I203" s="176" t="s">
        <v>143</v>
      </c>
      <c r="J203" s="104" t="s">
        <v>342</v>
      </c>
      <c r="K203" s="133"/>
      <c r="L203" s="105"/>
      <c r="M203" s="105"/>
      <c r="N203" s="1"/>
      <c r="O203" s="1"/>
      <c r="P203" s="68"/>
    </row>
    <row r="204">
      <c r="A204" s="112" t="s">
        <v>153</v>
      </c>
      <c r="B204" s="112" t="s">
        <v>367</v>
      </c>
      <c r="C204" s="112" t="str">
        <f>MID($B204,6,7)</f>
        <v>MF18852</v>
      </c>
      <c r="D204" s="112"/>
      <c r="E204" s="138"/>
      <c r="F204" s="124"/>
      <c r="G204" s="124"/>
      <c r="H204" s="127">
        <v>44557.0</v>
      </c>
      <c r="I204" s="1"/>
      <c r="J204" s="104" t="str">
        <f>IF(LEFT(B204,3)="Box","BOX","COUNT")</f>
        <v>BOX</v>
      </c>
      <c r="K204" s="139">
        <f>SUMIF($J$4:$J$8693,$C204,$D$4:$D$8693)</f>
        <v>21</v>
      </c>
      <c r="L204" s="32">
        <f>SUMIF($J$4:$J$8693,$C204,$F$4:$F$8693)</f>
        <v>2262.5</v>
      </c>
      <c r="M204" s="32">
        <f>SUMIF($J$4:$J$8693,$C204,$G$4:$G$8693)</f>
        <v>565.625</v>
      </c>
      <c r="N204" s="1" t="str">
        <f>C204</f>
        <v>MF18852</v>
      </c>
      <c r="O204" s="1" t="str">
        <f>J205</f>
        <v>SHIP</v>
      </c>
      <c r="P204" s="68">
        <f>M204</f>
        <v>565.625</v>
      </c>
      <c r="Q204" s="168">
        <v>44466.0</v>
      </c>
      <c r="R204" s="37" t="s">
        <v>368</v>
      </c>
      <c r="S204" s="37" t="s">
        <v>369</v>
      </c>
    </row>
    <row r="205">
      <c r="A205" s="165" t="s">
        <v>307</v>
      </c>
      <c r="B205" s="140" t="s">
        <v>370</v>
      </c>
      <c r="C205" s="141"/>
      <c r="D205" s="141"/>
      <c r="E205" s="142"/>
      <c r="F205" s="142"/>
      <c r="G205" s="142"/>
      <c r="H205" s="141"/>
      <c r="I205" s="1"/>
      <c r="J205" s="104" t="str">
        <f>IF(B205="","NSHIP","SHIP")</f>
        <v>SHIP</v>
      </c>
      <c r="K205" s="139">
        <f>IF($J205="NSHIP",0,-SUMIF($J$4:$J$8693,$C204,$D$4:$D$8693))</f>
        <v>-21</v>
      </c>
      <c r="L205" s="32">
        <f>IF($J205="NSHIP",0,-SUMIF($J$4:$J$8691,$C204,$F$4:$F$8691))</f>
        <v>-2262.5</v>
      </c>
      <c r="M205" s="32">
        <f>IF($J205="NSHIP",0,-SUMIF($J$4:$J$8691,$C204,$G$4:$G$8691))</f>
        <v>-565.625</v>
      </c>
      <c r="N205" s="1"/>
      <c r="O205" s="1"/>
      <c r="P205" s="68"/>
    </row>
    <row r="206">
      <c r="A206" s="100">
        <v>1.91837192881E11</v>
      </c>
      <c r="B206" s="131" t="s">
        <v>371</v>
      </c>
      <c r="C206" s="100" t="s">
        <v>97</v>
      </c>
      <c r="D206" s="100">
        <v>1.0</v>
      </c>
      <c r="E206" s="119">
        <v>169.0</v>
      </c>
      <c r="F206" s="118">
        <f t="shared" ref="F206:F245" si="32">E206*D206</f>
        <v>169</v>
      </c>
      <c r="G206" s="118">
        <f t="shared" ref="G206:G245" si="33">F206/4</f>
        <v>42.25</v>
      </c>
      <c r="H206" s="100" t="s">
        <v>162</v>
      </c>
      <c r="I206" s="1"/>
      <c r="J206" s="120" t="s">
        <v>372</v>
      </c>
      <c r="K206" s="99"/>
      <c r="L206" s="50"/>
      <c r="M206" s="50"/>
      <c r="P206" s="68"/>
    </row>
    <row r="207">
      <c r="A207" s="100">
        <v>1.92081254523E11</v>
      </c>
      <c r="B207" s="131" t="s">
        <v>373</v>
      </c>
      <c r="C207" s="100" t="s">
        <v>97</v>
      </c>
      <c r="D207" s="100">
        <v>1.0</v>
      </c>
      <c r="E207" s="119">
        <v>79.0</v>
      </c>
      <c r="F207" s="118">
        <f t="shared" si="32"/>
        <v>79</v>
      </c>
      <c r="G207" s="118">
        <f t="shared" si="33"/>
        <v>19.75</v>
      </c>
      <c r="H207" s="100" t="s">
        <v>374</v>
      </c>
      <c r="I207" s="1"/>
      <c r="J207" s="120" t="s">
        <v>372</v>
      </c>
      <c r="K207" s="99"/>
      <c r="L207" s="50"/>
      <c r="M207" s="50"/>
      <c r="P207" s="68"/>
    </row>
    <row r="208">
      <c r="A208" s="100">
        <v>1.93465341808E11</v>
      </c>
      <c r="B208" s="131" t="s">
        <v>375</v>
      </c>
      <c r="C208" s="100" t="s">
        <v>97</v>
      </c>
      <c r="D208" s="100">
        <v>1.0</v>
      </c>
      <c r="E208" s="119">
        <v>38.0</v>
      </c>
      <c r="F208" s="118">
        <f t="shared" si="32"/>
        <v>38</v>
      </c>
      <c r="G208" s="118">
        <f t="shared" si="33"/>
        <v>9.5</v>
      </c>
      <c r="H208" s="100" t="s">
        <v>169</v>
      </c>
      <c r="I208" s="1"/>
      <c r="J208" s="120" t="s">
        <v>372</v>
      </c>
      <c r="K208" s="99"/>
      <c r="L208" s="50"/>
      <c r="M208" s="50"/>
      <c r="P208" s="68"/>
    </row>
    <row r="209">
      <c r="A209" s="100">
        <v>1.93465569479E11</v>
      </c>
      <c r="B209" s="131" t="s">
        <v>376</v>
      </c>
      <c r="C209" s="100" t="s">
        <v>97</v>
      </c>
      <c r="D209" s="100">
        <v>1.0</v>
      </c>
      <c r="E209" s="119">
        <v>38.0</v>
      </c>
      <c r="F209" s="118">
        <f t="shared" si="32"/>
        <v>38</v>
      </c>
      <c r="G209" s="118">
        <f t="shared" si="33"/>
        <v>9.5</v>
      </c>
      <c r="H209" s="100" t="s">
        <v>377</v>
      </c>
      <c r="I209" s="1"/>
      <c r="J209" s="120" t="s">
        <v>372</v>
      </c>
      <c r="K209" s="99"/>
      <c r="L209" s="50"/>
      <c r="M209" s="50"/>
      <c r="P209" s="68"/>
    </row>
    <row r="210">
      <c r="A210" s="100">
        <v>1.93481555661E11</v>
      </c>
      <c r="B210" s="131" t="s">
        <v>378</v>
      </c>
      <c r="C210" s="100" t="s">
        <v>97</v>
      </c>
      <c r="D210" s="100">
        <v>1.0</v>
      </c>
      <c r="E210" s="119">
        <v>178.0</v>
      </c>
      <c r="F210" s="118">
        <f t="shared" si="32"/>
        <v>178</v>
      </c>
      <c r="G210" s="118">
        <f t="shared" si="33"/>
        <v>44.5</v>
      </c>
      <c r="H210" s="100" t="s">
        <v>379</v>
      </c>
      <c r="I210" s="1"/>
      <c r="J210" s="120" t="s">
        <v>372</v>
      </c>
      <c r="K210" s="99"/>
      <c r="L210" s="50"/>
      <c r="M210" s="50"/>
      <c r="P210" s="68"/>
    </row>
    <row r="211">
      <c r="A211" s="100">
        <v>1.9365324245E11</v>
      </c>
      <c r="B211" s="131" t="s">
        <v>380</v>
      </c>
      <c r="C211" s="100" t="s">
        <v>97</v>
      </c>
      <c r="D211" s="100">
        <v>1.0</v>
      </c>
      <c r="E211" s="119">
        <v>198.0</v>
      </c>
      <c r="F211" s="118">
        <f t="shared" si="32"/>
        <v>198</v>
      </c>
      <c r="G211" s="118">
        <f t="shared" si="33"/>
        <v>49.5</v>
      </c>
      <c r="H211" s="100" t="s">
        <v>381</v>
      </c>
      <c r="I211" s="1"/>
      <c r="J211" s="120" t="s">
        <v>372</v>
      </c>
      <c r="K211" s="99"/>
      <c r="L211" s="50"/>
      <c r="M211" s="50"/>
      <c r="P211" s="68"/>
    </row>
    <row r="212">
      <c r="A212" s="100">
        <v>1.94374353142E11</v>
      </c>
      <c r="B212" s="131" t="s">
        <v>382</v>
      </c>
      <c r="C212" s="100" t="s">
        <v>97</v>
      </c>
      <c r="D212" s="100">
        <v>1.0</v>
      </c>
      <c r="E212" s="119">
        <v>50.0</v>
      </c>
      <c r="F212" s="118">
        <f t="shared" si="32"/>
        <v>50</v>
      </c>
      <c r="G212" s="118">
        <f t="shared" si="33"/>
        <v>12.5</v>
      </c>
      <c r="H212" s="100" t="s">
        <v>169</v>
      </c>
      <c r="I212" s="1"/>
      <c r="J212" s="120" t="s">
        <v>372</v>
      </c>
      <c r="K212" s="99"/>
      <c r="L212" s="50"/>
      <c r="M212" s="50"/>
      <c r="P212" s="68"/>
    </row>
    <row r="213">
      <c r="A213" s="100">
        <v>1.94374803289E11</v>
      </c>
      <c r="B213" s="131" t="s">
        <v>383</v>
      </c>
      <c r="C213" s="100" t="s">
        <v>97</v>
      </c>
      <c r="D213" s="100">
        <v>1.0</v>
      </c>
      <c r="E213" s="119">
        <v>68.0</v>
      </c>
      <c r="F213" s="118">
        <f t="shared" si="32"/>
        <v>68</v>
      </c>
      <c r="G213" s="118">
        <f t="shared" si="33"/>
        <v>17</v>
      </c>
      <c r="H213" s="100" t="s">
        <v>169</v>
      </c>
      <c r="I213" s="1"/>
      <c r="J213" s="120" t="s">
        <v>372</v>
      </c>
      <c r="K213" s="99"/>
      <c r="L213" s="50"/>
      <c r="M213" s="50"/>
      <c r="P213" s="68"/>
    </row>
    <row r="214">
      <c r="A214" s="100">
        <v>1.95191016975E11</v>
      </c>
      <c r="B214" s="131" t="s">
        <v>384</v>
      </c>
      <c r="C214" s="100" t="s">
        <v>97</v>
      </c>
      <c r="D214" s="100">
        <v>1.0</v>
      </c>
      <c r="E214" s="119">
        <v>78.0</v>
      </c>
      <c r="F214" s="118">
        <f t="shared" si="32"/>
        <v>78</v>
      </c>
      <c r="G214" s="118">
        <f t="shared" si="33"/>
        <v>19.5</v>
      </c>
      <c r="H214" s="100" t="s">
        <v>385</v>
      </c>
      <c r="I214" s="1"/>
      <c r="J214" s="120" t="s">
        <v>372</v>
      </c>
      <c r="K214" s="99"/>
      <c r="L214" s="50"/>
      <c r="M214" s="50"/>
      <c r="P214" s="68"/>
    </row>
    <row r="215">
      <c r="A215" s="100">
        <v>1.95191196073E11</v>
      </c>
      <c r="B215" s="131" t="s">
        <v>386</v>
      </c>
      <c r="C215" s="100" t="s">
        <v>97</v>
      </c>
      <c r="D215" s="100">
        <v>1.0</v>
      </c>
      <c r="E215" s="119">
        <v>128.0</v>
      </c>
      <c r="F215" s="118">
        <f t="shared" si="32"/>
        <v>128</v>
      </c>
      <c r="G215" s="118">
        <f t="shared" si="33"/>
        <v>32</v>
      </c>
      <c r="H215" s="100" t="s">
        <v>169</v>
      </c>
      <c r="I215" s="1"/>
      <c r="J215" s="120" t="s">
        <v>372</v>
      </c>
      <c r="K215" s="99"/>
      <c r="L215" s="50"/>
      <c r="M215" s="50"/>
      <c r="P215" s="68"/>
    </row>
    <row r="216">
      <c r="A216" s="100">
        <v>1.95203318905E11</v>
      </c>
      <c r="B216" s="131" t="s">
        <v>387</v>
      </c>
      <c r="C216" s="100" t="s">
        <v>97</v>
      </c>
      <c r="D216" s="100">
        <v>1.0</v>
      </c>
      <c r="E216" s="119">
        <v>69.0</v>
      </c>
      <c r="F216" s="118">
        <f t="shared" si="32"/>
        <v>69</v>
      </c>
      <c r="G216" s="118">
        <f t="shared" si="33"/>
        <v>17.25</v>
      </c>
      <c r="H216" s="100" t="s">
        <v>388</v>
      </c>
      <c r="I216" s="1"/>
      <c r="J216" s="120" t="s">
        <v>372</v>
      </c>
      <c r="K216" s="99"/>
      <c r="L216" s="50"/>
      <c r="M216" s="50"/>
      <c r="P216" s="68"/>
    </row>
    <row r="217">
      <c r="A217" s="100">
        <v>6.50868198885E11</v>
      </c>
      <c r="B217" s="131" t="s">
        <v>389</v>
      </c>
      <c r="C217" s="100" t="s">
        <v>97</v>
      </c>
      <c r="D217" s="100">
        <v>1.0</v>
      </c>
      <c r="E217" s="119">
        <v>40.99</v>
      </c>
      <c r="F217" s="118">
        <f t="shared" si="32"/>
        <v>40.99</v>
      </c>
      <c r="G217" s="118">
        <f t="shared" si="33"/>
        <v>10.2475</v>
      </c>
      <c r="H217" s="100" t="s">
        <v>390</v>
      </c>
      <c r="I217" s="1"/>
      <c r="J217" s="120" t="s">
        <v>372</v>
      </c>
      <c r="K217" s="99"/>
      <c r="L217" s="50"/>
      <c r="M217" s="50"/>
      <c r="P217" s="68"/>
    </row>
    <row r="218">
      <c r="A218" s="100">
        <v>6.81283029935E11</v>
      </c>
      <c r="B218" s="131" t="s">
        <v>391</v>
      </c>
      <c r="C218" s="100" t="s">
        <v>97</v>
      </c>
      <c r="D218" s="100">
        <v>1.0</v>
      </c>
      <c r="E218" s="119">
        <v>99.0</v>
      </c>
      <c r="F218" s="118">
        <f t="shared" si="32"/>
        <v>99</v>
      </c>
      <c r="G218" s="118">
        <f t="shared" si="33"/>
        <v>24.75</v>
      </c>
      <c r="H218" s="100" t="s">
        <v>392</v>
      </c>
      <c r="I218" s="1"/>
      <c r="J218" s="120" t="s">
        <v>372</v>
      </c>
      <c r="K218" s="99"/>
      <c r="L218" s="50"/>
      <c r="M218" s="50"/>
      <c r="P218" s="68"/>
    </row>
    <row r="219">
      <c r="A219" s="100">
        <v>6.81283259837E11</v>
      </c>
      <c r="B219" s="131" t="s">
        <v>393</v>
      </c>
      <c r="C219" s="100" t="s">
        <v>97</v>
      </c>
      <c r="D219" s="100">
        <v>1.0</v>
      </c>
      <c r="E219" s="119">
        <v>74.0</v>
      </c>
      <c r="F219" s="118">
        <f t="shared" si="32"/>
        <v>74</v>
      </c>
      <c r="G219" s="118">
        <f t="shared" si="33"/>
        <v>18.5</v>
      </c>
      <c r="H219" s="100" t="s">
        <v>392</v>
      </c>
      <c r="I219" s="1"/>
      <c r="J219" s="120" t="s">
        <v>372</v>
      </c>
      <c r="K219" s="99"/>
      <c r="L219" s="50"/>
      <c r="M219" s="50"/>
      <c r="P219" s="68"/>
    </row>
    <row r="220">
      <c r="A220" s="100">
        <v>6.81283328083E11</v>
      </c>
      <c r="B220" s="131" t="s">
        <v>394</v>
      </c>
      <c r="C220" s="100" t="s">
        <v>97</v>
      </c>
      <c r="D220" s="100">
        <v>1.0</v>
      </c>
      <c r="E220" s="119">
        <v>89.0</v>
      </c>
      <c r="F220" s="118">
        <f t="shared" si="32"/>
        <v>89</v>
      </c>
      <c r="G220" s="118">
        <f t="shared" si="33"/>
        <v>22.25</v>
      </c>
      <c r="H220" s="100" t="s">
        <v>392</v>
      </c>
      <c r="I220" s="1"/>
      <c r="J220" s="120" t="s">
        <v>372</v>
      </c>
      <c r="K220" s="99"/>
      <c r="L220" s="50"/>
      <c r="M220" s="50"/>
      <c r="P220" s="68"/>
    </row>
    <row r="221">
      <c r="A221" s="100">
        <v>6.81283329301E11</v>
      </c>
      <c r="B221" s="131" t="s">
        <v>395</v>
      </c>
      <c r="C221" s="100" t="s">
        <v>97</v>
      </c>
      <c r="D221" s="100">
        <v>1.0</v>
      </c>
      <c r="E221" s="119">
        <v>89.0</v>
      </c>
      <c r="F221" s="118">
        <f t="shared" si="32"/>
        <v>89</v>
      </c>
      <c r="G221" s="118">
        <f t="shared" si="33"/>
        <v>22.25</v>
      </c>
      <c r="H221" s="100" t="s">
        <v>392</v>
      </c>
      <c r="I221" s="1"/>
      <c r="J221" s="120" t="s">
        <v>372</v>
      </c>
      <c r="K221" s="99"/>
      <c r="L221" s="50"/>
      <c r="M221" s="50"/>
      <c r="P221" s="68"/>
    </row>
    <row r="222">
      <c r="A222" s="100">
        <v>7.08008593851E11</v>
      </c>
      <c r="B222" s="131" t="s">
        <v>396</v>
      </c>
      <c r="C222" s="100" t="s">
        <v>97</v>
      </c>
      <c r="D222" s="100">
        <v>1.0</v>
      </c>
      <c r="E222" s="119">
        <v>46.99</v>
      </c>
      <c r="F222" s="118">
        <f t="shared" si="32"/>
        <v>46.99</v>
      </c>
      <c r="G222" s="118">
        <f t="shared" si="33"/>
        <v>11.7475</v>
      </c>
      <c r="H222" s="100" t="s">
        <v>189</v>
      </c>
      <c r="I222" s="1"/>
      <c r="J222" s="120" t="s">
        <v>372</v>
      </c>
      <c r="K222" s="99"/>
      <c r="L222" s="50"/>
      <c r="M222" s="50"/>
      <c r="P222" s="68"/>
    </row>
    <row r="223">
      <c r="A223" s="100">
        <v>7.08008598689E11</v>
      </c>
      <c r="B223" s="131" t="s">
        <v>397</v>
      </c>
      <c r="C223" s="100" t="s">
        <v>97</v>
      </c>
      <c r="D223" s="100">
        <v>1.0</v>
      </c>
      <c r="E223" s="119">
        <v>69.0</v>
      </c>
      <c r="F223" s="118">
        <f t="shared" si="32"/>
        <v>69</v>
      </c>
      <c r="G223" s="118">
        <f t="shared" si="33"/>
        <v>17.25</v>
      </c>
      <c r="H223" s="100" t="s">
        <v>189</v>
      </c>
      <c r="I223" s="1"/>
      <c r="J223" s="120" t="s">
        <v>372</v>
      </c>
      <c r="K223" s="99"/>
      <c r="L223" s="50"/>
      <c r="M223" s="50"/>
      <c r="P223" s="68"/>
    </row>
    <row r="224">
      <c r="A224" s="100">
        <v>7.08008600542E11</v>
      </c>
      <c r="B224" s="131" t="s">
        <v>398</v>
      </c>
      <c r="C224" s="100" t="s">
        <v>97</v>
      </c>
      <c r="D224" s="100">
        <v>1.0</v>
      </c>
      <c r="E224" s="119">
        <v>46.99</v>
      </c>
      <c r="F224" s="118">
        <f t="shared" si="32"/>
        <v>46.99</v>
      </c>
      <c r="G224" s="118">
        <f t="shared" si="33"/>
        <v>11.7475</v>
      </c>
      <c r="H224" s="100" t="s">
        <v>189</v>
      </c>
      <c r="I224" s="1"/>
      <c r="J224" s="120" t="s">
        <v>372</v>
      </c>
      <c r="K224" s="99"/>
      <c r="L224" s="50"/>
      <c r="M224" s="50"/>
      <c r="P224" s="68"/>
    </row>
    <row r="225">
      <c r="A225" s="100">
        <v>7.32994170567E11</v>
      </c>
      <c r="B225" s="131" t="s">
        <v>399</v>
      </c>
      <c r="C225" s="100" t="s">
        <v>97</v>
      </c>
      <c r="D225" s="100">
        <v>1.0</v>
      </c>
      <c r="E225" s="119">
        <v>79.5</v>
      </c>
      <c r="F225" s="118">
        <f t="shared" si="32"/>
        <v>79.5</v>
      </c>
      <c r="G225" s="118">
        <f t="shared" si="33"/>
        <v>19.875</v>
      </c>
      <c r="H225" s="100" t="s">
        <v>400</v>
      </c>
      <c r="I225" s="1"/>
      <c r="J225" s="120" t="s">
        <v>372</v>
      </c>
      <c r="K225" s="99"/>
      <c r="L225" s="50"/>
      <c r="M225" s="50"/>
      <c r="P225" s="68"/>
    </row>
    <row r="226">
      <c r="A226" s="100">
        <v>7.32998829669E11</v>
      </c>
      <c r="B226" s="131" t="s">
        <v>401</v>
      </c>
      <c r="C226" s="100" t="s">
        <v>97</v>
      </c>
      <c r="D226" s="100">
        <v>1.0</v>
      </c>
      <c r="E226" s="119">
        <v>59.5</v>
      </c>
      <c r="F226" s="118">
        <f t="shared" si="32"/>
        <v>59.5</v>
      </c>
      <c r="G226" s="118">
        <f t="shared" si="33"/>
        <v>14.875</v>
      </c>
      <c r="H226" s="100" t="s">
        <v>402</v>
      </c>
      <c r="I226" s="1"/>
      <c r="J226" s="120" t="s">
        <v>372</v>
      </c>
      <c r="K226" s="99"/>
      <c r="L226" s="50"/>
      <c r="M226" s="50"/>
      <c r="P226" s="68"/>
    </row>
    <row r="227">
      <c r="A227" s="100">
        <v>7.32999363667E11</v>
      </c>
      <c r="B227" s="131" t="s">
        <v>403</v>
      </c>
      <c r="C227" s="100" t="s">
        <v>97</v>
      </c>
      <c r="D227" s="100">
        <v>1.0</v>
      </c>
      <c r="E227" s="119">
        <v>99.5</v>
      </c>
      <c r="F227" s="118">
        <f t="shared" si="32"/>
        <v>99.5</v>
      </c>
      <c r="G227" s="118">
        <f t="shared" si="33"/>
        <v>24.875</v>
      </c>
      <c r="H227" s="100" t="s">
        <v>400</v>
      </c>
      <c r="I227" s="1"/>
      <c r="J227" s="120" t="s">
        <v>372</v>
      </c>
      <c r="K227" s="99"/>
      <c r="L227" s="50"/>
      <c r="M227" s="50"/>
      <c r="P227" s="68"/>
    </row>
    <row r="228">
      <c r="A228" s="100">
        <v>7.32999457687E11</v>
      </c>
      <c r="B228" s="131" t="s">
        <v>404</v>
      </c>
      <c r="C228" s="100" t="s">
        <v>97</v>
      </c>
      <c r="D228" s="100">
        <v>1.0</v>
      </c>
      <c r="E228" s="119">
        <v>79.5</v>
      </c>
      <c r="F228" s="118">
        <f t="shared" si="32"/>
        <v>79.5</v>
      </c>
      <c r="G228" s="118">
        <f t="shared" si="33"/>
        <v>19.875</v>
      </c>
      <c r="H228" s="100" t="s">
        <v>402</v>
      </c>
      <c r="I228" s="1"/>
      <c r="J228" s="120" t="s">
        <v>372</v>
      </c>
      <c r="K228" s="99"/>
      <c r="L228" s="50"/>
      <c r="M228" s="50"/>
      <c r="P228" s="68"/>
    </row>
    <row r="229">
      <c r="A229" s="100">
        <v>7.32999556489E11</v>
      </c>
      <c r="B229" s="131" t="s">
        <v>405</v>
      </c>
      <c r="C229" s="100" t="s">
        <v>97</v>
      </c>
      <c r="D229" s="100">
        <v>1.0</v>
      </c>
      <c r="E229" s="119">
        <v>69.5</v>
      </c>
      <c r="F229" s="118">
        <f t="shared" si="32"/>
        <v>69.5</v>
      </c>
      <c r="G229" s="118">
        <f t="shared" si="33"/>
        <v>17.375</v>
      </c>
      <c r="H229" s="100" t="s">
        <v>402</v>
      </c>
      <c r="I229" s="1"/>
      <c r="J229" s="120" t="s">
        <v>372</v>
      </c>
      <c r="K229" s="99"/>
      <c r="L229" s="50"/>
      <c r="M229" s="50"/>
      <c r="P229" s="68"/>
    </row>
    <row r="230">
      <c r="A230" s="100">
        <v>7.33001414728E11</v>
      </c>
      <c r="B230" s="131" t="s">
        <v>406</v>
      </c>
      <c r="C230" s="100" t="s">
        <v>97</v>
      </c>
      <c r="D230" s="100">
        <v>1.0</v>
      </c>
      <c r="E230" s="119">
        <v>49.5</v>
      </c>
      <c r="F230" s="118">
        <f t="shared" si="32"/>
        <v>49.5</v>
      </c>
      <c r="G230" s="118">
        <f t="shared" si="33"/>
        <v>12.375</v>
      </c>
      <c r="H230" s="100" t="s">
        <v>402</v>
      </c>
      <c r="I230" s="1"/>
      <c r="J230" s="120" t="s">
        <v>372</v>
      </c>
      <c r="K230" s="99"/>
      <c r="L230" s="50"/>
      <c r="M230" s="50"/>
      <c r="P230" s="68"/>
    </row>
    <row r="231">
      <c r="A231" s="100">
        <v>7.33001768807E11</v>
      </c>
      <c r="B231" s="131" t="s">
        <v>407</v>
      </c>
      <c r="C231" s="100" t="s">
        <v>97</v>
      </c>
      <c r="D231" s="100">
        <v>2.0</v>
      </c>
      <c r="E231" s="119">
        <v>79.5</v>
      </c>
      <c r="F231" s="118">
        <f t="shared" si="32"/>
        <v>159</v>
      </c>
      <c r="G231" s="118">
        <f t="shared" si="33"/>
        <v>39.75</v>
      </c>
      <c r="H231" s="100" t="s">
        <v>193</v>
      </c>
      <c r="I231" s="1"/>
      <c r="J231" s="120" t="s">
        <v>372</v>
      </c>
      <c r="K231" s="99"/>
      <c r="L231" s="50"/>
      <c r="M231" s="50"/>
      <c r="P231" s="68"/>
    </row>
    <row r="232">
      <c r="A232" s="100">
        <v>7.33001864974E11</v>
      </c>
      <c r="B232" s="131" t="s">
        <v>408</v>
      </c>
      <c r="C232" s="100" t="s">
        <v>97</v>
      </c>
      <c r="D232" s="100">
        <v>1.0</v>
      </c>
      <c r="E232" s="119">
        <v>89.5</v>
      </c>
      <c r="F232" s="118">
        <f t="shared" si="32"/>
        <v>89.5</v>
      </c>
      <c r="G232" s="118">
        <f t="shared" si="33"/>
        <v>22.375</v>
      </c>
      <c r="H232" s="100" t="s">
        <v>193</v>
      </c>
      <c r="I232" s="1"/>
      <c r="J232" s="120" t="s">
        <v>372</v>
      </c>
      <c r="K232" s="99"/>
      <c r="L232" s="50"/>
      <c r="M232" s="50"/>
      <c r="P232" s="68"/>
    </row>
    <row r="233">
      <c r="A233" s="100">
        <v>7.33002021383E11</v>
      </c>
      <c r="B233" s="131" t="s">
        <v>409</v>
      </c>
      <c r="C233" s="100" t="s">
        <v>97</v>
      </c>
      <c r="D233" s="100">
        <v>1.0</v>
      </c>
      <c r="E233" s="119">
        <v>64.5</v>
      </c>
      <c r="F233" s="118">
        <f t="shared" si="32"/>
        <v>64.5</v>
      </c>
      <c r="G233" s="118">
        <f t="shared" si="33"/>
        <v>16.125</v>
      </c>
      <c r="H233" s="100" t="s">
        <v>402</v>
      </c>
      <c r="I233" s="1"/>
      <c r="J233" s="120" t="s">
        <v>372</v>
      </c>
      <c r="K233" s="99"/>
      <c r="L233" s="50"/>
      <c r="M233" s="50"/>
      <c r="P233" s="68"/>
    </row>
    <row r="234">
      <c r="A234" s="100">
        <v>7.33002168774E11</v>
      </c>
      <c r="B234" s="131" t="s">
        <v>410</v>
      </c>
      <c r="C234" s="100" t="s">
        <v>97</v>
      </c>
      <c r="D234" s="100">
        <v>1.0</v>
      </c>
      <c r="E234" s="119">
        <v>69.5</v>
      </c>
      <c r="F234" s="118">
        <f t="shared" si="32"/>
        <v>69.5</v>
      </c>
      <c r="G234" s="118">
        <f t="shared" si="33"/>
        <v>17.375</v>
      </c>
      <c r="H234" s="100" t="s">
        <v>402</v>
      </c>
      <c r="I234" s="1"/>
      <c r="J234" s="120" t="s">
        <v>372</v>
      </c>
      <c r="K234" s="99"/>
      <c r="L234" s="50"/>
      <c r="M234" s="50"/>
      <c r="P234" s="68"/>
    </row>
    <row r="235">
      <c r="A235" s="100">
        <v>7.33002383306E11</v>
      </c>
      <c r="B235" s="131" t="s">
        <v>411</v>
      </c>
      <c r="C235" s="100" t="s">
        <v>97</v>
      </c>
      <c r="D235" s="100">
        <v>1.0</v>
      </c>
      <c r="E235" s="119">
        <v>59.5</v>
      </c>
      <c r="F235" s="118">
        <f t="shared" si="32"/>
        <v>59.5</v>
      </c>
      <c r="G235" s="118">
        <f t="shared" si="33"/>
        <v>14.875</v>
      </c>
      <c r="H235" s="100" t="s">
        <v>402</v>
      </c>
      <c r="I235" s="1"/>
      <c r="J235" s="120" t="s">
        <v>372</v>
      </c>
      <c r="K235" s="99"/>
      <c r="L235" s="50"/>
      <c r="M235" s="50"/>
      <c r="P235" s="68"/>
    </row>
    <row r="236">
      <c r="A236" s="100">
        <v>7.3300238907E11</v>
      </c>
      <c r="B236" s="131" t="s">
        <v>412</v>
      </c>
      <c r="C236" s="100" t="s">
        <v>97</v>
      </c>
      <c r="D236" s="100">
        <v>1.0</v>
      </c>
      <c r="E236" s="119">
        <v>69.5</v>
      </c>
      <c r="F236" s="118">
        <f t="shared" si="32"/>
        <v>69.5</v>
      </c>
      <c r="G236" s="118">
        <f t="shared" si="33"/>
        <v>17.375</v>
      </c>
      <c r="H236" s="100" t="s">
        <v>402</v>
      </c>
      <c r="I236" s="1"/>
      <c r="J236" s="120" t="s">
        <v>372</v>
      </c>
      <c r="K236" s="99"/>
      <c r="L236" s="50"/>
      <c r="M236" s="50"/>
      <c r="P236" s="68"/>
    </row>
    <row r="237">
      <c r="A237" s="100">
        <v>7.33002389094E11</v>
      </c>
      <c r="B237" s="131" t="s">
        <v>413</v>
      </c>
      <c r="C237" s="100" t="s">
        <v>97</v>
      </c>
      <c r="D237" s="100">
        <v>2.0</v>
      </c>
      <c r="E237" s="119">
        <v>69.5</v>
      </c>
      <c r="F237" s="118">
        <f t="shared" si="32"/>
        <v>139</v>
      </c>
      <c r="G237" s="118">
        <f t="shared" si="33"/>
        <v>34.75</v>
      </c>
      <c r="H237" s="100" t="s">
        <v>402</v>
      </c>
      <c r="I237" s="1"/>
      <c r="J237" s="120" t="s">
        <v>372</v>
      </c>
      <c r="K237" s="99"/>
      <c r="L237" s="50"/>
      <c r="M237" s="50"/>
      <c r="P237" s="68"/>
    </row>
    <row r="238">
      <c r="A238" s="100">
        <v>7.33002389278E11</v>
      </c>
      <c r="B238" s="131" t="s">
        <v>414</v>
      </c>
      <c r="C238" s="100" t="s">
        <v>97</v>
      </c>
      <c r="D238" s="100">
        <v>1.0</v>
      </c>
      <c r="E238" s="119">
        <v>69.5</v>
      </c>
      <c r="F238" s="118">
        <f t="shared" si="32"/>
        <v>69.5</v>
      </c>
      <c r="G238" s="118">
        <f t="shared" si="33"/>
        <v>17.375</v>
      </c>
      <c r="H238" s="100" t="s">
        <v>415</v>
      </c>
      <c r="I238" s="1"/>
      <c r="J238" s="120" t="s">
        <v>372</v>
      </c>
      <c r="K238" s="99"/>
      <c r="L238" s="50"/>
      <c r="M238" s="50"/>
      <c r="P238" s="68"/>
    </row>
    <row r="239">
      <c r="A239" s="100">
        <v>7.33002389339E11</v>
      </c>
      <c r="B239" s="131" t="s">
        <v>416</v>
      </c>
      <c r="C239" s="100" t="s">
        <v>97</v>
      </c>
      <c r="D239" s="100">
        <v>1.0</v>
      </c>
      <c r="E239" s="119">
        <v>69.5</v>
      </c>
      <c r="F239" s="118">
        <f t="shared" si="32"/>
        <v>69.5</v>
      </c>
      <c r="G239" s="118">
        <f t="shared" si="33"/>
        <v>17.375</v>
      </c>
      <c r="H239" s="100" t="s">
        <v>402</v>
      </c>
      <c r="I239" s="1"/>
      <c r="J239" s="120" t="s">
        <v>372</v>
      </c>
      <c r="K239" s="99"/>
      <c r="L239" s="50"/>
      <c r="M239" s="50"/>
      <c r="P239" s="68"/>
    </row>
    <row r="240">
      <c r="A240" s="100">
        <v>7.33002389346E11</v>
      </c>
      <c r="B240" s="131" t="s">
        <v>417</v>
      </c>
      <c r="C240" s="100" t="s">
        <v>97</v>
      </c>
      <c r="D240" s="100">
        <v>1.0</v>
      </c>
      <c r="E240" s="119">
        <v>69.5</v>
      </c>
      <c r="F240" s="118">
        <f t="shared" si="32"/>
        <v>69.5</v>
      </c>
      <c r="G240" s="118">
        <f t="shared" si="33"/>
        <v>17.375</v>
      </c>
      <c r="H240" s="100" t="s">
        <v>402</v>
      </c>
      <c r="I240" s="1"/>
      <c r="J240" s="120" t="s">
        <v>372</v>
      </c>
      <c r="K240" s="99"/>
      <c r="L240" s="50"/>
      <c r="M240" s="50"/>
      <c r="P240" s="68"/>
    </row>
    <row r="241">
      <c r="A241" s="100">
        <v>7.47941812933E11</v>
      </c>
      <c r="B241" s="131" t="s">
        <v>418</v>
      </c>
      <c r="C241" s="100" t="s">
        <v>97</v>
      </c>
      <c r="D241" s="100">
        <v>1.0</v>
      </c>
      <c r="E241" s="119">
        <v>44.99</v>
      </c>
      <c r="F241" s="118">
        <f t="shared" si="32"/>
        <v>44.99</v>
      </c>
      <c r="G241" s="118">
        <f t="shared" si="33"/>
        <v>11.2475</v>
      </c>
      <c r="H241" s="100" t="s">
        <v>419</v>
      </c>
      <c r="I241" s="1"/>
      <c r="J241" s="120" t="s">
        <v>372</v>
      </c>
      <c r="K241" s="99"/>
      <c r="L241" s="50"/>
      <c r="M241" s="50"/>
      <c r="P241" s="68"/>
    </row>
    <row r="242">
      <c r="A242" s="100">
        <v>7.47941892577E11</v>
      </c>
      <c r="B242" s="131" t="s">
        <v>420</v>
      </c>
      <c r="C242" s="100" t="s">
        <v>97</v>
      </c>
      <c r="D242" s="100">
        <v>1.0</v>
      </c>
      <c r="E242" s="119">
        <v>43.99</v>
      </c>
      <c r="F242" s="118">
        <f t="shared" si="32"/>
        <v>43.99</v>
      </c>
      <c r="G242" s="118">
        <f t="shared" si="33"/>
        <v>10.9975</v>
      </c>
      <c r="H242" s="100" t="s">
        <v>183</v>
      </c>
      <c r="I242" s="1"/>
      <c r="J242" s="120" t="s">
        <v>372</v>
      </c>
      <c r="K242" s="99"/>
      <c r="L242" s="50"/>
      <c r="M242" s="50"/>
      <c r="P242" s="68"/>
    </row>
    <row r="243">
      <c r="A243" s="100">
        <v>7.94795106077E11</v>
      </c>
      <c r="B243" s="131" t="s">
        <v>421</v>
      </c>
      <c r="C243" s="100" t="s">
        <v>97</v>
      </c>
      <c r="D243" s="100">
        <v>1.0</v>
      </c>
      <c r="E243" s="119">
        <v>99.0</v>
      </c>
      <c r="F243" s="118">
        <f t="shared" si="32"/>
        <v>99</v>
      </c>
      <c r="G243" s="118">
        <f t="shared" si="33"/>
        <v>24.75</v>
      </c>
      <c r="H243" s="100" t="s">
        <v>422</v>
      </c>
      <c r="I243" s="1"/>
      <c r="J243" s="120" t="s">
        <v>372</v>
      </c>
      <c r="K243" s="99"/>
      <c r="L243" s="50"/>
      <c r="M243" s="50"/>
      <c r="P243" s="68"/>
    </row>
    <row r="244">
      <c r="A244" s="100">
        <v>8.8881566938E11</v>
      </c>
      <c r="B244" s="131" t="s">
        <v>423</v>
      </c>
      <c r="C244" s="100" t="s">
        <v>97</v>
      </c>
      <c r="D244" s="100">
        <v>1.0</v>
      </c>
      <c r="E244" s="119">
        <v>79.0</v>
      </c>
      <c r="F244" s="118">
        <f t="shared" si="32"/>
        <v>79</v>
      </c>
      <c r="G244" s="118">
        <f t="shared" si="33"/>
        <v>19.75</v>
      </c>
      <c r="H244" s="100" t="s">
        <v>206</v>
      </c>
      <c r="I244" s="1"/>
      <c r="J244" s="120" t="s">
        <v>372</v>
      </c>
      <c r="K244" s="99"/>
      <c r="L244" s="50"/>
      <c r="M244" s="50"/>
      <c r="P244" s="68"/>
    </row>
    <row r="245">
      <c r="A245" s="100">
        <v>8.89648469734E11</v>
      </c>
      <c r="B245" s="131" t="s">
        <v>424</v>
      </c>
      <c r="C245" s="100" t="s">
        <v>97</v>
      </c>
      <c r="D245" s="100">
        <v>1.0</v>
      </c>
      <c r="E245" s="119">
        <v>89.0</v>
      </c>
      <c r="F245" s="118">
        <f t="shared" si="32"/>
        <v>89</v>
      </c>
      <c r="G245" s="118">
        <f t="shared" si="33"/>
        <v>22.25</v>
      </c>
      <c r="H245" s="100" t="s">
        <v>425</v>
      </c>
      <c r="I245" s="1"/>
      <c r="J245" s="120" t="s">
        <v>372</v>
      </c>
      <c r="K245" s="99"/>
      <c r="L245" s="50"/>
      <c r="M245" s="50"/>
      <c r="P245" s="68"/>
    </row>
    <row r="246">
      <c r="A246" s="144" t="s">
        <v>426</v>
      </c>
      <c r="B246" s="145" t="s">
        <v>427</v>
      </c>
      <c r="C246" s="146"/>
      <c r="D246" s="146"/>
      <c r="E246" s="147"/>
      <c r="F246" s="177"/>
      <c r="G246" s="177"/>
      <c r="H246" s="148"/>
      <c r="I246" s="1"/>
      <c r="J246" s="120"/>
      <c r="K246" s="99"/>
      <c r="L246" s="50"/>
      <c r="M246" s="50"/>
      <c r="P246" s="68"/>
    </row>
    <row r="247">
      <c r="A247" s="100">
        <v>8.84094027644E11</v>
      </c>
      <c r="B247" s="131" t="s">
        <v>428</v>
      </c>
      <c r="C247" s="100" t="s">
        <v>97</v>
      </c>
      <c r="D247" s="100">
        <v>1.0</v>
      </c>
      <c r="E247" s="119">
        <v>125.0</v>
      </c>
      <c r="F247" s="118">
        <f>E247*D247</f>
        <v>125</v>
      </c>
      <c r="G247" s="118">
        <f>F247/4</f>
        <v>31.25</v>
      </c>
      <c r="H247" s="143" t="s">
        <v>198</v>
      </c>
      <c r="I247" s="1"/>
      <c r="J247" s="120" t="s">
        <v>372</v>
      </c>
      <c r="K247" s="99"/>
      <c r="L247" s="50"/>
      <c r="M247" s="50"/>
      <c r="P247" s="68"/>
    </row>
    <row r="248">
      <c r="A248" s="144" t="s">
        <v>429</v>
      </c>
      <c r="B248" s="145" t="s">
        <v>430</v>
      </c>
      <c r="C248" s="100"/>
      <c r="D248" s="100"/>
      <c r="E248" s="119"/>
      <c r="F248" s="118"/>
      <c r="G248" s="118"/>
      <c r="H248" s="143"/>
      <c r="I248" s="1"/>
      <c r="J248" s="120"/>
      <c r="K248" s="99"/>
      <c r="L248" s="50"/>
      <c r="M248" s="50"/>
      <c r="P248" s="68"/>
    </row>
    <row r="249">
      <c r="A249" s="174">
        <v>8.84094262342E11</v>
      </c>
      <c r="B249" s="131" t="s">
        <v>431</v>
      </c>
      <c r="C249" s="100" t="s">
        <v>97</v>
      </c>
      <c r="D249" s="100">
        <v>1.0</v>
      </c>
      <c r="E249" s="119">
        <v>165.0</v>
      </c>
      <c r="F249" s="118">
        <f t="shared" ref="F249:F252" si="34">E249*D249</f>
        <v>165</v>
      </c>
      <c r="G249" s="118">
        <f t="shared" ref="G249:G252" si="35">F249/4</f>
        <v>41.25</v>
      </c>
      <c r="H249" s="143" t="s">
        <v>198</v>
      </c>
      <c r="I249" s="1" t="s">
        <v>149</v>
      </c>
      <c r="J249" s="120" t="s">
        <v>372</v>
      </c>
      <c r="K249" s="99"/>
      <c r="L249" s="50"/>
      <c r="M249" s="50"/>
      <c r="P249" s="68"/>
    </row>
    <row r="250">
      <c r="A250" s="174">
        <v>8.8409426241E11</v>
      </c>
      <c r="B250" s="131" t="s">
        <v>432</v>
      </c>
      <c r="C250" s="100" t="s">
        <v>97</v>
      </c>
      <c r="D250" s="100">
        <v>1.0</v>
      </c>
      <c r="E250" s="119">
        <v>165.0</v>
      </c>
      <c r="F250" s="118">
        <f t="shared" si="34"/>
        <v>165</v>
      </c>
      <c r="G250" s="118">
        <f t="shared" si="35"/>
        <v>41.25</v>
      </c>
      <c r="H250" s="143" t="s">
        <v>198</v>
      </c>
      <c r="I250" s="1" t="s">
        <v>149</v>
      </c>
      <c r="J250" s="120" t="s">
        <v>372</v>
      </c>
      <c r="K250" s="99"/>
      <c r="L250" s="50"/>
      <c r="M250" s="50"/>
      <c r="P250" s="68"/>
    </row>
    <row r="251">
      <c r="A251" s="174">
        <v>8.84094495283E11</v>
      </c>
      <c r="B251" s="131" t="s">
        <v>433</v>
      </c>
      <c r="C251" s="100" t="s">
        <v>97</v>
      </c>
      <c r="D251" s="100">
        <v>1.0</v>
      </c>
      <c r="E251" s="119">
        <v>109.0</v>
      </c>
      <c r="F251" s="118">
        <f t="shared" si="34"/>
        <v>109</v>
      </c>
      <c r="G251" s="118">
        <f t="shared" si="35"/>
        <v>27.25</v>
      </c>
      <c r="H251" s="143" t="s">
        <v>198</v>
      </c>
      <c r="I251" s="1" t="s">
        <v>149</v>
      </c>
      <c r="J251" s="120" t="s">
        <v>372</v>
      </c>
      <c r="K251" s="99"/>
      <c r="L251" s="50"/>
      <c r="M251" s="50"/>
      <c r="P251" s="68"/>
    </row>
    <row r="252">
      <c r="A252" s="174">
        <v>8.89631123544E11</v>
      </c>
      <c r="B252" s="131" t="s">
        <v>434</v>
      </c>
      <c r="C252" s="100" t="s">
        <v>97</v>
      </c>
      <c r="D252" s="100">
        <v>1.0</v>
      </c>
      <c r="E252" s="119">
        <v>79.0</v>
      </c>
      <c r="F252" s="118">
        <f t="shared" si="34"/>
        <v>79</v>
      </c>
      <c r="G252" s="118">
        <f t="shared" si="35"/>
        <v>19.75</v>
      </c>
      <c r="H252" s="143" t="s">
        <v>435</v>
      </c>
      <c r="I252" s="178" t="s">
        <v>436</v>
      </c>
      <c r="J252" s="120" t="s">
        <v>372</v>
      </c>
      <c r="K252" s="99"/>
      <c r="L252" s="50"/>
      <c r="M252" s="50"/>
      <c r="P252" s="68"/>
    </row>
    <row r="253">
      <c r="A253" s="112" t="s">
        <v>224</v>
      </c>
      <c r="B253" s="112" t="s">
        <v>437</v>
      </c>
      <c r="C253" s="112" t="str">
        <f>MID($B253,6,7)</f>
        <v>GR18238</v>
      </c>
      <c r="D253" s="112"/>
      <c r="E253" s="112"/>
      <c r="F253" s="112"/>
      <c r="G253" s="112"/>
      <c r="H253" s="127">
        <v>44557.0</v>
      </c>
      <c r="I253" s="1"/>
      <c r="J253" s="108" t="str">
        <f>IF(LEFT(B253,3)="Box","BOX","COUNT")</f>
        <v>BOX</v>
      </c>
      <c r="K253" s="99">
        <f>SUMIF($J$4:$J$8712,$C253,$D$4:$D$8712)</f>
        <v>47</v>
      </c>
      <c r="L253" s="50">
        <f>SUMIF($J$4:$J$8712,$C253,$F$4:$F$8712)</f>
        <v>3942.95</v>
      </c>
      <c r="M253" s="50">
        <f>SUMIF($J$4:$J$8712,$C253,$G$4:$G$8712)</f>
        <v>985.7375</v>
      </c>
      <c r="N253" s="70" t="str">
        <f>C253</f>
        <v>GR18238</v>
      </c>
      <c r="O253" s="70" t="str">
        <f>J254</f>
        <v>SHIP</v>
      </c>
      <c r="P253" s="68">
        <f>M253</f>
        <v>985.7375</v>
      </c>
      <c r="Q253" s="114">
        <v>44494.0</v>
      </c>
      <c r="R253" s="37" t="s">
        <v>438</v>
      </c>
      <c r="S253" s="37" t="s">
        <v>439</v>
      </c>
    </row>
    <row r="254">
      <c r="A254" s="165" t="s">
        <v>307</v>
      </c>
      <c r="B254" s="112" t="s">
        <v>440</v>
      </c>
      <c r="C254" s="141"/>
      <c r="D254" s="141"/>
      <c r="E254" s="142"/>
      <c r="F254" s="142"/>
      <c r="G254" s="142"/>
      <c r="H254" s="141"/>
      <c r="I254" s="1"/>
      <c r="J254" s="108" t="str">
        <f>IF(B254="","NSHIP","SHIP")</f>
        <v>SHIP</v>
      </c>
      <c r="K254" s="99">
        <f>IF($J254="NSHIP",0,-SUMIF($J$4:$J$8712,$C253,$D$4:$D$8712))</f>
        <v>-47</v>
      </c>
      <c r="L254" s="50">
        <f>IF($J254="NSHIP",0,-SUMIF($J$4:$J$8710,$C253,$F$4:$F$8710))</f>
        <v>-3942.95</v>
      </c>
      <c r="M254" s="50">
        <f>IF($J254="NSHIP",0,-SUMIF($J$4:$J$8710,$C253,$G$4:$G$8710))</f>
        <v>-985.7375</v>
      </c>
      <c r="P254" s="68"/>
    </row>
    <row r="255">
      <c r="A255" s="95">
        <v>1.90380998285E11</v>
      </c>
      <c r="B255" s="151" t="s">
        <v>441</v>
      </c>
      <c r="C255" s="95" t="s">
        <v>97</v>
      </c>
      <c r="D255" s="95">
        <v>1.0</v>
      </c>
      <c r="E255" s="101">
        <v>98.0</v>
      </c>
      <c r="F255" s="97">
        <f t="shared" ref="F255:F296" si="36">E255*D255</f>
        <v>98</v>
      </c>
      <c r="G255" s="97">
        <f t="shared" ref="G255:G296" si="37">F255/4</f>
        <v>24.5</v>
      </c>
      <c r="H255" s="95" t="s">
        <v>169</v>
      </c>
      <c r="J255" s="120" t="s">
        <v>442</v>
      </c>
      <c r="K255" s="99"/>
      <c r="L255" s="50"/>
      <c r="M255" s="50"/>
      <c r="P255" s="68"/>
    </row>
    <row r="256">
      <c r="A256" s="95">
        <v>1.93372130717E11</v>
      </c>
      <c r="B256" s="151" t="s">
        <v>443</v>
      </c>
      <c r="C256" s="95" t="s">
        <v>97</v>
      </c>
      <c r="D256" s="95">
        <v>1.0</v>
      </c>
      <c r="E256" s="101">
        <v>225.0</v>
      </c>
      <c r="F256" s="97">
        <f t="shared" si="36"/>
        <v>225</v>
      </c>
      <c r="G256" s="97">
        <f t="shared" si="37"/>
        <v>56.25</v>
      </c>
      <c r="H256" s="95" t="s">
        <v>444</v>
      </c>
      <c r="J256" s="120" t="s">
        <v>442</v>
      </c>
      <c r="K256" s="99"/>
      <c r="L256" s="50"/>
      <c r="M256" s="50"/>
      <c r="P256" s="68"/>
    </row>
    <row r="257">
      <c r="A257" s="95">
        <v>1.93465033048E11</v>
      </c>
      <c r="B257" s="151" t="s">
        <v>445</v>
      </c>
      <c r="C257" s="95" t="s">
        <v>97</v>
      </c>
      <c r="D257" s="95">
        <v>1.0</v>
      </c>
      <c r="E257" s="101">
        <v>108.0</v>
      </c>
      <c r="F257" s="97">
        <f t="shared" si="36"/>
        <v>108</v>
      </c>
      <c r="G257" s="97">
        <f t="shared" si="37"/>
        <v>27</v>
      </c>
      <c r="H257" s="95" t="s">
        <v>169</v>
      </c>
      <c r="J257" s="120" t="s">
        <v>442</v>
      </c>
      <c r="K257" s="99"/>
      <c r="L257" s="50"/>
      <c r="M257" s="50"/>
      <c r="P257" s="68"/>
    </row>
    <row r="258">
      <c r="A258" s="95">
        <v>1.93465966308E11</v>
      </c>
      <c r="B258" s="151" t="s">
        <v>446</v>
      </c>
      <c r="C258" s="95" t="s">
        <v>97</v>
      </c>
      <c r="D258" s="95">
        <v>1.0</v>
      </c>
      <c r="E258" s="101">
        <v>68.0</v>
      </c>
      <c r="F258" s="97">
        <f t="shared" si="36"/>
        <v>68</v>
      </c>
      <c r="G258" s="97">
        <f t="shared" si="37"/>
        <v>17</v>
      </c>
      <c r="H258" s="95" t="s">
        <v>169</v>
      </c>
      <c r="J258" s="120" t="s">
        <v>442</v>
      </c>
      <c r="K258" s="99"/>
      <c r="L258" s="50"/>
      <c r="M258" s="50"/>
      <c r="P258" s="68"/>
    </row>
    <row r="259">
      <c r="A259" s="95">
        <v>1.93653115426E11</v>
      </c>
      <c r="B259" s="151" t="s">
        <v>447</v>
      </c>
      <c r="C259" s="95" t="s">
        <v>97</v>
      </c>
      <c r="D259" s="95">
        <v>1.0</v>
      </c>
      <c r="E259" s="101">
        <v>188.0</v>
      </c>
      <c r="F259" s="97">
        <f t="shared" si="36"/>
        <v>188</v>
      </c>
      <c r="G259" s="97">
        <f t="shared" si="37"/>
        <v>47</v>
      </c>
      <c r="H259" s="95" t="s">
        <v>381</v>
      </c>
      <c r="J259" s="120" t="s">
        <v>442</v>
      </c>
      <c r="K259" s="99"/>
      <c r="L259" s="50"/>
      <c r="M259" s="50"/>
      <c r="P259" s="68"/>
    </row>
    <row r="260">
      <c r="A260" s="95">
        <v>1.93653293315E11</v>
      </c>
      <c r="B260" s="151" t="s">
        <v>448</v>
      </c>
      <c r="C260" s="95" t="s">
        <v>97</v>
      </c>
      <c r="D260" s="95">
        <v>1.0</v>
      </c>
      <c r="E260" s="101">
        <v>188.0</v>
      </c>
      <c r="F260" s="97">
        <f t="shared" si="36"/>
        <v>188</v>
      </c>
      <c r="G260" s="97">
        <f t="shared" si="37"/>
        <v>47</v>
      </c>
      <c r="H260" s="95" t="s">
        <v>381</v>
      </c>
      <c r="J260" s="120" t="s">
        <v>442</v>
      </c>
      <c r="K260" s="99"/>
      <c r="L260" s="50"/>
      <c r="M260" s="50"/>
      <c r="P260" s="68"/>
    </row>
    <row r="261">
      <c r="A261" s="95">
        <v>1.94374229607E11</v>
      </c>
      <c r="B261" s="151" t="s">
        <v>449</v>
      </c>
      <c r="C261" s="95" t="s">
        <v>97</v>
      </c>
      <c r="D261" s="95">
        <v>1.0</v>
      </c>
      <c r="E261" s="101">
        <v>148.0</v>
      </c>
      <c r="F261" s="97">
        <f t="shared" si="36"/>
        <v>148</v>
      </c>
      <c r="G261" s="97">
        <f t="shared" si="37"/>
        <v>37</v>
      </c>
      <c r="H261" s="95" t="s">
        <v>169</v>
      </c>
      <c r="J261" s="120" t="s">
        <v>442</v>
      </c>
      <c r="K261" s="99"/>
      <c r="L261" s="50"/>
      <c r="M261" s="50"/>
      <c r="P261" s="68"/>
    </row>
    <row r="262">
      <c r="A262" s="95">
        <v>1.94374434476E11</v>
      </c>
      <c r="B262" s="151" t="s">
        <v>450</v>
      </c>
      <c r="C262" s="95" t="s">
        <v>97</v>
      </c>
      <c r="D262" s="95">
        <v>2.0</v>
      </c>
      <c r="E262" s="101">
        <v>58.0</v>
      </c>
      <c r="F262" s="97">
        <f t="shared" si="36"/>
        <v>116</v>
      </c>
      <c r="G262" s="97">
        <f t="shared" si="37"/>
        <v>29</v>
      </c>
      <c r="H262" s="95" t="s">
        <v>169</v>
      </c>
      <c r="J262" s="120" t="s">
        <v>442</v>
      </c>
      <c r="K262" s="99"/>
      <c r="L262" s="50"/>
      <c r="M262" s="50"/>
      <c r="P262" s="68"/>
    </row>
    <row r="263">
      <c r="A263" s="95">
        <v>1.94374434483E11</v>
      </c>
      <c r="B263" s="151" t="s">
        <v>451</v>
      </c>
      <c r="C263" s="95" t="s">
        <v>97</v>
      </c>
      <c r="D263" s="95">
        <v>1.0</v>
      </c>
      <c r="E263" s="101">
        <v>58.0</v>
      </c>
      <c r="F263" s="97">
        <f t="shared" si="36"/>
        <v>58</v>
      </c>
      <c r="G263" s="97">
        <f t="shared" si="37"/>
        <v>14.5</v>
      </c>
      <c r="H263" s="95" t="s">
        <v>169</v>
      </c>
      <c r="J263" s="120" t="s">
        <v>442</v>
      </c>
      <c r="K263" s="99"/>
      <c r="L263" s="50"/>
      <c r="M263" s="50"/>
      <c r="P263" s="68"/>
    </row>
    <row r="264">
      <c r="A264" s="95">
        <v>1.94374471402E11</v>
      </c>
      <c r="B264" s="151" t="s">
        <v>452</v>
      </c>
      <c r="C264" s="95" t="s">
        <v>97</v>
      </c>
      <c r="D264" s="95">
        <v>1.0</v>
      </c>
      <c r="E264" s="101">
        <v>78.0</v>
      </c>
      <c r="F264" s="97">
        <f t="shared" si="36"/>
        <v>78</v>
      </c>
      <c r="G264" s="97">
        <f t="shared" si="37"/>
        <v>19.5</v>
      </c>
      <c r="H264" s="95" t="s">
        <v>169</v>
      </c>
      <c r="J264" s="120" t="s">
        <v>442</v>
      </c>
      <c r="K264" s="99"/>
      <c r="L264" s="50"/>
      <c r="M264" s="50"/>
      <c r="P264" s="68"/>
    </row>
    <row r="265">
      <c r="A265" s="95">
        <v>1.94374553245E11</v>
      </c>
      <c r="B265" s="151" t="s">
        <v>453</v>
      </c>
      <c r="C265" s="95" t="s">
        <v>97</v>
      </c>
      <c r="D265" s="95">
        <v>1.0</v>
      </c>
      <c r="E265" s="101">
        <v>38.0</v>
      </c>
      <c r="F265" s="97">
        <f t="shared" si="36"/>
        <v>38</v>
      </c>
      <c r="G265" s="97">
        <f t="shared" si="37"/>
        <v>9.5</v>
      </c>
      <c r="H265" s="95" t="s">
        <v>169</v>
      </c>
      <c r="J265" s="120" t="s">
        <v>442</v>
      </c>
      <c r="K265" s="99"/>
      <c r="L265" s="50"/>
      <c r="M265" s="50"/>
      <c r="P265" s="68"/>
    </row>
    <row r="266">
      <c r="A266" s="95">
        <v>1.94374617978E11</v>
      </c>
      <c r="B266" s="151" t="s">
        <v>454</v>
      </c>
      <c r="C266" s="95" t="s">
        <v>97</v>
      </c>
      <c r="D266" s="95">
        <v>1.0</v>
      </c>
      <c r="E266" s="101">
        <v>68.0</v>
      </c>
      <c r="F266" s="97">
        <f t="shared" si="36"/>
        <v>68</v>
      </c>
      <c r="G266" s="97">
        <f t="shared" si="37"/>
        <v>17</v>
      </c>
      <c r="H266" s="95" t="s">
        <v>169</v>
      </c>
      <c r="J266" s="120" t="s">
        <v>442</v>
      </c>
      <c r="K266" s="99"/>
      <c r="L266" s="50"/>
      <c r="M266" s="50"/>
      <c r="P266" s="68"/>
    </row>
    <row r="267">
      <c r="A267" s="95">
        <v>1.94374700755E11</v>
      </c>
      <c r="B267" s="151" t="s">
        <v>455</v>
      </c>
      <c r="C267" s="95" t="s">
        <v>97</v>
      </c>
      <c r="D267" s="95">
        <v>1.0</v>
      </c>
      <c r="E267" s="101">
        <v>78.0</v>
      </c>
      <c r="F267" s="97">
        <f t="shared" si="36"/>
        <v>78</v>
      </c>
      <c r="G267" s="97">
        <f t="shared" si="37"/>
        <v>19.5</v>
      </c>
      <c r="H267" s="95" t="s">
        <v>169</v>
      </c>
      <c r="J267" s="120" t="s">
        <v>442</v>
      </c>
      <c r="K267" s="99"/>
      <c r="L267" s="50"/>
      <c r="M267" s="50"/>
      <c r="P267" s="68"/>
    </row>
    <row r="268">
      <c r="A268" s="95">
        <v>1.94374803289E11</v>
      </c>
      <c r="B268" s="151" t="s">
        <v>456</v>
      </c>
      <c r="C268" s="95" t="s">
        <v>97</v>
      </c>
      <c r="D268" s="95">
        <v>1.0</v>
      </c>
      <c r="E268" s="101">
        <v>68.0</v>
      </c>
      <c r="F268" s="97">
        <f t="shared" si="36"/>
        <v>68</v>
      </c>
      <c r="G268" s="97">
        <f t="shared" si="37"/>
        <v>17</v>
      </c>
      <c r="H268" s="95" t="s">
        <v>169</v>
      </c>
      <c r="J268" s="120" t="s">
        <v>442</v>
      </c>
      <c r="K268" s="99"/>
      <c r="L268" s="50"/>
      <c r="M268" s="50"/>
      <c r="P268" s="68"/>
    </row>
    <row r="269">
      <c r="A269" s="95">
        <v>1.94374803364E11</v>
      </c>
      <c r="B269" s="151" t="s">
        <v>457</v>
      </c>
      <c r="C269" s="95" t="s">
        <v>97</v>
      </c>
      <c r="D269" s="95">
        <v>1.0</v>
      </c>
      <c r="E269" s="101">
        <v>68.0</v>
      </c>
      <c r="F269" s="97">
        <f t="shared" si="36"/>
        <v>68</v>
      </c>
      <c r="G269" s="97">
        <f t="shared" si="37"/>
        <v>17</v>
      </c>
      <c r="H269" s="95" t="s">
        <v>169</v>
      </c>
      <c r="J269" s="120" t="s">
        <v>442</v>
      </c>
      <c r="K269" s="99"/>
      <c r="L269" s="50"/>
      <c r="M269" s="50"/>
      <c r="P269" s="68"/>
    </row>
    <row r="270">
      <c r="A270" s="95">
        <v>1.94374811055E11</v>
      </c>
      <c r="B270" s="151" t="s">
        <v>458</v>
      </c>
      <c r="C270" s="95" t="s">
        <v>97</v>
      </c>
      <c r="D270" s="95">
        <v>1.0</v>
      </c>
      <c r="E270" s="101">
        <v>88.0</v>
      </c>
      <c r="F270" s="97">
        <f t="shared" si="36"/>
        <v>88</v>
      </c>
      <c r="G270" s="97">
        <f t="shared" si="37"/>
        <v>22</v>
      </c>
      <c r="H270" s="95" t="s">
        <v>169</v>
      </c>
      <c r="J270" s="120" t="s">
        <v>442</v>
      </c>
      <c r="K270" s="99"/>
      <c r="L270" s="50"/>
      <c r="M270" s="50"/>
      <c r="P270" s="68"/>
    </row>
    <row r="271">
      <c r="A271" s="95">
        <v>1.95191066789E11</v>
      </c>
      <c r="B271" s="151" t="s">
        <v>459</v>
      </c>
      <c r="C271" s="95" t="s">
        <v>97</v>
      </c>
      <c r="D271" s="95">
        <v>1.0</v>
      </c>
      <c r="E271" s="101">
        <v>78.0</v>
      </c>
      <c r="F271" s="97">
        <f t="shared" si="36"/>
        <v>78</v>
      </c>
      <c r="G271" s="97">
        <f t="shared" si="37"/>
        <v>19.5</v>
      </c>
      <c r="H271" s="95" t="s">
        <v>169</v>
      </c>
      <c r="J271" s="120" t="s">
        <v>442</v>
      </c>
      <c r="K271" s="99"/>
      <c r="L271" s="50"/>
      <c r="M271" s="50"/>
      <c r="P271" s="68"/>
    </row>
    <row r="272">
      <c r="A272" s="95">
        <v>1.95191358365E11</v>
      </c>
      <c r="B272" s="151" t="s">
        <v>460</v>
      </c>
      <c r="C272" s="95" t="s">
        <v>97</v>
      </c>
      <c r="D272" s="95">
        <v>1.0</v>
      </c>
      <c r="E272" s="101">
        <v>98.0</v>
      </c>
      <c r="F272" s="97">
        <f t="shared" si="36"/>
        <v>98</v>
      </c>
      <c r="G272" s="97">
        <f t="shared" si="37"/>
        <v>24.5</v>
      </c>
      <c r="H272" s="95" t="s">
        <v>385</v>
      </c>
      <c r="J272" s="120" t="s">
        <v>442</v>
      </c>
      <c r="K272" s="99"/>
      <c r="L272" s="50"/>
      <c r="M272" s="50"/>
      <c r="P272" s="68"/>
    </row>
    <row r="273">
      <c r="A273" s="95">
        <v>6.50868162695E11</v>
      </c>
      <c r="B273" s="151" t="s">
        <v>178</v>
      </c>
      <c r="C273" s="95" t="s">
        <v>97</v>
      </c>
      <c r="D273" s="95">
        <v>1.0</v>
      </c>
      <c r="E273" s="101">
        <v>39.0</v>
      </c>
      <c r="F273" s="97">
        <f t="shared" si="36"/>
        <v>39</v>
      </c>
      <c r="G273" s="97">
        <f t="shared" si="37"/>
        <v>9.75</v>
      </c>
      <c r="H273" s="95" t="s">
        <v>179</v>
      </c>
      <c r="J273" s="120" t="s">
        <v>442</v>
      </c>
      <c r="K273" s="99"/>
      <c r="L273" s="50"/>
      <c r="M273" s="50"/>
      <c r="P273" s="68"/>
    </row>
    <row r="274">
      <c r="A274" s="95">
        <v>7.10816031043E11</v>
      </c>
      <c r="B274" s="151" t="s">
        <v>461</v>
      </c>
      <c r="C274" s="95" t="s">
        <v>97</v>
      </c>
      <c r="D274" s="95">
        <v>1.0</v>
      </c>
      <c r="E274" s="101">
        <v>45.99</v>
      </c>
      <c r="F274" s="97">
        <f t="shared" si="36"/>
        <v>45.99</v>
      </c>
      <c r="G274" s="97">
        <f t="shared" si="37"/>
        <v>11.4975</v>
      </c>
      <c r="H274" s="95" t="s">
        <v>390</v>
      </c>
      <c r="J274" s="120" t="s">
        <v>442</v>
      </c>
      <c r="K274" s="99"/>
      <c r="L274" s="50"/>
      <c r="M274" s="50"/>
      <c r="P274" s="68"/>
    </row>
    <row r="275">
      <c r="A275" s="95">
        <v>7.14455158383E11</v>
      </c>
      <c r="B275" s="151" t="s">
        <v>462</v>
      </c>
      <c r="C275" s="95" t="s">
        <v>97</v>
      </c>
      <c r="D275" s="95">
        <v>1.0</v>
      </c>
      <c r="E275" s="101">
        <v>109.0</v>
      </c>
      <c r="F275" s="97">
        <f t="shared" si="36"/>
        <v>109</v>
      </c>
      <c r="G275" s="97">
        <f t="shared" si="37"/>
        <v>27.25</v>
      </c>
      <c r="H275" s="95" t="s">
        <v>463</v>
      </c>
      <c r="J275" s="120" t="s">
        <v>442</v>
      </c>
      <c r="K275" s="99"/>
      <c r="L275" s="50"/>
      <c r="M275" s="50"/>
      <c r="P275" s="68"/>
    </row>
    <row r="276">
      <c r="A276" s="95">
        <v>7.32994165075E11</v>
      </c>
      <c r="B276" s="151" t="s">
        <v>464</v>
      </c>
      <c r="C276" s="95" t="s">
        <v>97</v>
      </c>
      <c r="D276" s="95">
        <v>1.0</v>
      </c>
      <c r="E276" s="101">
        <v>24.5</v>
      </c>
      <c r="F276" s="97">
        <f t="shared" si="36"/>
        <v>24.5</v>
      </c>
      <c r="G276" s="97">
        <f t="shared" si="37"/>
        <v>6.125</v>
      </c>
      <c r="H276" s="95" t="s">
        <v>193</v>
      </c>
      <c r="J276" s="120" t="s">
        <v>442</v>
      </c>
      <c r="K276" s="99"/>
      <c r="L276" s="50"/>
      <c r="M276" s="50"/>
      <c r="P276" s="68"/>
    </row>
    <row r="277">
      <c r="A277" s="95">
        <v>7.32994165136E11</v>
      </c>
      <c r="B277" s="151" t="s">
        <v>465</v>
      </c>
      <c r="C277" s="95" t="s">
        <v>97</v>
      </c>
      <c r="D277" s="95">
        <v>1.0</v>
      </c>
      <c r="E277" s="101">
        <v>24.5</v>
      </c>
      <c r="F277" s="97">
        <f t="shared" si="36"/>
        <v>24.5</v>
      </c>
      <c r="G277" s="97">
        <f t="shared" si="37"/>
        <v>6.125</v>
      </c>
      <c r="H277" s="95" t="s">
        <v>193</v>
      </c>
      <c r="J277" s="120" t="s">
        <v>442</v>
      </c>
      <c r="K277" s="99"/>
      <c r="L277" s="50"/>
      <c r="M277" s="50"/>
      <c r="P277" s="68"/>
    </row>
    <row r="278">
      <c r="A278" s="95">
        <v>7.32994165143E11</v>
      </c>
      <c r="B278" s="151" t="s">
        <v>466</v>
      </c>
      <c r="C278" s="95" t="s">
        <v>97</v>
      </c>
      <c r="D278" s="95">
        <v>1.0</v>
      </c>
      <c r="E278" s="101">
        <v>24.5</v>
      </c>
      <c r="F278" s="97">
        <f t="shared" si="36"/>
        <v>24.5</v>
      </c>
      <c r="G278" s="97">
        <f t="shared" si="37"/>
        <v>6.125</v>
      </c>
      <c r="H278" s="95" t="s">
        <v>193</v>
      </c>
      <c r="J278" s="120" t="s">
        <v>442</v>
      </c>
      <c r="K278" s="99"/>
      <c r="L278" s="50"/>
      <c r="M278" s="50"/>
      <c r="P278" s="68"/>
    </row>
    <row r="279">
      <c r="A279" s="95">
        <v>7.32999289905E11</v>
      </c>
      <c r="B279" s="151" t="s">
        <v>467</v>
      </c>
      <c r="C279" s="95" t="s">
        <v>97</v>
      </c>
      <c r="D279" s="95">
        <v>1.0</v>
      </c>
      <c r="E279" s="101">
        <v>69.5</v>
      </c>
      <c r="F279" s="97">
        <f t="shared" si="36"/>
        <v>69.5</v>
      </c>
      <c r="G279" s="97">
        <f t="shared" si="37"/>
        <v>17.375</v>
      </c>
      <c r="H279" s="95" t="s">
        <v>402</v>
      </c>
      <c r="J279" s="120" t="s">
        <v>442</v>
      </c>
      <c r="K279" s="99"/>
      <c r="L279" s="50"/>
      <c r="M279" s="50"/>
      <c r="P279" s="68"/>
    </row>
    <row r="280">
      <c r="A280" s="95">
        <v>7.33001064077E11</v>
      </c>
      <c r="B280" s="151" t="s">
        <v>468</v>
      </c>
      <c r="C280" s="95" t="s">
        <v>97</v>
      </c>
      <c r="D280" s="95">
        <v>1.0</v>
      </c>
      <c r="E280" s="101">
        <v>69.5</v>
      </c>
      <c r="F280" s="97">
        <f t="shared" si="36"/>
        <v>69.5</v>
      </c>
      <c r="G280" s="97">
        <f t="shared" si="37"/>
        <v>17.375</v>
      </c>
      <c r="H280" s="95" t="s">
        <v>400</v>
      </c>
      <c r="J280" s="120" t="s">
        <v>442</v>
      </c>
      <c r="K280" s="99"/>
      <c r="L280" s="50"/>
      <c r="M280" s="50"/>
      <c r="P280" s="68"/>
    </row>
    <row r="281">
      <c r="A281" s="95">
        <v>7.33001413202E11</v>
      </c>
      <c r="B281" s="151" t="s">
        <v>469</v>
      </c>
      <c r="C281" s="95" t="s">
        <v>97</v>
      </c>
      <c r="D281" s="95">
        <v>1.0</v>
      </c>
      <c r="E281" s="101">
        <v>34.5</v>
      </c>
      <c r="F281" s="97">
        <f t="shared" si="36"/>
        <v>34.5</v>
      </c>
      <c r="G281" s="97">
        <f t="shared" si="37"/>
        <v>8.625</v>
      </c>
      <c r="H281" s="95" t="s">
        <v>415</v>
      </c>
      <c r="J281" s="120" t="s">
        <v>442</v>
      </c>
      <c r="K281" s="99"/>
      <c r="L281" s="50"/>
      <c r="M281" s="50"/>
      <c r="P281" s="68"/>
    </row>
    <row r="282">
      <c r="A282" s="95">
        <v>7.33001429593E11</v>
      </c>
      <c r="B282" s="151" t="s">
        <v>470</v>
      </c>
      <c r="C282" s="95" t="s">
        <v>97</v>
      </c>
      <c r="D282" s="95">
        <v>1.0</v>
      </c>
      <c r="E282" s="101">
        <v>69.5</v>
      </c>
      <c r="F282" s="97">
        <f t="shared" si="36"/>
        <v>69.5</v>
      </c>
      <c r="G282" s="97">
        <f t="shared" si="37"/>
        <v>17.375</v>
      </c>
      <c r="H282" s="95" t="s">
        <v>400</v>
      </c>
      <c r="J282" s="120" t="s">
        <v>442</v>
      </c>
      <c r="K282" s="99"/>
      <c r="L282" s="50"/>
      <c r="M282" s="50"/>
      <c r="P282" s="68"/>
    </row>
    <row r="283">
      <c r="A283" s="95">
        <v>7.33001763079E11</v>
      </c>
      <c r="B283" s="151" t="s">
        <v>471</v>
      </c>
      <c r="C283" s="95" t="s">
        <v>97</v>
      </c>
      <c r="D283" s="95">
        <v>1.0</v>
      </c>
      <c r="E283" s="101">
        <v>69.5</v>
      </c>
      <c r="F283" s="97">
        <f t="shared" si="36"/>
        <v>69.5</v>
      </c>
      <c r="G283" s="97">
        <f t="shared" si="37"/>
        <v>17.375</v>
      </c>
      <c r="H283" s="95" t="s">
        <v>400</v>
      </c>
      <c r="J283" s="120" t="s">
        <v>442</v>
      </c>
      <c r="K283" s="99"/>
      <c r="L283" s="50"/>
      <c r="M283" s="50"/>
      <c r="P283" s="68"/>
    </row>
    <row r="284">
      <c r="A284" s="95">
        <v>7.33001906919E11</v>
      </c>
      <c r="B284" s="151" t="s">
        <v>472</v>
      </c>
      <c r="C284" s="95" t="s">
        <v>97</v>
      </c>
      <c r="D284" s="95">
        <v>1.0</v>
      </c>
      <c r="E284" s="101">
        <v>69.5</v>
      </c>
      <c r="F284" s="97">
        <f t="shared" si="36"/>
        <v>69.5</v>
      </c>
      <c r="G284" s="97">
        <f t="shared" si="37"/>
        <v>17.375</v>
      </c>
      <c r="H284" s="95" t="s">
        <v>402</v>
      </c>
      <c r="J284" s="120" t="s">
        <v>442</v>
      </c>
      <c r="K284" s="99"/>
      <c r="L284" s="50"/>
      <c r="M284" s="50"/>
      <c r="P284" s="68"/>
    </row>
    <row r="285">
      <c r="A285" s="95">
        <v>7.33001916765E11</v>
      </c>
      <c r="B285" s="151" t="s">
        <v>473</v>
      </c>
      <c r="C285" s="95" t="s">
        <v>97</v>
      </c>
      <c r="D285" s="95">
        <v>1.0</v>
      </c>
      <c r="E285" s="101">
        <v>59.5</v>
      </c>
      <c r="F285" s="97">
        <f t="shared" si="36"/>
        <v>59.5</v>
      </c>
      <c r="G285" s="97">
        <f t="shared" si="37"/>
        <v>14.875</v>
      </c>
      <c r="H285" s="95" t="s">
        <v>193</v>
      </c>
      <c r="J285" s="120" t="s">
        <v>442</v>
      </c>
      <c r="K285" s="99"/>
      <c r="L285" s="50"/>
      <c r="M285" s="50"/>
      <c r="P285" s="68"/>
    </row>
    <row r="286">
      <c r="A286" s="95">
        <v>7.33002021369E11</v>
      </c>
      <c r="B286" s="151" t="s">
        <v>474</v>
      </c>
      <c r="C286" s="95" t="s">
        <v>97</v>
      </c>
      <c r="D286" s="95">
        <v>1.0</v>
      </c>
      <c r="E286" s="101">
        <v>64.5</v>
      </c>
      <c r="F286" s="97">
        <f t="shared" si="36"/>
        <v>64.5</v>
      </c>
      <c r="G286" s="97">
        <f t="shared" si="37"/>
        <v>16.125</v>
      </c>
      <c r="H286" s="95" t="s">
        <v>402</v>
      </c>
      <c r="J286" s="120" t="s">
        <v>442</v>
      </c>
      <c r="K286" s="99"/>
      <c r="L286" s="50"/>
      <c r="M286" s="50"/>
      <c r="P286" s="68"/>
    </row>
    <row r="287">
      <c r="A287" s="95">
        <v>7.3300211023E11</v>
      </c>
      <c r="B287" s="151" t="s">
        <v>475</v>
      </c>
      <c r="C287" s="95" t="s">
        <v>97</v>
      </c>
      <c r="D287" s="95">
        <v>1.0</v>
      </c>
      <c r="E287" s="101">
        <v>74.5</v>
      </c>
      <c r="F287" s="97">
        <f t="shared" si="36"/>
        <v>74.5</v>
      </c>
      <c r="G287" s="97">
        <f t="shared" si="37"/>
        <v>18.625</v>
      </c>
      <c r="H287" s="95" t="s">
        <v>402</v>
      </c>
      <c r="J287" s="120" t="s">
        <v>442</v>
      </c>
      <c r="K287" s="99"/>
      <c r="L287" s="50"/>
      <c r="M287" s="50"/>
      <c r="P287" s="68"/>
    </row>
    <row r="288">
      <c r="A288" s="95">
        <v>7.33002110261E11</v>
      </c>
      <c r="B288" s="151" t="s">
        <v>476</v>
      </c>
      <c r="C288" s="95" t="s">
        <v>97</v>
      </c>
      <c r="D288" s="95">
        <v>1.0</v>
      </c>
      <c r="E288" s="101">
        <v>74.5</v>
      </c>
      <c r="F288" s="97">
        <f t="shared" si="36"/>
        <v>74.5</v>
      </c>
      <c r="G288" s="97">
        <f t="shared" si="37"/>
        <v>18.625</v>
      </c>
      <c r="H288" s="95" t="s">
        <v>402</v>
      </c>
      <c r="J288" s="120" t="s">
        <v>442</v>
      </c>
      <c r="K288" s="99"/>
      <c r="L288" s="50"/>
      <c r="M288" s="50"/>
      <c r="P288" s="68"/>
    </row>
    <row r="289">
      <c r="A289" s="95">
        <v>7.33002175956E11</v>
      </c>
      <c r="B289" s="151" t="s">
        <v>477</v>
      </c>
      <c r="C289" s="95" t="s">
        <v>97</v>
      </c>
      <c r="D289" s="95">
        <v>1.0</v>
      </c>
      <c r="E289" s="101">
        <v>59.5</v>
      </c>
      <c r="F289" s="97">
        <f t="shared" si="36"/>
        <v>59.5</v>
      </c>
      <c r="G289" s="97">
        <f t="shared" si="37"/>
        <v>14.875</v>
      </c>
      <c r="H289" s="95" t="s">
        <v>402</v>
      </c>
      <c r="J289" s="120" t="s">
        <v>442</v>
      </c>
      <c r="K289" s="99"/>
      <c r="L289" s="50"/>
      <c r="M289" s="50"/>
      <c r="P289" s="68"/>
    </row>
    <row r="290">
      <c r="A290" s="95">
        <v>7.33002178131E11</v>
      </c>
      <c r="B290" s="151" t="s">
        <v>478</v>
      </c>
      <c r="C290" s="95" t="s">
        <v>97</v>
      </c>
      <c r="D290" s="95">
        <v>1.0</v>
      </c>
      <c r="E290" s="101">
        <v>129.5</v>
      </c>
      <c r="F290" s="97">
        <f t="shared" si="36"/>
        <v>129.5</v>
      </c>
      <c r="G290" s="97">
        <f t="shared" si="37"/>
        <v>32.375</v>
      </c>
      <c r="H290" s="95" t="s">
        <v>402</v>
      </c>
      <c r="J290" s="120" t="s">
        <v>442</v>
      </c>
      <c r="K290" s="99"/>
      <c r="L290" s="50"/>
      <c r="M290" s="50"/>
      <c r="P290" s="68"/>
    </row>
    <row r="291">
      <c r="A291" s="95">
        <v>7.33002389094E11</v>
      </c>
      <c r="B291" s="151" t="s">
        <v>479</v>
      </c>
      <c r="C291" s="95" t="s">
        <v>97</v>
      </c>
      <c r="D291" s="95">
        <v>1.0</v>
      </c>
      <c r="E291" s="101">
        <v>69.5</v>
      </c>
      <c r="F291" s="97">
        <f t="shared" si="36"/>
        <v>69.5</v>
      </c>
      <c r="G291" s="97">
        <f t="shared" si="37"/>
        <v>17.375</v>
      </c>
      <c r="H291" s="95" t="s">
        <v>402</v>
      </c>
      <c r="J291" s="120" t="s">
        <v>442</v>
      </c>
      <c r="K291" s="99"/>
      <c r="L291" s="50"/>
      <c r="M291" s="50"/>
      <c r="P291" s="68"/>
    </row>
    <row r="292">
      <c r="A292" s="95">
        <v>7.33002389339E11</v>
      </c>
      <c r="B292" s="151" t="s">
        <v>480</v>
      </c>
      <c r="C292" s="95" t="s">
        <v>97</v>
      </c>
      <c r="D292" s="95">
        <v>1.0</v>
      </c>
      <c r="E292" s="101">
        <v>69.5</v>
      </c>
      <c r="F292" s="97">
        <f t="shared" si="36"/>
        <v>69.5</v>
      </c>
      <c r="G292" s="97">
        <f t="shared" si="37"/>
        <v>17.375</v>
      </c>
      <c r="H292" s="95" t="s">
        <v>402</v>
      </c>
      <c r="J292" s="120" t="s">
        <v>442</v>
      </c>
      <c r="K292" s="99"/>
      <c r="L292" s="50"/>
      <c r="M292" s="50"/>
      <c r="P292" s="68"/>
    </row>
    <row r="293">
      <c r="A293" s="95">
        <v>7.3300242416E11</v>
      </c>
      <c r="B293" s="151" t="s">
        <v>481</v>
      </c>
      <c r="C293" s="95" t="s">
        <v>97</v>
      </c>
      <c r="D293" s="95">
        <v>1.0</v>
      </c>
      <c r="E293" s="101">
        <v>69.5</v>
      </c>
      <c r="F293" s="97">
        <f t="shared" si="36"/>
        <v>69.5</v>
      </c>
      <c r="G293" s="97">
        <f t="shared" si="37"/>
        <v>17.375</v>
      </c>
      <c r="H293" s="95" t="s">
        <v>402</v>
      </c>
      <c r="J293" s="120" t="s">
        <v>442</v>
      </c>
      <c r="K293" s="99"/>
      <c r="L293" s="50"/>
      <c r="M293" s="50"/>
      <c r="P293" s="68"/>
    </row>
    <row r="294">
      <c r="A294" s="95">
        <v>7.33002502769E11</v>
      </c>
      <c r="B294" s="151" t="s">
        <v>482</v>
      </c>
      <c r="C294" s="95" t="s">
        <v>97</v>
      </c>
      <c r="D294" s="95">
        <v>1.0</v>
      </c>
      <c r="E294" s="101">
        <v>36.5</v>
      </c>
      <c r="F294" s="97">
        <f t="shared" si="36"/>
        <v>36.5</v>
      </c>
      <c r="G294" s="97">
        <f t="shared" si="37"/>
        <v>9.125</v>
      </c>
      <c r="H294" s="95" t="s">
        <v>402</v>
      </c>
      <c r="J294" s="120" t="s">
        <v>442</v>
      </c>
      <c r="K294" s="99"/>
      <c r="L294" s="50"/>
      <c r="M294" s="50"/>
      <c r="P294" s="68"/>
    </row>
    <row r="295">
      <c r="A295" s="95">
        <v>7.49709625144E11</v>
      </c>
      <c r="B295" s="151" t="s">
        <v>483</v>
      </c>
      <c r="C295" s="95" t="s">
        <v>97</v>
      </c>
      <c r="D295" s="95">
        <v>1.0</v>
      </c>
      <c r="E295" s="101">
        <v>279.0</v>
      </c>
      <c r="F295" s="97">
        <f t="shared" si="36"/>
        <v>279</v>
      </c>
      <c r="G295" s="97">
        <f t="shared" si="37"/>
        <v>69.75</v>
      </c>
      <c r="H295" s="95" t="s">
        <v>484</v>
      </c>
      <c r="J295" s="120" t="s">
        <v>442</v>
      </c>
      <c r="K295" s="99"/>
      <c r="L295" s="50"/>
      <c r="M295" s="50"/>
      <c r="P295" s="68"/>
    </row>
    <row r="296">
      <c r="A296" s="179">
        <v>8.87840361764E11</v>
      </c>
      <c r="B296" s="151" t="s">
        <v>485</v>
      </c>
      <c r="C296" s="95" t="s">
        <v>97</v>
      </c>
      <c r="D296" s="95">
        <v>1.0</v>
      </c>
      <c r="E296" s="101">
        <v>59.0</v>
      </c>
      <c r="F296" s="97">
        <f t="shared" si="36"/>
        <v>59</v>
      </c>
      <c r="G296" s="97">
        <f t="shared" si="37"/>
        <v>14.75</v>
      </c>
      <c r="H296" s="95" t="s">
        <v>486</v>
      </c>
      <c r="J296" s="120" t="s">
        <v>442</v>
      </c>
      <c r="K296" s="99"/>
      <c r="L296" s="50"/>
      <c r="M296" s="50"/>
      <c r="P296" s="68"/>
    </row>
    <row r="297">
      <c r="A297" s="152" t="s">
        <v>487</v>
      </c>
      <c r="B297" s="122" t="s">
        <v>488</v>
      </c>
      <c r="C297" s="153"/>
      <c r="D297" s="154"/>
      <c r="E297" s="154"/>
      <c r="F297" s="154"/>
      <c r="G297" s="154"/>
      <c r="H297" s="155"/>
      <c r="I297" s="98"/>
      <c r="J297" s="156"/>
      <c r="K297" s="157"/>
      <c r="L297" s="158"/>
      <c r="M297" s="158"/>
      <c r="N297" s="98"/>
      <c r="O297" s="98"/>
      <c r="P297" s="6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95">
        <v>9.3488014058E10</v>
      </c>
      <c r="B298" s="151" t="s">
        <v>489</v>
      </c>
      <c r="C298" s="95" t="s">
        <v>97</v>
      </c>
      <c r="D298" s="95">
        <v>1.0</v>
      </c>
      <c r="E298" s="101">
        <v>79.99</v>
      </c>
      <c r="F298" s="97">
        <f t="shared" ref="F298:F301" si="38">E298*D298</f>
        <v>79.99</v>
      </c>
      <c r="G298" s="97">
        <f t="shared" ref="G298:G301" si="39">F298/4</f>
        <v>19.9975</v>
      </c>
      <c r="H298" s="95" t="s">
        <v>490</v>
      </c>
      <c r="J298" s="120" t="s">
        <v>442</v>
      </c>
      <c r="K298" s="99"/>
      <c r="L298" s="50"/>
      <c r="M298" s="50"/>
      <c r="P298" s="68"/>
    </row>
    <row r="299">
      <c r="A299" s="95">
        <v>7.9409366897E11</v>
      </c>
      <c r="B299" s="151" t="s">
        <v>491</v>
      </c>
      <c r="C299" s="95" t="s">
        <v>97</v>
      </c>
      <c r="D299" s="95">
        <v>1.0</v>
      </c>
      <c r="E299" s="101">
        <v>149.0</v>
      </c>
      <c r="F299" s="97">
        <f t="shared" si="38"/>
        <v>149</v>
      </c>
      <c r="G299" s="97">
        <f t="shared" si="39"/>
        <v>37.25</v>
      </c>
      <c r="H299" s="95" t="s">
        <v>422</v>
      </c>
      <c r="J299" s="120" t="s">
        <v>442</v>
      </c>
      <c r="K299" s="99"/>
      <c r="L299" s="50"/>
      <c r="M299" s="50"/>
      <c r="P299" s="68"/>
    </row>
    <row r="300">
      <c r="A300" s="95">
        <v>1.95191337865E11</v>
      </c>
      <c r="B300" s="151" t="s">
        <v>492</v>
      </c>
      <c r="C300" s="95" t="s">
        <v>97</v>
      </c>
      <c r="D300" s="95">
        <v>1.0</v>
      </c>
      <c r="E300" s="101">
        <v>128.0</v>
      </c>
      <c r="F300" s="97">
        <f t="shared" si="38"/>
        <v>128</v>
      </c>
      <c r="G300" s="97">
        <f t="shared" si="39"/>
        <v>32</v>
      </c>
      <c r="H300" s="95" t="s">
        <v>385</v>
      </c>
      <c r="J300" s="120" t="s">
        <v>442</v>
      </c>
      <c r="K300" s="99"/>
      <c r="L300" s="50"/>
      <c r="M300" s="50"/>
      <c r="P300" s="68"/>
    </row>
    <row r="301">
      <c r="A301" s="95">
        <v>1.9437450337E11</v>
      </c>
      <c r="B301" s="151" t="s">
        <v>493</v>
      </c>
      <c r="C301" s="95" t="s">
        <v>97</v>
      </c>
      <c r="D301" s="95">
        <v>1.0</v>
      </c>
      <c r="E301" s="101">
        <v>98.0</v>
      </c>
      <c r="F301" s="97">
        <f t="shared" si="38"/>
        <v>98</v>
      </c>
      <c r="G301" s="97">
        <f t="shared" si="39"/>
        <v>24.5</v>
      </c>
      <c r="H301" s="95" t="s">
        <v>169</v>
      </c>
      <c r="J301" s="120" t="s">
        <v>442</v>
      </c>
      <c r="K301" s="99"/>
      <c r="L301" s="50"/>
      <c r="M301" s="50"/>
      <c r="P301" s="68"/>
    </row>
    <row r="302">
      <c r="A302" s="152" t="s">
        <v>494</v>
      </c>
      <c r="B302" s="122" t="s">
        <v>495</v>
      </c>
      <c r="C302" s="153"/>
      <c r="D302" s="154"/>
      <c r="E302" s="154"/>
      <c r="F302" s="154"/>
      <c r="G302" s="154"/>
      <c r="H302" s="155"/>
      <c r="I302" s="98"/>
      <c r="J302" s="156"/>
      <c r="K302" s="157"/>
      <c r="L302" s="158"/>
      <c r="M302" s="158"/>
      <c r="N302" s="98"/>
      <c r="O302" s="98"/>
      <c r="P302" s="6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80">
        <v>1.90392634997E11</v>
      </c>
      <c r="B303" s="151" t="s">
        <v>496</v>
      </c>
      <c r="C303" s="95" t="s">
        <v>97</v>
      </c>
      <c r="D303" s="95">
        <v>1.0</v>
      </c>
      <c r="E303" s="101">
        <v>99.0</v>
      </c>
      <c r="F303" s="97">
        <f t="shared" ref="F303:F304" si="40">E303*D303</f>
        <v>99</v>
      </c>
      <c r="G303" s="97">
        <f t="shared" ref="G303:G304" si="41">F303/4</f>
        <v>24.75</v>
      </c>
      <c r="H303" s="95" t="s">
        <v>497</v>
      </c>
      <c r="I303" s="37" t="s">
        <v>498</v>
      </c>
      <c r="J303" s="120" t="s">
        <v>442</v>
      </c>
      <c r="K303" s="99"/>
      <c r="L303" s="50"/>
      <c r="M303" s="50"/>
      <c r="P303" s="68"/>
    </row>
    <row r="304">
      <c r="A304" s="180">
        <v>8.83806582914E11</v>
      </c>
      <c r="B304" s="151" t="s">
        <v>499</v>
      </c>
      <c r="C304" s="95" t="s">
        <v>97</v>
      </c>
      <c r="D304" s="95">
        <v>1.0</v>
      </c>
      <c r="E304" s="101">
        <v>195.0</v>
      </c>
      <c r="F304" s="97">
        <f t="shared" si="40"/>
        <v>195</v>
      </c>
      <c r="G304" s="97">
        <f t="shared" si="41"/>
        <v>48.75</v>
      </c>
      <c r="H304" s="95" t="s">
        <v>196</v>
      </c>
      <c r="I304" s="37" t="s">
        <v>498</v>
      </c>
      <c r="J304" s="120" t="s">
        <v>442</v>
      </c>
      <c r="K304" s="99"/>
      <c r="L304" s="50"/>
      <c r="M304" s="50"/>
      <c r="P304" s="68"/>
    </row>
    <row r="305">
      <c r="A305" s="111" t="s">
        <v>267</v>
      </c>
      <c r="B305" s="111" t="s">
        <v>500</v>
      </c>
      <c r="C305" s="112" t="str">
        <f>MID($B305,6,7)</f>
        <v>GR18239</v>
      </c>
      <c r="D305" s="111"/>
      <c r="E305" s="111"/>
      <c r="F305" s="111"/>
      <c r="G305" s="111"/>
      <c r="H305" s="113">
        <v>44557.0</v>
      </c>
      <c r="I305" s="159"/>
      <c r="J305" s="160" t="str">
        <f>IF(LEFT(B305,3)="Box","BOX","COUNT")</f>
        <v>BOX</v>
      </c>
      <c r="K305" s="161">
        <f>SUMIF($J$4:$J$8712,$C305,$D$4:$D$8712)</f>
        <v>49</v>
      </c>
      <c r="L305" s="162">
        <f>SUMIF($J$4:$J$8712,$C305,$F$4:$F$8712)</f>
        <v>4302.48</v>
      </c>
      <c r="M305" s="162">
        <f>SUMIF($J$4:$J$8712,$C305,$G$4:$G$8712)</f>
        <v>1075.62</v>
      </c>
      <c r="N305" s="159" t="str">
        <f>C305</f>
        <v>GR18239</v>
      </c>
      <c r="O305" s="159" t="str">
        <f>J306</f>
        <v>SHIP</v>
      </c>
      <c r="P305" s="68">
        <f>M305</f>
        <v>1075.62</v>
      </c>
      <c r="Q305" s="114">
        <v>44494.0</v>
      </c>
      <c r="R305" s="37" t="s">
        <v>438</v>
      </c>
      <c r="S305" s="37" t="s">
        <v>439</v>
      </c>
      <c r="T305" s="159"/>
      <c r="U305" s="159"/>
      <c r="V305" s="159"/>
      <c r="W305" s="159"/>
      <c r="X305" s="159"/>
      <c r="Y305" s="159"/>
      <c r="Z305" s="159"/>
    </row>
    <row r="306">
      <c r="A306" s="109"/>
      <c r="B306" s="111" t="s">
        <v>501</v>
      </c>
      <c r="C306" s="109"/>
      <c r="D306" s="109"/>
      <c r="E306" s="116"/>
      <c r="F306" s="116"/>
      <c r="G306" s="116"/>
      <c r="H306" s="109"/>
      <c r="J306" s="108" t="str">
        <f>IF(B306="","NSHIP","SHIP")</f>
        <v>SHIP</v>
      </c>
      <c r="K306" s="99">
        <f>IF($J306="NSHIP",0,-SUMIF($J$4:$J$8712,$C305,$D$4:$D$8712))</f>
        <v>-49</v>
      </c>
      <c r="L306" s="50">
        <f>IF($J306="NSHIP",0,-SUMIF($J$4:$J$8710,$C305,$F$4:$F$8710))</f>
        <v>-4302.48</v>
      </c>
      <c r="M306" s="50">
        <f>IF($J306="NSHIP",0,-SUMIF($J$4:$J$8710,$C305,$G$4:$G$8710))</f>
        <v>-1075.62</v>
      </c>
      <c r="P306" s="68"/>
    </row>
    <row r="307">
      <c r="A307" s="95">
        <v>8.867004889E9</v>
      </c>
      <c r="B307" s="164" t="s">
        <v>502</v>
      </c>
      <c r="C307" s="95" t="s">
        <v>97</v>
      </c>
      <c r="D307" s="95">
        <v>1.0</v>
      </c>
      <c r="E307" s="101">
        <v>89.0</v>
      </c>
      <c r="F307" s="97">
        <f t="shared" ref="F307:F334" si="42">E307*D307</f>
        <v>89</v>
      </c>
      <c r="G307" s="97">
        <f t="shared" ref="G307:G334" si="43">F307/4</f>
        <v>22.25</v>
      </c>
      <c r="H307" s="95" t="s">
        <v>159</v>
      </c>
      <c r="J307" s="120" t="s">
        <v>503</v>
      </c>
      <c r="K307" s="99"/>
      <c r="L307" s="50"/>
      <c r="M307" s="50"/>
      <c r="P307" s="68"/>
    </row>
    <row r="308">
      <c r="A308" s="95">
        <v>1.90380617278E11</v>
      </c>
      <c r="B308" s="131" t="s">
        <v>504</v>
      </c>
      <c r="C308" s="95" t="s">
        <v>97</v>
      </c>
      <c r="D308" s="95">
        <v>1.0</v>
      </c>
      <c r="E308" s="101">
        <v>30.0</v>
      </c>
      <c r="F308" s="97">
        <f t="shared" si="42"/>
        <v>30</v>
      </c>
      <c r="G308" s="97">
        <f t="shared" si="43"/>
        <v>7.5</v>
      </c>
      <c r="H308" s="95" t="s">
        <v>169</v>
      </c>
      <c r="J308" s="120" t="s">
        <v>503</v>
      </c>
      <c r="K308" s="99"/>
      <c r="L308" s="50"/>
      <c r="M308" s="50"/>
      <c r="P308" s="68"/>
    </row>
    <row r="309">
      <c r="A309" s="95">
        <v>1.93372165351E11</v>
      </c>
      <c r="B309" s="131" t="s">
        <v>505</v>
      </c>
      <c r="C309" s="95" t="s">
        <v>97</v>
      </c>
      <c r="D309" s="95">
        <v>1.0</v>
      </c>
      <c r="E309" s="101">
        <v>195.0</v>
      </c>
      <c r="F309" s="97">
        <f t="shared" si="42"/>
        <v>195</v>
      </c>
      <c r="G309" s="97">
        <f t="shared" si="43"/>
        <v>48.75</v>
      </c>
      <c r="H309" s="95" t="s">
        <v>506</v>
      </c>
      <c r="J309" s="120" t="s">
        <v>503</v>
      </c>
      <c r="K309" s="99"/>
      <c r="L309" s="50"/>
      <c r="M309" s="50"/>
      <c r="P309" s="68"/>
    </row>
    <row r="310">
      <c r="A310" s="95">
        <v>1.9337216769E11</v>
      </c>
      <c r="B310" s="131" t="s">
        <v>507</v>
      </c>
      <c r="C310" s="95" t="s">
        <v>97</v>
      </c>
      <c r="D310" s="95">
        <v>1.0</v>
      </c>
      <c r="E310" s="101">
        <v>215.0</v>
      </c>
      <c r="F310" s="97">
        <f t="shared" si="42"/>
        <v>215</v>
      </c>
      <c r="G310" s="97">
        <f t="shared" si="43"/>
        <v>53.75</v>
      </c>
      <c r="H310" s="95" t="s">
        <v>444</v>
      </c>
      <c r="J310" s="120" t="s">
        <v>503</v>
      </c>
      <c r="K310" s="99"/>
      <c r="L310" s="50"/>
      <c r="M310" s="50"/>
      <c r="P310" s="68"/>
    </row>
    <row r="311">
      <c r="A311" s="95">
        <v>1.93465809605E11</v>
      </c>
      <c r="B311" s="131" t="s">
        <v>508</v>
      </c>
      <c r="C311" s="95" t="s">
        <v>97</v>
      </c>
      <c r="D311" s="95">
        <v>1.0</v>
      </c>
      <c r="E311" s="101">
        <v>148.0</v>
      </c>
      <c r="F311" s="97">
        <f t="shared" si="42"/>
        <v>148</v>
      </c>
      <c r="G311" s="97">
        <f t="shared" si="43"/>
        <v>37</v>
      </c>
      <c r="H311" s="95" t="s">
        <v>169</v>
      </c>
      <c r="J311" s="120" t="s">
        <v>503</v>
      </c>
      <c r="K311" s="99"/>
      <c r="L311" s="50"/>
      <c r="M311" s="50"/>
      <c r="P311" s="68"/>
    </row>
    <row r="312">
      <c r="A312" s="95">
        <v>1.93465966346E11</v>
      </c>
      <c r="B312" s="131" t="s">
        <v>509</v>
      </c>
      <c r="C312" s="95" t="s">
        <v>97</v>
      </c>
      <c r="D312" s="95">
        <v>1.0</v>
      </c>
      <c r="E312" s="101">
        <v>68.0</v>
      </c>
      <c r="F312" s="97">
        <f t="shared" si="42"/>
        <v>68</v>
      </c>
      <c r="G312" s="97">
        <f t="shared" si="43"/>
        <v>17</v>
      </c>
      <c r="H312" s="95" t="s">
        <v>169</v>
      </c>
      <c r="J312" s="120" t="s">
        <v>503</v>
      </c>
      <c r="K312" s="99"/>
      <c r="L312" s="50"/>
      <c r="M312" s="50"/>
      <c r="P312" s="68"/>
    </row>
    <row r="313">
      <c r="A313" s="95">
        <v>1.93653242078E11</v>
      </c>
      <c r="B313" s="131" t="s">
        <v>510</v>
      </c>
      <c r="C313" s="95" t="s">
        <v>97</v>
      </c>
      <c r="D313" s="95">
        <v>1.0</v>
      </c>
      <c r="E313" s="101">
        <v>198.0</v>
      </c>
      <c r="F313" s="97">
        <f t="shared" si="42"/>
        <v>198</v>
      </c>
      <c r="G313" s="97">
        <f t="shared" si="43"/>
        <v>49.5</v>
      </c>
      <c r="H313" s="95" t="s">
        <v>381</v>
      </c>
      <c r="J313" s="120" t="s">
        <v>503</v>
      </c>
      <c r="K313" s="99"/>
      <c r="L313" s="50"/>
      <c r="M313" s="50"/>
      <c r="P313" s="68"/>
    </row>
    <row r="314">
      <c r="A314" s="95">
        <v>1.93653244126E11</v>
      </c>
      <c r="B314" s="131" t="s">
        <v>511</v>
      </c>
      <c r="C314" s="95" t="s">
        <v>97</v>
      </c>
      <c r="D314" s="95">
        <v>1.0</v>
      </c>
      <c r="E314" s="101">
        <v>198.0</v>
      </c>
      <c r="F314" s="97">
        <f t="shared" si="42"/>
        <v>198</v>
      </c>
      <c r="G314" s="97">
        <f t="shared" si="43"/>
        <v>49.5</v>
      </c>
      <c r="H314" s="95" t="s">
        <v>381</v>
      </c>
      <c r="J314" s="120" t="s">
        <v>503</v>
      </c>
      <c r="K314" s="99"/>
      <c r="L314" s="50"/>
      <c r="M314" s="50"/>
      <c r="P314" s="68"/>
    </row>
    <row r="315">
      <c r="A315" s="95">
        <v>1.93653285808E11</v>
      </c>
      <c r="B315" s="131" t="s">
        <v>512</v>
      </c>
      <c r="C315" s="95" t="s">
        <v>97</v>
      </c>
      <c r="D315" s="95">
        <v>1.0</v>
      </c>
      <c r="E315" s="101">
        <v>178.0</v>
      </c>
      <c r="F315" s="97">
        <f t="shared" si="42"/>
        <v>178</v>
      </c>
      <c r="G315" s="97">
        <f t="shared" si="43"/>
        <v>44.5</v>
      </c>
      <c r="H315" s="95" t="s">
        <v>381</v>
      </c>
      <c r="J315" s="120" t="s">
        <v>503</v>
      </c>
      <c r="K315" s="99"/>
      <c r="L315" s="50"/>
      <c r="M315" s="50"/>
      <c r="P315" s="68"/>
    </row>
    <row r="316">
      <c r="A316" s="95">
        <v>1.94374434469E11</v>
      </c>
      <c r="B316" s="131" t="s">
        <v>513</v>
      </c>
      <c r="C316" s="95" t="s">
        <v>97</v>
      </c>
      <c r="D316" s="95">
        <v>3.0</v>
      </c>
      <c r="E316" s="101">
        <v>58.0</v>
      </c>
      <c r="F316" s="97">
        <f t="shared" si="42"/>
        <v>174</v>
      </c>
      <c r="G316" s="97">
        <f t="shared" si="43"/>
        <v>43.5</v>
      </c>
      <c r="H316" s="95" t="s">
        <v>169</v>
      </c>
      <c r="J316" s="120" t="s">
        <v>503</v>
      </c>
      <c r="K316" s="99"/>
      <c r="L316" s="50"/>
      <c r="M316" s="50"/>
      <c r="P316" s="68"/>
    </row>
    <row r="317">
      <c r="A317" s="95">
        <v>1.94374471433E11</v>
      </c>
      <c r="B317" s="131" t="s">
        <v>514</v>
      </c>
      <c r="C317" s="95" t="s">
        <v>97</v>
      </c>
      <c r="D317" s="95">
        <v>1.0</v>
      </c>
      <c r="E317" s="101">
        <v>78.0</v>
      </c>
      <c r="F317" s="97">
        <f t="shared" si="42"/>
        <v>78</v>
      </c>
      <c r="G317" s="97">
        <f t="shared" si="43"/>
        <v>19.5</v>
      </c>
      <c r="H317" s="95" t="s">
        <v>385</v>
      </c>
      <c r="J317" s="120" t="s">
        <v>503</v>
      </c>
      <c r="K317" s="99"/>
      <c r="L317" s="50"/>
      <c r="M317" s="50"/>
      <c r="P317" s="68"/>
    </row>
    <row r="318">
      <c r="A318" s="95">
        <v>1.94374499109E11</v>
      </c>
      <c r="B318" s="131" t="s">
        <v>515</v>
      </c>
      <c r="C318" s="95" t="s">
        <v>97</v>
      </c>
      <c r="D318" s="95">
        <v>1.0</v>
      </c>
      <c r="E318" s="101">
        <v>58.0</v>
      </c>
      <c r="F318" s="97">
        <f t="shared" si="42"/>
        <v>58</v>
      </c>
      <c r="G318" s="97">
        <f t="shared" si="43"/>
        <v>14.5</v>
      </c>
      <c r="H318" s="95" t="s">
        <v>169</v>
      </c>
      <c r="J318" s="120" t="s">
        <v>503</v>
      </c>
      <c r="K318" s="99"/>
      <c r="L318" s="50"/>
      <c r="M318" s="50"/>
      <c r="P318" s="68"/>
    </row>
    <row r="319">
      <c r="A319" s="95">
        <v>1.94374631424E11</v>
      </c>
      <c r="B319" s="131" t="s">
        <v>516</v>
      </c>
      <c r="C319" s="95" t="s">
        <v>97</v>
      </c>
      <c r="D319" s="95">
        <v>1.0</v>
      </c>
      <c r="E319" s="101">
        <v>128.0</v>
      </c>
      <c r="F319" s="97">
        <f t="shared" si="42"/>
        <v>128</v>
      </c>
      <c r="G319" s="97">
        <f t="shared" si="43"/>
        <v>32</v>
      </c>
      <c r="H319" s="95" t="s">
        <v>169</v>
      </c>
      <c r="J319" s="120" t="s">
        <v>503</v>
      </c>
      <c r="K319" s="99"/>
      <c r="L319" s="50"/>
      <c r="M319" s="50"/>
      <c r="P319" s="68"/>
    </row>
    <row r="320">
      <c r="A320" s="95">
        <v>1.95191179489E11</v>
      </c>
      <c r="B320" s="131" t="s">
        <v>517</v>
      </c>
      <c r="C320" s="95" t="s">
        <v>97</v>
      </c>
      <c r="D320" s="95">
        <v>1.0</v>
      </c>
      <c r="E320" s="101">
        <v>98.0</v>
      </c>
      <c r="F320" s="97">
        <f t="shared" si="42"/>
        <v>98</v>
      </c>
      <c r="G320" s="97">
        <f t="shared" si="43"/>
        <v>24.5</v>
      </c>
      <c r="H320" s="95" t="s">
        <v>169</v>
      </c>
      <c r="J320" s="120" t="s">
        <v>503</v>
      </c>
      <c r="K320" s="99"/>
      <c r="L320" s="50"/>
      <c r="M320" s="50"/>
      <c r="P320" s="68"/>
    </row>
    <row r="321">
      <c r="A321" s="95">
        <v>1.95191237592E11</v>
      </c>
      <c r="B321" s="131" t="s">
        <v>518</v>
      </c>
      <c r="C321" s="95" t="s">
        <v>97</v>
      </c>
      <c r="D321" s="95">
        <v>1.0</v>
      </c>
      <c r="E321" s="101">
        <v>168.0</v>
      </c>
      <c r="F321" s="97">
        <f t="shared" si="42"/>
        <v>168</v>
      </c>
      <c r="G321" s="97">
        <f t="shared" si="43"/>
        <v>42</v>
      </c>
      <c r="H321" s="95" t="s">
        <v>169</v>
      </c>
      <c r="J321" s="120" t="s">
        <v>503</v>
      </c>
      <c r="K321" s="99"/>
      <c r="L321" s="50"/>
      <c r="M321" s="50"/>
      <c r="P321" s="68"/>
    </row>
    <row r="322">
      <c r="A322" s="95">
        <v>1.95191273248E11</v>
      </c>
      <c r="B322" s="131" t="s">
        <v>519</v>
      </c>
      <c r="C322" s="95" t="s">
        <v>97</v>
      </c>
      <c r="D322" s="95">
        <v>1.0</v>
      </c>
      <c r="E322" s="101">
        <v>148.0</v>
      </c>
      <c r="F322" s="97">
        <f t="shared" si="42"/>
        <v>148</v>
      </c>
      <c r="G322" s="97">
        <f t="shared" si="43"/>
        <v>37</v>
      </c>
      <c r="H322" s="95" t="s">
        <v>169</v>
      </c>
      <c r="J322" s="120" t="s">
        <v>503</v>
      </c>
      <c r="K322" s="99"/>
      <c r="L322" s="50"/>
      <c r="M322" s="50"/>
      <c r="P322" s="68"/>
    </row>
    <row r="323">
      <c r="A323" s="95">
        <v>1.95191282325E11</v>
      </c>
      <c r="B323" s="131" t="s">
        <v>520</v>
      </c>
      <c r="C323" s="95" t="s">
        <v>97</v>
      </c>
      <c r="D323" s="95">
        <v>1.0</v>
      </c>
      <c r="E323" s="101">
        <v>168.0</v>
      </c>
      <c r="F323" s="97">
        <f t="shared" si="42"/>
        <v>168</v>
      </c>
      <c r="G323" s="97">
        <f t="shared" si="43"/>
        <v>42</v>
      </c>
      <c r="H323" s="95" t="s">
        <v>169</v>
      </c>
      <c r="J323" s="120" t="s">
        <v>503</v>
      </c>
      <c r="K323" s="99"/>
      <c r="L323" s="50"/>
      <c r="M323" s="50"/>
      <c r="P323" s="68"/>
    </row>
    <row r="324">
      <c r="A324" s="95">
        <v>1.95191358105E11</v>
      </c>
      <c r="B324" s="131" t="s">
        <v>521</v>
      </c>
      <c r="C324" s="95" t="s">
        <v>97</v>
      </c>
      <c r="D324" s="95">
        <v>1.0</v>
      </c>
      <c r="E324" s="101">
        <v>128.0</v>
      </c>
      <c r="F324" s="97">
        <f t="shared" si="42"/>
        <v>128</v>
      </c>
      <c r="G324" s="97">
        <f t="shared" si="43"/>
        <v>32</v>
      </c>
      <c r="H324" s="95" t="s">
        <v>169</v>
      </c>
      <c r="J324" s="120" t="s">
        <v>503</v>
      </c>
      <c r="K324" s="99"/>
      <c r="L324" s="50"/>
      <c r="M324" s="50"/>
      <c r="P324" s="68"/>
    </row>
    <row r="325">
      <c r="A325" s="95">
        <v>1.95191358525E11</v>
      </c>
      <c r="B325" s="131" t="s">
        <v>522</v>
      </c>
      <c r="C325" s="95" t="s">
        <v>97</v>
      </c>
      <c r="D325" s="95">
        <v>1.0</v>
      </c>
      <c r="E325" s="101">
        <v>68.0</v>
      </c>
      <c r="F325" s="97">
        <f t="shared" si="42"/>
        <v>68</v>
      </c>
      <c r="G325" s="97">
        <f t="shared" si="43"/>
        <v>17</v>
      </c>
      <c r="H325" s="95" t="s">
        <v>169</v>
      </c>
      <c r="J325" s="120" t="s">
        <v>503</v>
      </c>
      <c r="K325" s="99"/>
      <c r="L325" s="50"/>
      <c r="M325" s="50"/>
      <c r="P325" s="68"/>
    </row>
    <row r="326">
      <c r="A326" s="95">
        <v>1.9519137361E11</v>
      </c>
      <c r="B326" s="131" t="s">
        <v>523</v>
      </c>
      <c r="C326" s="95" t="s">
        <v>97</v>
      </c>
      <c r="D326" s="95">
        <v>1.0</v>
      </c>
      <c r="E326" s="101">
        <v>128.0</v>
      </c>
      <c r="F326" s="97">
        <f t="shared" si="42"/>
        <v>128</v>
      </c>
      <c r="G326" s="97">
        <f t="shared" si="43"/>
        <v>32</v>
      </c>
      <c r="H326" s="95" t="s">
        <v>169</v>
      </c>
      <c r="J326" s="120" t="s">
        <v>503</v>
      </c>
      <c r="K326" s="99"/>
      <c r="L326" s="50"/>
      <c r="M326" s="50"/>
      <c r="P326" s="68"/>
    </row>
    <row r="327">
      <c r="A327" s="95">
        <v>6.08381896016E11</v>
      </c>
      <c r="B327" s="131" t="s">
        <v>524</v>
      </c>
      <c r="C327" s="95" t="s">
        <v>97</v>
      </c>
      <c r="D327" s="95">
        <v>1.0</v>
      </c>
      <c r="E327" s="101">
        <v>59.5</v>
      </c>
      <c r="F327" s="97">
        <f t="shared" si="42"/>
        <v>59.5</v>
      </c>
      <c r="G327" s="97">
        <f t="shared" si="43"/>
        <v>14.875</v>
      </c>
      <c r="H327" s="95" t="s">
        <v>193</v>
      </c>
      <c r="J327" s="120" t="s">
        <v>503</v>
      </c>
      <c r="K327" s="99"/>
      <c r="L327" s="50"/>
      <c r="M327" s="50"/>
      <c r="P327" s="68"/>
    </row>
    <row r="328">
      <c r="A328" s="95">
        <v>6.37348456536E11</v>
      </c>
      <c r="B328" s="131" t="s">
        <v>525</v>
      </c>
      <c r="C328" s="95" t="s">
        <v>97</v>
      </c>
      <c r="D328" s="95">
        <v>1.0</v>
      </c>
      <c r="E328" s="101">
        <v>41.99</v>
      </c>
      <c r="F328" s="97">
        <f t="shared" si="42"/>
        <v>41.99</v>
      </c>
      <c r="G328" s="97">
        <f t="shared" si="43"/>
        <v>10.4975</v>
      </c>
      <c r="H328" s="95" t="s">
        <v>179</v>
      </c>
      <c r="J328" s="120" t="s">
        <v>503</v>
      </c>
      <c r="K328" s="99"/>
      <c r="L328" s="50"/>
      <c r="M328" s="50"/>
      <c r="P328" s="68"/>
    </row>
    <row r="329">
      <c r="A329" s="95">
        <v>7.10816031036E11</v>
      </c>
      <c r="B329" s="131" t="s">
        <v>526</v>
      </c>
      <c r="C329" s="95" t="s">
        <v>97</v>
      </c>
      <c r="D329" s="95">
        <v>1.0</v>
      </c>
      <c r="E329" s="101">
        <v>45.99</v>
      </c>
      <c r="F329" s="97">
        <f t="shared" si="42"/>
        <v>45.99</v>
      </c>
      <c r="G329" s="97">
        <f t="shared" si="43"/>
        <v>11.4975</v>
      </c>
      <c r="H329" s="95" t="s">
        <v>179</v>
      </c>
      <c r="J329" s="120" t="s">
        <v>503</v>
      </c>
      <c r="K329" s="99"/>
      <c r="L329" s="50"/>
      <c r="M329" s="50"/>
      <c r="P329" s="68"/>
    </row>
    <row r="330">
      <c r="A330" s="95">
        <v>7.32996835938E11</v>
      </c>
      <c r="B330" s="131" t="s">
        <v>527</v>
      </c>
      <c r="C330" s="95" t="s">
        <v>97</v>
      </c>
      <c r="D330" s="95">
        <v>1.0</v>
      </c>
      <c r="E330" s="101">
        <v>59.5</v>
      </c>
      <c r="F330" s="97">
        <f t="shared" si="42"/>
        <v>59.5</v>
      </c>
      <c r="G330" s="97">
        <f t="shared" si="43"/>
        <v>14.875</v>
      </c>
      <c r="H330" s="95" t="s">
        <v>528</v>
      </c>
      <c r="J330" s="120" t="s">
        <v>503</v>
      </c>
      <c r="K330" s="99"/>
      <c r="L330" s="50"/>
      <c r="M330" s="50"/>
      <c r="P330" s="68"/>
    </row>
    <row r="331">
      <c r="A331" s="95">
        <v>7.33001780038E11</v>
      </c>
      <c r="B331" s="131" t="s">
        <v>529</v>
      </c>
      <c r="C331" s="95" t="s">
        <v>97</v>
      </c>
      <c r="D331" s="95">
        <v>1.0</v>
      </c>
      <c r="E331" s="101">
        <v>89.5</v>
      </c>
      <c r="F331" s="97">
        <f t="shared" si="42"/>
        <v>89.5</v>
      </c>
      <c r="G331" s="97">
        <f t="shared" si="43"/>
        <v>22.375</v>
      </c>
      <c r="H331" s="95" t="s">
        <v>193</v>
      </c>
      <c r="J331" s="120" t="s">
        <v>503</v>
      </c>
      <c r="K331" s="99"/>
      <c r="L331" s="50"/>
      <c r="M331" s="50"/>
      <c r="P331" s="68"/>
    </row>
    <row r="332">
      <c r="A332" s="95">
        <v>7.33001791454E11</v>
      </c>
      <c r="B332" s="131" t="s">
        <v>530</v>
      </c>
      <c r="C332" s="95" t="s">
        <v>97</v>
      </c>
      <c r="D332" s="95">
        <v>1.0</v>
      </c>
      <c r="E332" s="101">
        <v>89.5</v>
      </c>
      <c r="F332" s="97">
        <f t="shared" si="42"/>
        <v>89.5</v>
      </c>
      <c r="G332" s="97">
        <f t="shared" si="43"/>
        <v>22.375</v>
      </c>
      <c r="H332" s="95" t="s">
        <v>193</v>
      </c>
      <c r="J332" s="120" t="s">
        <v>503</v>
      </c>
      <c r="K332" s="99"/>
      <c r="L332" s="50"/>
      <c r="M332" s="50"/>
      <c r="P332" s="68"/>
    </row>
    <row r="333">
      <c r="A333" s="95">
        <v>7.330023891E11</v>
      </c>
      <c r="B333" s="131" t="s">
        <v>531</v>
      </c>
      <c r="C333" s="95" t="s">
        <v>97</v>
      </c>
      <c r="D333" s="95">
        <v>1.0</v>
      </c>
      <c r="E333" s="101">
        <v>69.5</v>
      </c>
      <c r="F333" s="97">
        <f t="shared" si="42"/>
        <v>69.5</v>
      </c>
      <c r="G333" s="97">
        <f t="shared" si="43"/>
        <v>17.375</v>
      </c>
      <c r="H333" s="95" t="s">
        <v>402</v>
      </c>
      <c r="J333" s="120" t="s">
        <v>503</v>
      </c>
      <c r="K333" s="99"/>
      <c r="L333" s="50"/>
      <c r="M333" s="50"/>
      <c r="P333" s="68"/>
    </row>
    <row r="334">
      <c r="A334" s="95">
        <v>8.22982522406E11</v>
      </c>
      <c r="B334" s="131" t="s">
        <v>532</v>
      </c>
      <c r="C334" s="95" t="s">
        <v>97</v>
      </c>
      <c r="D334" s="95">
        <v>1.0</v>
      </c>
      <c r="E334" s="101">
        <v>34.5</v>
      </c>
      <c r="F334" s="97">
        <f t="shared" si="42"/>
        <v>34.5</v>
      </c>
      <c r="G334" s="97">
        <f t="shared" si="43"/>
        <v>8.625</v>
      </c>
      <c r="H334" s="95" t="s">
        <v>533</v>
      </c>
      <c r="J334" s="120" t="s">
        <v>503</v>
      </c>
      <c r="K334" s="99"/>
      <c r="L334" s="50"/>
      <c r="M334" s="50"/>
      <c r="P334" s="68"/>
    </row>
    <row r="335">
      <c r="A335" s="102" t="s">
        <v>534</v>
      </c>
      <c r="B335" s="103" t="s">
        <v>535</v>
      </c>
      <c r="C335" s="104"/>
      <c r="D335" s="104"/>
      <c r="E335" s="105"/>
      <c r="F335" s="106"/>
      <c r="G335" s="106"/>
      <c r="H335" s="107"/>
      <c r="J335" s="108"/>
      <c r="K335" s="99"/>
      <c r="L335" s="50"/>
      <c r="M335" s="50"/>
      <c r="P335" s="68"/>
    </row>
    <row r="336">
      <c r="A336" s="109">
        <v>1.93481551526E11</v>
      </c>
      <c r="B336" s="164" t="s">
        <v>536</v>
      </c>
      <c r="C336" s="95" t="s">
        <v>97</v>
      </c>
      <c r="D336" s="95">
        <v>1.0</v>
      </c>
      <c r="E336" s="101">
        <v>298.0</v>
      </c>
      <c r="F336" s="97">
        <f t="shared" ref="F336:F338" si="44">E336*D336</f>
        <v>298</v>
      </c>
      <c r="G336" s="97">
        <f t="shared" ref="G336:G338" si="45">F336/4</f>
        <v>74.5</v>
      </c>
      <c r="H336" s="95" t="s">
        <v>379</v>
      </c>
      <c r="J336" s="120" t="s">
        <v>503</v>
      </c>
      <c r="K336" s="99"/>
      <c r="L336" s="50"/>
      <c r="M336" s="50"/>
      <c r="P336" s="68"/>
    </row>
    <row r="337">
      <c r="A337" s="109">
        <v>1.95191337858E11</v>
      </c>
      <c r="B337" s="131" t="s">
        <v>537</v>
      </c>
      <c r="C337" s="95" t="s">
        <v>97</v>
      </c>
      <c r="D337" s="95">
        <v>2.0</v>
      </c>
      <c r="E337" s="101">
        <v>128.0</v>
      </c>
      <c r="F337" s="97">
        <f t="shared" si="44"/>
        <v>256</v>
      </c>
      <c r="G337" s="97">
        <f t="shared" si="45"/>
        <v>64</v>
      </c>
      <c r="H337" s="95" t="s">
        <v>169</v>
      </c>
      <c r="J337" s="120" t="s">
        <v>503</v>
      </c>
      <c r="K337" s="99"/>
      <c r="L337" s="50"/>
      <c r="M337" s="50"/>
      <c r="P337" s="68"/>
    </row>
    <row r="338">
      <c r="A338" s="109">
        <v>1.95191337865E11</v>
      </c>
      <c r="B338" s="131" t="s">
        <v>492</v>
      </c>
      <c r="C338" s="95" t="s">
        <v>97</v>
      </c>
      <c r="D338" s="95">
        <v>1.0</v>
      </c>
      <c r="E338" s="101">
        <v>128.0</v>
      </c>
      <c r="F338" s="97">
        <f t="shared" si="44"/>
        <v>128</v>
      </c>
      <c r="G338" s="97">
        <f t="shared" si="45"/>
        <v>32</v>
      </c>
      <c r="H338" s="95" t="s">
        <v>385</v>
      </c>
      <c r="J338" s="120" t="s">
        <v>503</v>
      </c>
      <c r="K338" s="99"/>
      <c r="L338" s="50"/>
      <c r="M338" s="50"/>
      <c r="P338" s="68"/>
    </row>
    <row r="339">
      <c r="A339" s="102" t="s">
        <v>538</v>
      </c>
      <c r="B339" s="103" t="s">
        <v>539</v>
      </c>
      <c r="C339" s="104"/>
      <c r="D339" s="104"/>
      <c r="E339" s="105"/>
      <c r="F339" s="106"/>
      <c r="G339" s="106"/>
      <c r="H339" s="107"/>
      <c r="J339" s="108"/>
      <c r="K339" s="99"/>
      <c r="L339" s="50"/>
      <c r="M339" s="50"/>
      <c r="P339" s="68"/>
    </row>
    <row r="340">
      <c r="A340" s="163">
        <v>8.84094266067E11</v>
      </c>
      <c r="B340" s="151" t="s">
        <v>540</v>
      </c>
      <c r="C340" s="95" t="s">
        <v>97</v>
      </c>
      <c r="D340" s="95">
        <v>1.0</v>
      </c>
      <c r="E340" s="101">
        <v>145.0</v>
      </c>
      <c r="F340" s="97">
        <f t="shared" ref="F340:F341" si="46">E340*D340</f>
        <v>145</v>
      </c>
      <c r="G340" s="97">
        <f t="shared" ref="G340:G341" si="47">F340/4</f>
        <v>36.25</v>
      </c>
      <c r="H340" s="95" t="s">
        <v>541</v>
      </c>
      <c r="I340" s="70" t="s">
        <v>149</v>
      </c>
      <c r="J340" s="120" t="s">
        <v>503</v>
      </c>
      <c r="K340" s="99"/>
      <c r="L340" s="50"/>
      <c r="M340" s="50"/>
      <c r="P340" s="68"/>
    </row>
    <row r="341">
      <c r="A341" s="163">
        <v>8.84094389339E11</v>
      </c>
      <c r="B341" s="151" t="s">
        <v>542</v>
      </c>
      <c r="C341" s="95" t="s">
        <v>97</v>
      </c>
      <c r="D341" s="95">
        <v>1.0</v>
      </c>
      <c r="E341" s="101">
        <v>195.0</v>
      </c>
      <c r="F341" s="97">
        <f t="shared" si="46"/>
        <v>195</v>
      </c>
      <c r="G341" s="97">
        <f t="shared" si="47"/>
        <v>48.75</v>
      </c>
      <c r="H341" s="95" t="s">
        <v>196</v>
      </c>
      <c r="I341" s="70" t="s">
        <v>543</v>
      </c>
      <c r="J341" s="120" t="s">
        <v>503</v>
      </c>
      <c r="K341" s="99"/>
      <c r="L341" s="50"/>
      <c r="M341" s="50"/>
      <c r="P341" s="68"/>
    </row>
    <row r="342">
      <c r="A342" s="111" t="s">
        <v>115</v>
      </c>
      <c r="B342" s="111" t="s">
        <v>544</v>
      </c>
      <c r="C342" s="112" t="str">
        <f>MID($B342,6,7)</f>
        <v>GR18240</v>
      </c>
      <c r="D342" s="111"/>
      <c r="E342" s="111"/>
      <c r="F342" s="111"/>
      <c r="G342" s="111"/>
      <c r="H342" s="113">
        <v>44557.0</v>
      </c>
      <c r="J342" s="108" t="str">
        <f>IF(LEFT(B342,3)="Box","BOX","COUNT")</f>
        <v>BOX</v>
      </c>
      <c r="K342" s="99">
        <f>SUMIF($J$4:$J$8712,$C342,$D$4:$D$8712)</f>
        <v>36</v>
      </c>
      <c r="L342" s="50">
        <f>SUMIF($J$4:$J$8712,$C342,$F$4:$F$8712)</f>
        <v>4174.98</v>
      </c>
      <c r="M342" s="50">
        <f>SUMIF($J$4:$J$8712,$C342,$G$4:$G$8712)</f>
        <v>1043.745</v>
      </c>
      <c r="N342" s="70" t="str">
        <f>C342</f>
        <v>GR18240</v>
      </c>
      <c r="O342" s="70" t="str">
        <f>J343</f>
        <v>SHIP</v>
      </c>
      <c r="P342" s="68">
        <f>M342</f>
        <v>1043.745</v>
      </c>
      <c r="Q342" s="114">
        <v>44494.0</v>
      </c>
      <c r="R342" s="37" t="s">
        <v>438</v>
      </c>
      <c r="S342" s="37" t="s">
        <v>439</v>
      </c>
    </row>
    <row r="343">
      <c r="A343" s="163"/>
      <c r="B343" s="111" t="s">
        <v>545</v>
      </c>
      <c r="C343" s="109"/>
      <c r="D343" s="109"/>
      <c r="E343" s="116"/>
      <c r="F343" s="116"/>
      <c r="G343" s="116"/>
      <c r="H343" s="109"/>
      <c r="J343" s="108" t="str">
        <f>IF(B343="","NSHIP","SHIP")</f>
        <v>SHIP</v>
      </c>
      <c r="K343" s="99">
        <f>IF($J343="NSHIP",0,-SUMIF($J$4:$J$8712,$C342,$D$4:$D$8712))</f>
        <v>-36</v>
      </c>
      <c r="L343" s="50">
        <f>IF($J343="NSHIP",0,-SUMIF($J$4:$J$8710,$C342,$F$4:$F$8710))</f>
        <v>-4174.98</v>
      </c>
      <c r="M343" s="50">
        <f>IF($J343="NSHIP",0,-SUMIF($J$4:$J$8710,$C342,$G$4:$G$8710))</f>
        <v>-1043.745</v>
      </c>
      <c r="P343" s="68"/>
    </row>
    <row r="344">
      <c r="A344" s="117">
        <v>8.866398101E9</v>
      </c>
      <c r="B344" s="131" t="s">
        <v>546</v>
      </c>
      <c r="C344" s="118" t="s">
        <v>97</v>
      </c>
      <c r="D344" s="100">
        <v>1.0</v>
      </c>
      <c r="E344" s="119">
        <v>79.0</v>
      </c>
      <c r="F344" s="118">
        <f t="shared" ref="F344:F373" si="48">E344*D344</f>
        <v>79</v>
      </c>
      <c r="G344" s="118">
        <f t="shared" ref="G344:G373" si="49">F344/4</f>
        <v>19.75</v>
      </c>
      <c r="H344" s="100" t="s">
        <v>159</v>
      </c>
      <c r="I344" s="1"/>
      <c r="J344" s="120" t="s">
        <v>547</v>
      </c>
      <c r="K344" s="99"/>
      <c r="L344" s="50"/>
      <c r="M344" s="50"/>
      <c r="P344" s="68"/>
    </row>
    <row r="345">
      <c r="A345" s="117">
        <v>1.90380243835E11</v>
      </c>
      <c r="B345" s="131" t="s">
        <v>548</v>
      </c>
      <c r="C345" s="118" t="s">
        <v>97</v>
      </c>
      <c r="D345" s="100">
        <v>1.0</v>
      </c>
      <c r="E345" s="119">
        <v>98.0</v>
      </c>
      <c r="F345" s="118">
        <f t="shared" si="48"/>
        <v>98</v>
      </c>
      <c r="G345" s="118">
        <f t="shared" si="49"/>
        <v>24.5</v>
      </c>
      <c r="H345" s="100" t="s">
        <v>169</v>
      </c>
      <c r="I345" s="1"/>
      <c r="J345" s="120" t="s">
        <v>547</v>
      </c>
      <c r="K345" s="99"/>
      <c r="L345" s="50"/>
      <c r="M345" s="50"/>
      <c r="P345" s="68"/>
    </row>
    <row r="346">
      <c r="A346" s="117">
        <v>1.90744599035E11</v>
      </c>
      <c r="B346" s="131" t="s">
        <v>549</v>
      </c>
      <c r="C346" s="118" t="s">
        <v>97</v>
      </c>
      <c r="D346" s="100">
        <v>1.0</v>
      </c>
      <c r="E346" s="119">
        <v>28.99</v>
      </c>
      <c r="F346" s="118">
        <f t="shared" si="48"/>
        <v>28.99</v>
      </c>
      <c r="G346" s="118">
        <f t="shared" si="49"/>
        <v>7.2475</v>
      </c>
      <c r="H346" s="100" t="s">
        <v>550</v>
      </c>
      <c r="I346" s="1"/>
      <c r="J346" s="120" t="s">
        <v>547</v>
      </c>
      <c r="K346" s="99"/>
      <c r="L346" s="50"/>
      <c r="M346" s="50"/>
      <c r="P346" s="68"/>
    </row>
    <row r="347">
      <c r="A347" s="117">
        <v>1.90744633548E11</v>
      </c>
      <c r="B347" s="131" t="s">
        <v>551</v>
      </c>
      <c r="C347" s="118" t="s">
        <v>97</v>
      </c>
      <c r="D347" s="100">
        <v>1.0</v>
      </c>
      <c r="E347" s="119">
        <v>27.99</v>
      </c>
      <c r="F347" s="118">
        <f t="shared" si="48"/>
        <v>27.99</v>
      </c>
      <c r="G347" s="118">
        <f t="shared" si="49"/>
        <v>6.9975</v>
      </c>
      <c r="H347" s="100" t="s">
        <v>550</v>
      </c>
      <c r="I347" s="1"/>
      <c r="J347" s="120" t="s">
        <v>547</v>
      </c>
      <c r="K347" s="99"/>
      <c r="L347" s="50"/>
      <c r="M347" s="50"/>
      <c r="P347" s="68"/>
    </row>
    <row r="348">
      <c r="A348" s="117">
        <v>1.92523936758E11</v>
      </c>
      <c r="B348" s="131" t="s">
        <v>552</v>
      </c>
      <c r="C348" s="118" t="s">
        <v>97</v>
      </c>
      <c r="D348" s="100">
        <v>1.0</v>
      </c>
      <c r="E348" s="119">
        <v>179.0</v>
      </c>
      <c r="F348" s="118">
        <f t="shared" si="48"/>
        <v>179</v>
      </c>
      <c r="G348" s="118">
        <f t="shared" si="49"/>
        <v>44.75</v>
      </c>
      <c r="H348" s="100" t="s">
        <v>166</v>
      </c>
      <c r="I348" s="1"/>
      <c r="J348" s="120" t="s">
        <v>547</v>
      </c>
      <c r="K348" s="99"/>
      <c r="L348" s="50"/>
      <c r="M348" s="50"/>
      <c r="P348" s="68"/>
    </row>
    <row r="349">
      <c r="A349" s="117">
        <v>1.93465161031E11</v>
      </c>
      <c r="B349" s="131" t="s">
        <v>553</v>
      </c>
      <c r="C349" s="118" t="s">
        <v>97</v>
      </c>
      <c r="D349" s="100">
        <v>1.0</v>
      </c>
      <c r="E349" s="119">
        <v>38.0</v>
      </c>
      <c r="F349" s="118">
        <f t="shared" si="48"/>
        <v>38</v>
      </c>
      <c r="G349" s="118">
        <f t="shared" si="49"/>
        <v>9.5</v>
      </c>
      <c r="H349" s="100" t="s">
        <v>169</v>
      </c>
      <c r="I349" s="1"/>
      <c r="J349" s="120" t="s">
        <v>547</v>
      </c>
      <c r="K349" s="99"/>
      <c r="L349" s="50"/>
      <c r="M349" s="50"/>
      <c r="P349" s="68"/>
    </row>
    <row r="350">
      <c r="A350" s="117">
        <v>1.93653201792E11</v>
      </c>
      <c r="B350" s="131" t="s">
        <v>554</v>
      </c>
      <c r="C350" s="118" t="s">
        <v>97</v>
      </c>
      <c r="D350" s="100">
        <v>1.0</v>
      </c>
      <c r="E350" s="119">
        <v>178.0</v>
      </c>
      <c r="F350" s="118">
        <f t="shared" si="48"/>
        <v>178</v>
      </c>
      <c r="G350" s="118">
        <f t="shared" si="49"/>
        <v>44.5</v>
      </c>
      <c r="H350" s="100" t="s">
        <v>381</v>
      </c>
      <c r="I350" s="1"/>
      <c r="J350" s="120" t="s">
        <v>547</v>
      </c>
      <c r="K350" s="99"/>
      <c r="L350" s="50"/>
      <c r="M350" s="50"/>
      <c r="P350" s="68"/>
    </row>
    <row r="351">
      <c r="A351" s="117">
        <v>1.93653244102E11</v>
      </c>
      <c r="B351" s="131" t="s">
        <v>555</v>
      </c>
      <c r="C351" s="118" t="s">
        <v>97</v>
      </c>
      <c r="D351" s="100">
        <v>1.0</v>
      </c>
      <c r="E351" s="119">
        <v>198.0</v>
      </c>
      <c r="F351" s="118">
        <f t="shared" si="48"/>
        <v>198</v>
      </c>
      <c r="G351" s="118">
        <f t="shared" si="49"/>
        <v>49.5</v>
      </c>
      <c r="H351" s="100" t="s">
        <v>381</v>
      </c>
      <c r="I351" s="1"/>
      <c r="J351" s="120" t="s">
        <v>547</v>
      </c>
      <c r="K351" s="99"/>
      <c r="L351" s="50"/>
      <c r="M351" s="50"/>
      <c r="P351" s="68"/>
    </row>
    <row r="352">
      <c r="A352" s="117">
        <v>1.93653244157E11</v>
      </c>
      <c r="B352" s="131" t="s">
        <v>556</v>
      </c>
      <c r="C352" s="118" t="s">
        <v>97</v>
      </c>
      <c r="D352" s="100">
        <v>1.0</v>
      </c>
      <c r="E352" s="119">
        <v>198.0</v>
      </c>
      <c r="F352" s="118">
        <f t="shared" si="48"/>
        <v>198</v>
      </c>
      <c r="G352" s="118">
        <f t="shared" si="49"/>
        <v>49.5</v>
      </c>
      <c r="H352" s="100" t="s">
        <v>381</v>
      </c>
      <c r="I352" s="1"/>
      <c r="J352" s="120" t="s">
        <v>547</v>
      </c>
      <c r="K352" s="99"/>
      <c r="L352" s="50"/>
      <c r="M352" s="50"/>
      <c r="P352" s="68"/>
    </row>
    <row r="353">
      <c r="A353" s="117">
        <v>1.94374716473E11</v>
      </c>
      <c r="B353" s="131" t="s">
        <v>557</v>
      </c>
      <c r="C353" s="118" t="s">
        <v>97</v>
      </c>
      <c r="D353" s="100">
        <v>1.0</v>
      </c>
      <c r="E353" s="119">
        <v>128.0</v>
      </c>
      <c r="F353" s="118">
        <f t="shared" si="48"/>
        <v>128</v>
      </c>
      <c r="G353" s="118">
        <f t="shared" si="49"/>
        <v>32</v>
      </c>
      <c r="H353" s="100" t="s">
        <v>169</v>
      </c>
      <c r="I353" s="1"/>
      <c r="J353" s="120" t="s">
        <v>547</v>
      </c>
      <c r="K353" s="99"/>
      <c r="L353" s="50"/>
      <c r="M353" s="50"/>
      <c r="P353" s="68"/>
    </row>
    <row r="354">
      <c r="A354" s="117">
        <v>1.95191063887E11</v>
      </c>
      <c r="B354" s="131" t="s">
        <v>558</v>
      </c>
      <c r="C354" s="118" t="s">
        <v>97</v>
      </c>
      <c r="D354" s="100">
        <v>1.0</v>
      </c>
      <c r="E354" s="119">
        <v>168.0</v>
      </c>
      <c r="F354" s="118">
        <f t="shared" si="48"/>
        <v>168</v>
      </c>
      <c r="G354" s="118">
        <f t="shared" si="49"/>
        <v>42</v>
      </c>
      <c r="H354" s="100" t="s">
        <v>169</v>
      </c>
      <c r="I354" s="1"/>
      <c r="J354" s="120" t="s">
        <v>547</v>
      </c>
      <c r="K354" s="99"/>
      <c r="L354" s="50"/>
      <c r="M354" s="50"/>
      <c r="P354" s="68"/>
    </row>
    <row r="355">
      <c r="A355" s="117">
        <v>1.95191101633E11</v>
      </c>
      <c r="B355" s="131" t="s">
        <v>559</v>
      </c>
      <c r="C355" s="118" t="s">
        <v>97</v>
      </c>
      <c r="D355" s="100">
        <v>1.0</v>
      </c>
      <c r="E355" s="119">
        <v>78.0</v>
      </c>
      <c r="F355" s="118">
        <f t="shared" si="48"/>
        <v>78</v>
      </c>
      <c r="G355" s="118">
        <f t="shared" si="49"/>
        <v>19.5</v>
      </c>
      <c r="H355" s="100" t="s">
        <v>169</v>
      </c>
      <c r="I355" s="1"/>
      <c r="J355" s="120" t="s">
        <v>547</v>
      </c>
      <c r="K355" s="99"/>
      <c r="L355" s="50"/>
      <c r="M355" s="50"/>
      <c r="P355" s="68"/>
    </row>
    <row r="356">
      <c r="A356" s="117">
        <v>6.50868844539E11</v>
      </c>
      <c r="B356" s="131" t="s">
        <v>560</v>
      </c>
      <c r="C356" s="118" t="s">
        <v>97</v>
      </c>
      <c r="D356" s="100">
        <v>1.0</v>
      </c>
      <c r="E356" s="119">
        <v>59.0</v>
      </c>
      <c r="F356" s="118">
        <f t="shared" si="48"/>
        <v>59</v>
      </c>
      <c r="G356" s="118">
        <f t="shared" si="49"/>
        <v>14.75</v>
      </c>
      <c r="H356" s="100" t="s">
        <v>179</v>
      </c>
      <c r="I356" s="1"/>
      <c r="J356" s="120" t="s">
        <v>547</v>
      </c>
      <c r="K356" s="99"/>
      <c r="L356" s="50"/>
      <c r="M356" s="50"/>
      <c r="P356" s="68"/>
    </row>
    <row r="357">
      <c r="A357" s="117">
        <v>6.61414661999E11</v>
      </c>
      <c r="B357" s="131" t="s">
        <v>561</v>
      </c>
      <c r="C357" s="118" t="s">
        <v>97</v>
      </c>
      <c r="D357" s="100">
        <v>1.0</v>
      </c>
      <c r="E357" s="119">
        <v>59.0</v>
      </c>
      <c r="F357" s="118">
        <f t="shared" si="48"/>
        <v>59</v>
      </c>
      <c r="G357" s="118">
        <f t="shared" si="49"/>
        <v>14.75</v>
      </c>
      <c r="H357" s="100" t="s">
        <v>562</v>
      </c>
      <c r="I357" s="1"/>
      <c r="J357" s="120" t="s">
        <v>547</v>
      </c>
      <c r="K357" s="99"/>
      <c r="L357" s="50"/>
      <c r="M357" s="50"/>
      <c r="P357" s="68"/>
    </row>
    <row r="358">
      <c r="A358" s="117">
        <v>6.89886464733E11</v>
      </c>
      <c r="B358" s="131" t="s">
        <v>563</v>
      </c>
      <c r="C358" s="118" t="s">
        <v>97</v>
      </c>
      <c r="D358" s="100">
        <v>1.0</v>
      </c>
      <c r="E358" s="119">
        <v>79.0</v>
      </c>
      <c r="F358" s="118">
        <f t="shared" si="48"/>
        <v>79</v>
      </c>
      <c r="G358" s="118">
        <f t="shared" si="49"/>
        <v>19.75</v>
      </c>
      <c r="H358" s="100" t="s">
        <v>564</v>
      </c>
      <c r="I358" s="1"/>
      <c r="J358" s="120" t="s">
        <v>547</v>
      </c>
      <c r="K358" s="99"/>
      <c r="L358" s="50"/>
      <c r="M358" s="50"/>
      <c r="P358" s="68"/>
    </row>
    <row r="359">
      <c r="A359" s="117">
        <v>7.0776205648E11</v>
      </c>
      <c r="B359" s="131" t="s">
        <v>565</v>
      </c>
      <c r="C359" s="118" t="s">
        <v>97</v>
      </c>
      <c r="D359" s="100">
        <v>1.0</v>
      </c>
      <c r="E359" s="119">
        <v>109.0</v>
      </c>
      <c r="F359" s="118">
        <f t="shared" si="48"/>
        <v>109</v>
      </c>
      <c r="G359" s="118">
        <f t="shared" si="49"/>
        <v>27.25</v>
      </c>
      <c r="H359" s="100" t="s">
        <v>566</v>
      </c>
      <c r="I359" s="1"/>
      <c r="J359" s="120" t="s">
        <v>547</v>
      </c>
      <c r="K359" s="99"/>
      <c r="L359" s="50"/>
      <c r="M359" s="50"/>
      <c r="P359" s="68"/>
    </row>
    <row r="360">
      <c r="A360" s="117">
        <v>7.07762056497E11</v>
      </c>
      <c r="B360" s="131" t="s">
        <v>567</v>
      </c>
      <c r="C360" s="118" t="s">
        <v>97</v>
      </c>
      <c r="D360" s="100">
        <v>1.0</v>
      </c>
      <c r="E360" s="119">
        <v>54.5</v>
      </c>
      <c r="F360" s="118">
        <f t="shared" si="48"/>
        <v>54.5</v>
      </c>
      <c r="G360" s="118">
        <f t="shared" si="49"/>
        <v>13.625</v>
      </c>
      <c r="H360" s="100" t="s">
        <v>568</v>
      </c>
      <c r="I360" s="1"/>
      <c r="J360" s="120" t="s">
        <v>547</v>
      </c>
      <c r="K360" s="99"/>
      <c r="L360" s="50"/>
      <c r="M360" s="50"/>
      <c r="P360" s="68"/>
    </row>
    <row r="361">
      <c r="A361" s="117">
        <v>7.0776205651E11</v>
      </c>
      <c r="B361" s="131" t="s">
        <v>569</v>
      </c>
      <c r="C361" s="118" t="s">
        <v>97</v>
      </c>
      <c r="D361" s="100">
        <v>1.0</v>
      </c>
      <c r="E361" s="119">
        <v>109.0</v>
      </c>
      <c r="F361" s="118">
        <f t="shared" si="48"/>
        <v>109</v>
      </c>
      <c r="G361" s="118">
        <f t="shared" si="49"/>
        <v>27.25</v>
      </c>
      <c r="H361" s="100" t="s">
        <v>566</v>
      </c>
      <c r="I361" s="1"/>
      <c r="J361" s="120" t="s">
        <v>547</v>
      </c>
      <c r="K361" s="99"/>
      <c r="L361" s="50"/>
      <c r="M361" s="50"/>
      <c r="P361" s="68"/>
    </row>
    <row r="362">
      <c r="A362" s="117">
        <v>7.08008633748E11</v>
      </c>
      <c r="B362" s="131" t="s">
        <v>570</v>
      </c>
      <c r="C362" s="118" t="s">
        <v>97</v>
      </c>
      <c r="D362" s="100">
        <v>1.0</v>
      </c>
      <c r="E362" s="119">
        <v>129.0</v>
      </c>
      <c r="F362" s="118">
        <f t="shared" si="48"/>
        <v>129</v>
      </c>
      <c r="G362" s="118">
        <f t="shared" si="49"/>
        <v>32.25</v>
      </c>
      <c r="H362" s="100" t="s">
        <v>189</v>
      </c>
      <c r="I362" s="1"/>
      <c r="J362" s="120" t="s">
        <v>547</v>
      </c>
      <c r="K362" s="99"/>
      <c r="L362" s="50"/>
      <c r="M362" s="50"/>
      <c r="P362" s="68"/>
    </row>
    <row r="363">
      <c r="A363" s="117">
        <v>7.08008633755E11</v>
      </c>
      <c r="B363" s="131" t="s">
        <v>571</v>
      </c>
      <c r="C363" s="118" t="s">
        <v>97</v>
      </c>
      <c r="D363" s="100">
        <v>1.0</v>
      </c>
      <c r="E363" s="119">
        <v>129.0</v>
      </c>
      <c r="F363" s="118">
        <f t="shared" si="48"/>
        <v>129</v>
      </c>
      <c r="G363" s="118">
        <f t="shared" si="49"/>
        <v>32.25</v>
      </c>
      <c r="H363" s="100" t="s">
        <v>189</v>
      </c>
      <c r="I363" s="1"/>
      <c r="J363" s="120" t="s">
        <v>547</v>
      </c>
      <c r="K363" s="99"/>
      <c r="L363" s="50"/>
      <c r="M363" s="50"/>
      <c r="P363" s="68"/>
    </row>
    <row r="364">
      <c r="A364" s="181">
        <v>7.08008639009E11</v>
      </c>
      <c r="B364" s="131" t="s">
        <v>572</v>
      </c>
      <c r="C364" s="118" t="s">
        <v>97</v>
      </c>
      <c r="D364" s="100">
        <v>1.0</v>
      </c>
      <c r="E364" s="119">
        <v>129.0</v>
      </c>
      <c r="F364" s="118">
        <f t="shared" si="48"/>
        <v>129</v>
      </c>
      <c r="G364" s="118">
        <f t="shared" si="49"/>
        <v>32.25</v>
      </c>
      <c r="H364" s="100" t="s">
        <v>189</v>
      </c>
      <c r="I364" s="1"/>
      <c r="J364" s="120" t="s">
        <v>547</v>
      </c>
      <c r="K364" s="99"/>
      <c r="L364" s="50"/>
      <c r="M364" s="50"/>
      <c r="P364" s="68"/>
    </row>
    <row r="365">
      <c r="A365" s="117">
        <v>7.33001577355E11</v>
      </c>
      <c r="B365" s="131" t="s">
        <v>573</v>
      </c>
      <c r="C365" s="118" t="s">
        <v>97</v>
      </c>
      <c r="D365" s="100">
        <v>1.0</v>
      </c>
      <c r="E365" s="119">
        <v>59.5</v>
      </c>
      <c r="F365" s="118">
        <f t="shared" si="48"/>
        <v>59.5</v>
      </c>
      <c r="G365" s="118">
        <f t="shared" si="49"/>
        <v>14.875</v>
      </c>
      <c r="H365" s="100" t="s">
        <v>193</v>
      </c>
      <c r="I365" s="1"/>
      <c r="J365" s="120" t="s">
        <v>547</v>
      </c>
      <c r="K365" s="99"/>
      <c r="L365" s="50"/>
      <c r="M365" s="50"/>
      <c r="P365" s="68"/>
    </row>
    <row r="366">
      <c r="A366" s="117">
        <v>7.33001869054E11</v>
      </c>
      <c r="B366" s="131" t="s">
        <v>574</v>
      </c>
      <c r="C366" s="118" t="s">
        <v>97</v>
      </c>
      <c r="D366" s="100">
        <v>1.0</v>
      </c>
      <c r="E366" s="119">
        <v>49.5</v>
      </c>
      <c r="F366" s="118">
        <f t="shared" si="48"/>
        <v>49.5</v>
      </c>
      <c r="G366" s="118">
        <f t="shared" si="49"/>
        <v>12.375</v>
      </c>
      <c r="H366" s="100" t="s">
        <v>193</v>
      </c>
      <c r="I366" s="1"/>
      <c r="J366" s="120" t="s">
        <v>547</v>
      </c>
      <c r="K366" s="99"/>
      <c r="L366" s="50"/>
      <c r="M366" s="50"/>
      <c r="P366" s="68"/>
    </row>
    <row r="367">
      <c r="A367" s="117">
        <v>7.3300239517E11</v>
      </c>
      <c r="B367" s="131" t="s">
        <v>575</v>
      </c>
      <c r="C367" s="118" t="s">
        <v>97</v>
      </c>
      <c r="D367" s="100">
        <v>1.0</v>
      </c>
      <c r="E367" s="119">
        <v>99.5</v>
      </c>
      <c r="F367" s="118">
        <f t="shared" si="48"/>
        <v>99.5</v>
      </c>
      <c r="G367" s="118">
        <f t="shared" si="49"/>
        <v>24.875</v>
      </c>
      <c r="H367" s="100" t="s">
        <v>402</v>
      </c>
      <c r="I367" s="1"/>
      <c r="J367" s="120" t="s">
        <v>547</v>
      </c>
      <c r="K367" s="99"/>
      <c r="L367" s="50"/>
      <c r="M367" s="50"/>
      <c r="P367" s="68"/>
    </row>
    <row r="368">
      <c r="A368" s="117">
        <v>7.33002424344E11</v>
      </c>
      <c r="B368" s="131" t="s">
        <v>576</v>
      </c>
      <c r="C368" s="118" t="s">
        <v>97</v>
      </c>
      <c r="D368" s="100">
        <v>1.0</v>
      </c>
      <c r="E368" s="119">
        <v>79.5</v>
      </c>
      <c r="F368" s="118">
        <f t="shared" si="48"/>
        <v>79.5</v>
      </c>
      <c r="G368" s="118">
        <f t="shared" si="49"/>
        <v>19.875</v>
      </c>
      <c r="H368" s="100" t="s">
        <v>402</v>
      </c>
      <c r="I368" s="1"/>
      <c r="J368" s="120" t="s">
        <v>547</v>
      </c>
      <c r="K368" s="99"/>
      <c r="L368" s="50"/>
      <c r="M368" s="50"/>
      <c r="P368" s="68"/>
    </row>
    <row r="369">
      <c r="A369" s="117">
        <v>7.47157779655E11</v>
      </c>
      <c r="B369" s="131" t="s">
        <v>577</v>
      </c>
      <c r="C369" s="118" t="s">
        <v>97</v>
      </c>
      <c r="D369" s="100">
        <v>1.0</v>
      </c>
      <c r="E369" s="119">
        <v>69.0</v>
      </c>
      <c r="F369" s="118">
        <f t="shared" si="48"/>
        <v>69</v>
      </c>
      <c r="G369" s="118">
        <f t="shared" si="49"/>
        <v>17.25</v>
      </c>
      <c r="H369" s="100" t="s">
        <v>578</v>
      </c>
      <c r="I369" s="1"/>
      <c r="J369" s="120" t="s">
        <v>547</v>
      </c>
      <c r="K369" s="99"/>
      <c r="L369" s="50"/>
      <c r="M369" s="50"/>
      <c r="P369" s="68"/>
    </row>
    <row r="370">
      <c r="A370" s="117">
        <v>7.94795104752E11</v>
      </c>
      <c r="B370" s="131" t="s">
        <v>579</v>
      </c>
      <c r="C370" s="118" t="s">
        <v>97</v>
      </c>
      <c r="D370" s="100">
        <v>1.0</v>
      </c>
      <c r="E370" s="119">
        <v>139.0</v>
      </c>
      <c r="F370" s="118">
        <f t="shared" si="48"/>
        <v>139</v>
      </c>
      <c r="G370" s="118">
        <f t="shared" si="49"/>
        <v>34.75</v>
      </c>
      <c r="H370" s="100" t="s">
        <v>580</v>
      </c>
      <c r="I370" s="1"/>
      <c r="J370" s="120" t="s">
        <v>547</v>
      </c>
      <c r="K370" s="99"/>
      <c r="L370" s="50"/>
      <c r="M370" s="50"/>
      <c r="P370" s="68"/>
    </row>
    <row r="371">
      <c r="A371" s="117">
        <v>8.2865943443E11</v>
      </c>
      <c r="B371" s="131" t="s">
        <v>581</v>
      </c>
      <c r="C371" s="118" t="s">
        <v>97</v>
      </c>
      <c r="D371" s="100">
        <v>1.0</v>
      </c>
      <c r="E371" s="119">
        <v>109.0</v>
      </c>
      <c r="F371" s="118">
        <f t="shared" si="48"/>
        <v>109</v>
      </c>
      <c r="G371" s="118">
        <f t="shared" si="49"/>
        <v>27.25</v>
      </c>
      <c r="H371" s="100" t="s">
        <v>564</v>
      </c>
      <c r="I371" s="1"/>
      <c r="J371" s="120" t="s">
        <v>547</v>
      </c>
      <c r="K371" s="99"/>
      <c r="L371" s="50"/>
      <c r="M371" s="50"/>
      <c r="P371" s="68"/>
    </row>
    <row r="372">
      <c r="A372" s="117">
        <v>8.82191079917E11</v>
      </c>
      <c r="B372" s="131" t="s">
        <v>582</v>
      </c>
      <c r="C372" s="118" t="s">
        <v>97</v>
      </c>
      <c r="D372" s="100">
        <v>1.0</v>
      </c>
      <c r="E372" s="119">
        <v>99.0</v>
      </c>
      <c r="F372" s="118">
        <f t="shared" si="48"/>
        <v>99</v>
      </c>
      <c r="G372" s="118">
        <f t="shared" si="49"/>
        <v>24.75</v>
      </c>
      <c r="H372" s="100" t="s">
        <v>187</v>
      </c>
      <c r="I372" s="1"/>
      <c r="J372" s="120" t="s">
        <v>547</v>
      </c>
      <c r="K372" s="99"/>
      <c r="L372" s="50"/>
      <c r="M372" s="50"/>
      <c r="P372" s="68"/>
    </row>
    <row r="373">
      <c r="A373" s="117">
        <v>8.87840299531E11</v>
      </c>
      <c r="B373" s="131" t="s">
        <v>583</v>
      </c>
      <c r="C373" s="118" t="s">
        <v>97</v>
      </c>
      <c r="D373" s="100">
        <v>1.0</v>
      </c>
      <c r="E373" s="119">
        <v>59.0</v>
      </c>
      <c r="F373" s="118">
        <f t="shared" si="48"/>
        <v>59</v>
      </c>
      <c r="G373" s="118">
        <f t="shared" si="49"/>
        <v>14.75</v>
      </c>
      <c r="H373" s="100" t="s">
        <v>486</v>
      </c>
      <c r="I373" s="1"/>
      <c r="J373" s="120" t="s">
        <v>547</v>
      </c>
      <c r="K373" s="99"/>
      <c r="L373" s="50"/>
      <c r="M373" s="50"/>
      <c r="P373" s="68"/>
    </row>
    <row r="374">
      <c r="A374" s="121" t="s">
        <v>584</v>
      </c>
      <c r="B374" s="103" t="s">
        <v>585</v>
      </c>
      <c r="C374" s="118"/>
      <c r="D374" s="100"/>
      <c r="E374" s="119"/>
      <c r="F374" s="118"/>
      <c r="G374" s="118"/>
      <c r="H374" s="100"/>
      <c r="I374" s="1"/>
      <c r="J374" s="120"/>
      <c r="K374" s="99"/>
      <c r="L374" s="50"/>
      <c r="M374" s="50"/>
      <c r="P374" s="68"/>
    </row>
    <row r="375">
      <c r="A375" s="182">
        <v>1.93481525244E11</v>
      </c>
      <c r="B375" s="131" t="s">
        <v>586</v>
      </c>
      <c r="C375" s="118" t="s">
        <v>97</v>
      </c>
      <c r="D375" s="100">
        <v>1.0</v>
      </c>
      <c r="E375" s="119">
        <v>398.0</v>
      </c>
      <c r="F375" s="118">
        <f>E375*D375</f>
        <v>398</v>
      </c>
      <c r="G375" s="118">
        <f>F375/4</f>
        <v>99.5</v>
      </c>
      <c r="H375" s="100" t="s">
        <v>379</v>
      </c>
      <c r="I375" s="1"/>
      <c r="J375" s="120" t="s">
        <v>547</v>
      </c>
      <c r="K375" s="99"/>
      <c r="L375" s="50"/>
      <c r="M375" s="50"/>
      <c r="P375" s="68"/>
    </row>
    <row r="376">
      <c r="A376" s="166" t="s">
        <v>587</v>
      </c>
      <c r="B376" s="103" t="s">
        <v>588</v>
      </c>
      <c r="C376" s="118"/>
      <c r="D376" s="100"/>
      <c r="E376" s="119"/>
      <c r="F376" s="118"/>
      <c r="G376" s="118"/>
      <c r="H376" s="100"/>
      <c r="I376" s="1"/>
      <c r="J376" s="120"/>
      <c r="K376" s="99"/>
      <c r="L376" s="50"/>
      <c r="M376" s="50"/>
      <c r="P376" s="68"/>
    </row>
    <row r="377">
      <c r="A377" s="183">
        <v>1.90744560561E11</v>
      </c>
      <c r="B377" s="131" t="s">
        <v>589</v>
      </c>
      <c r="C377" s="118" t="s">
        <v>97</v>
      </c>
      <c r="D377" s="100">
        <v>1.0</v>
      </c>
      <c r="E377" s="119">
        <v>35.99</v>
      </c>
      <c r="F377" s="118">
        <f t="shared" ref="F377:F378" si="50">E377*D377</f>
        <v>35.99</v>
      </c>
      <c r="G377" s="118">
        <f t="shared" ref="G377:G378" si="51">F377/4</f>
        <v>8.9975</v>
      </c>
      <c r="H377" s="100" t="s">
        <v>550</v>
      </c>
      <c r="I377" s="184" t="s">
        <v>436</v>
      </c>
      <c r="J377" s="120" t="s">
        <v>547</v>
      </c>
      <c r="K377" s="99"/>
      <c r="L377" s="50"/>
      <c r="M377" s="50"/>
      <c r="P377" s="68"/>
    </row>
    <row r="378">
      <c r="A378" s="183">
        <v>1.92284826596E11</v>
      </c>
      <c r="B378" s="131" t="s">
        <v>590</v>
      </c>
      <c r="C378" s="118" t="s">
        <v>97</v>
      </c>
      <c r="D378" s="100">
        <v>1.0</v>
      </c>
      <c r="E378" s="119">
        <v>35.99</v>
      </c>
      <c r="F378" s="118">
        <f t="shared" si="50"/>
        <v>35.99</v>
      </c>
      <c r="G378" s="118">
        <f t="shared" si="51"/>
        <v>8.9975</v>
      </c>
      <c r="H378" s="100" t="s">
        <v>591</v>
      </c>
      <c r="I378" s="184" t="s">
        <v>436</v>
      </c>
      <c r="J378" s="120" t="s">
        <v>547</v>
      </c>
      <c r="K378" s="99"/>
      <c r="L378" s="50"/>
      <c r="M378" s="50"/>
      <c r="P378" s="68"/>
    </row>
    <row r="379">
      <c r="A379" s="123" t="s">
        <v>132</v>
      </c>
      <c r="B379" s="112" t="s">
        <v>592</v>
      </c>
      <c r="C379" s="124" t="str">
        <f>MID($B379,6,7)</f>
        <v>GR18241</v>
      </c>
      <c r="D379" s="125"/>
      <c r="E379" s="126"/>
      <c r="F379" s="126"/>
      <c r="G379" s="126"/>
      <c r="H379" s="127">
        <v>44557.0</v>
      </c>
      <c r="I379" s="1"/>
      <c r="J379" s="108" t="str">
        <f>IF(LEFT(B379,3)="Box","BOX","COUNT")</f>
        <v>BOX</v>
      </c>
      <c r="K379" s="99">
        <f>SUMIF($J$4:$J$8712,$C379,$D$4:$D$8712)</f>
        <v>33</v>
      </c>
      <c r="L379" s="50">
        <f>SUMIF($J$4:$J$8712,$C379,$F$4:$F$8712)</f>
        <v>3488.46</v>
      </c>
      <c r="M379" s="50">
        <f>SUMIF($J$4:$J$8712,$C379,$G$4:$G$8712)</f>
        <v>872.115</v>
      </c>
      <c r="N379" s="36" t="str">
        <f>C379</f>
        <v>GR18241</v>
      </c>
      <c r="O379" s="70" t="str">
        <f>J380</f>
        <v>SHIP</v>
      </c>
      <c r="P379" s="68">
        <f>M379</f>
        <v>872.115</v>
      </c>
      <c r="Q379" s="114">
        <v>44494.0</v>
      </c>
      <c r="R379" s="37" t="s">
        <v>438</v>
      </c>
      <c r="S379" s="37" t="s">
        <v>439</v>
      </c>
    </row>
    <row r="380">
      <c r="A380" s="185"/>
      <c r="B380" s="111" t="s">
        <v>593</v>
      </c>
      <c r="C380" s="129"/>
      <c r="D380" s="125"/>
      <c r="E380" s="126"/>
      <c r="F380" s="126"/>
      <c r="G380" s="126"/>
      <c r="H380" s="125"/>
      <c r="I380" s="1"/>
      <c r="J380" s="108" t="str">
        <f>IF(B380="","NSHIP","SHIP")</f>
        <v>SHIP</v>
      </c>
      <c r="K380" s="99">
        <f>IF($J380="NSHIP",0,-SUMIF($J$4:$J$8712,$C379,$D$4:$D$8712))</f>
        <v>-33</v>
      </c>
      <c r="L380" s="50">
        <f>IF($J380="NSHIP",0,-SUMIF($J$4:$J$8710,$C379,$F$4:$F$8710))</f>
        <v>-3488.46</v>
      </c>
      <c r="M380" s="50">
        <f>IF($J380="NSHIP",0,-SUMIF($J$4:$J$8710,$C379,$G$4:$G$8710))</f>
        <v>-872.115</v>
      </c>
      <c r="P380" s="68"/>
    </row>
    <row r="381">
      <c r="A381" s="96">
        <v>1.90744579037E11</v>
      </c>
      <c r="B381" s="131" t="s">
        <v>594</v>
      </c>
      <c r="C381" s="100" t="s">
        <v>97</v>
      </c>
      <c r="D381" s="100">
        <v>1.0</v>
      </c>
      <c r="E381" s="119">
        <v>24.99</v>
      </c>
      <c r="F381" s="118">
        <f t="shared" ref="F381:F404" si="52">E381*D381</f>
        <v>24.99</v>
      </c>
      <c r="G381" s="118">
        <f t="shared" ref="G381:G404" si="53">F381/4</f>
        <v>6.2475</v>
      </c>
      <c r="H381" s="132" t="s">
        <v>595</v>
      </c>
      <c r="I381" s="1"/>
      <c r="J381" s="104" t="s">
        <v>596</v>
      </c>
      <c r="K381" s="133"/>
      <c r="L381" s="105"/>
      <c r="M381" s="105"/>
      <c r="N381" s="1"/>
      <c r="O381" s="1"/>
      <c r="P381" s="68"/>
    </row>
    <row r="382">
      <c r="A382" s="100">
        <v>1.91837181236E11</v>
      </c>
      <c r="B382" s="131" t="s">
        <v>597</v>
      </c>
      <c r="C382" s="100" t="s">
        <v>97</v>
      </c>
      <c r="D382" s="100">
        <v>1.0</v>
      </c>
      <c r="E382" s="119">
        <v>219.0</v>
      </c>
      <c r="F382" s="118">
        <f t="shared" si="52"/>
        <v>219</v>
      </c>
      <c r="G382" s="118">
        <f t="shared" si="53"/>
        <v>54.75</v>
      </c>
      <c r="H382" s="132" t="s">
        <v>598</v>
      </c>
      <c r="I382" s="1"/>
      <c r="J382" s="104" t="s">
        <v>596</v>
      </c>
      <c r="K382" s="133"/>
      <c r="L382" s="105"/>
      <c r="M382" s="105"/>
      <c r="N382" s="1"/>
      <c r="O382" s="1"/>
      <c r="P382" s="68"/>
    </row>
    <row r="383">
      <c r="A383" s="100">
        <v>1.91837187719E11</v>
      </c>
      <c r="B383" s="131" t="s">
        <v>599</v>
      </c>
      <c r="C383" s="100" t="s">
        <v>97</v>
      </c>
      <c r="D383" s="100">
        <v>1.0</v>
      </c>
      <c r="E383" s="119">
        <v>179.0</v>
      </c>
      <c r="F383" s="118">
        <f t="shared" si="52"/>
        <v>179</v>
      </c>
      <c r="G383" s="118">
        <f t="shared" si="53"/>
        <v>44.75</v>
      </c>
      <c r="H383" s="132" t="s">
        <v>600</v>
      </c>
      <c r="I383" s="1"/>
      <c r="J383" s="104" t="s">
        <v>596</v>
      </c>
      <c r="K383" s="133"/>
      <c r="L383" s="105"/>
      <c r="M383" s="105"/>
      <c r="N383" s="1"/>
      <c r="O383" s="1"/>
      <c r="P383" s="68"/>
    </row>
    <row r="384">
      <c r="A384" s="100">
        <v>1.91837217256E11</v>
      </c>
      <c r="B384" s="131" t="s">
        <v>601</v>
      </c>
      <c r="C384" s="100" t="s">
        <v>97</v>
      </c>
      <c r="D384" s="100">
        <v>1.0</v>
      </c>
      <c r="E384" s="119">
        <v>299.0</v>
      </c>
      <c r="F384" s="118">
        <f t="shared" si="52"/>
        <v>299</v>
      </c>
      <c r="G384" s="118">
        <f t="shared" si="53"/>
        <v>74.75</v>
      </c>
      <c r="H384" s="132" t="s">
        <v>598</v>
      </c>
      <c r="I384" s="1"/>
      <c r="J384" s="104" t="s">
        <v>596</v>
      </c>
      <c r="K384" s="133"/>
      <c r="L384" s="105"/>
      <c r="M384" s="105"/>
      <c r="N384" s="1"/>
      <c r="O384" s="1"/>
      <c r="P384" s="68"/>
    </row>
    <row r="385">
      <c r="A385" s="100">
        <v>1.91837217263E11</v>
      </c>
      <c r="B385" s="131" t="s">
        <v>602</v>
      </c>
      <c r="C385" s="100" t="s">
        <v>97</v>
      </c>
      <c r="D385" s="100">
        <v>2.0</v>
      </c>
      <c r="E385" s="119">
        <v>299.0</v>
      </c>
      <c r="F385" s="118">
        <f t="shared" si="52"/>
        <v>598</v>
      </c>
      <c r="G385" s="118">
        <f t="shared" si="53"/>
        <v>149.5</v>
      </c>
      <c r="H385" s="132" t="s">
        <v>598</v>
      </c>
      <c r="I385" s="1"/>
      <c r="J385" s="104" t="s">
        <v>596</v>
      </c>
      <c r="K385" s="133"/>
      <c r="L385" s="105"/>
      <c r="M385" s="105"/>
      <c r="N385" s="1"/>
      <c r="O385" s="1"/>
      <c r="P385" s="68"/>
    </row>
    <row r="386">
      <c r="A386" s="100">
        <v>1.92284716804E11</v>
      </c>
      <c r="B386" s="131" t="s">
        <v>603</v>
      </c>
      <c r="C386" s="100" t="s">
        <v>97</v>
      </c>
      <c r="D386" s="100">
        <v>2.0</v>
      </c>
      <c r="E386" s="119">
        <v>35.99</v>
      </c>
      <c r="F386" s="118">
        <f t="shared" si="52"/>
        <v>71.98</v>
      </c>
      <c r="G386" s="118">
        <f t="shared" si="53"/>
        <v>17.995</v>
      </c>
      <c r="H386" s="132" t="s">
        <v>164</v>
      </c>
      <c r="I386" s="1"/>
      <c r="J386" s="104" t="s">
        <v>596</v>
      </c>
      <c r="K386" s="133"/>
      <c r="L386" s="105"/>
      <c r="M386" s="105"/>
      <c r="N386" s="1"/>
      <c r="O386" s="1"/>
      <c r="P386" s="68"/>
    </row>
    <row r="387">
      <c r="A387" s="100">
        <v>1.93372128561E11</v>
      </c>
      <c r="B387" s="131" t="s">
        <v>604</v>
      </c>
      <c r="C387" s="100" t="s">
        <v>97</v>
      </c>
      <c r="D387" s="100">
        <v>1.0</v>
      </c>
      <c r="E387" s="119">
        <v>175.0</v>
      </c>
      <c r="F387" s="118">
        <f t="shared" si="52"/>
        <v>175</v>
      </c>
      <c r="G387" s="118">
        <f t="shared" si="53"/>
        <v>43.75</v>
      </c>
      <c r="H387" s="132" t="s">
        <v>444</v>
      </c>
      <c r="I387" s="1"/>
      <c r="J387" s="104" t="s">
        <v>596</v>
      </c>
      <c r="K387" s="133"/>
      <c r="L387" s="105"/>
      <c r="M387" s="105"/>
      <c r="N387" s="1"/>
      <c r="O387" s="1"/>
      <c r="P387" s="68"/>
    </row>
    <row r="388">
      <c r="A388" s="100">
        <v>1.93465097552E11</v>
      </c>
      <c r="B388" s="131" t="s">
        <v>605</v>
      </c>
      <c r="C388" s="100" t="s">
        <v>97</v>
      </c>
      <c r="D388" s="100">
        <v>1.0</v>
      </c>
      <c r="E388" s="119">
        <v>128.0</v>
      </c>
      <c r="F388" s="118">
        <f t="shared" si="52"/>
        <v>128</v>
      </c>
      <c r="G388" s="118">
        <f t="shared" si="53"/>
        <v>32</v>
      </c>
      <c r="H388" s="132" t="s">
        <v>169</v>
      </c>
      <c r="I388" s="1"/>
      <c r="J388" s="104" t="s">
        <v>596</v>
      </c>
      <c r="K388" s="133"/>
      <c r="L388" s="105"/>
      <c r="M388" s="105"/>
      <c r="N388" s="1"/>
      <c r="O388" s="1"/>
      <c r="P388" s="68"/>
    </row>
    <row r="389">
      <c r="A389" s="100">
        <v>6.61414648297E11</v>
      </c>
      <c r="B389" s="131" t="s">
        <v>606</v>
      </c>
      <c r="C389" s="100" t="s">
        <v>97</v>
      </c>
      <c r="D389" s="100">
        <v>1.0</v>
      </c>
      <c r="E389" s="119">
        <v>48.99</v>
      </c>
      <c r="F389" s="118">
        <f t="shared" si="52"/>
        <v>48.99</v>
      </c>
      <c r="G389" s="118">
        <f t="shared" si="53"/>
        <v>12.2475</v>
      </c>
      <c r="H389" s="100" t="s">
        <v>607</v>
      </c>
      <c r="I389" s="1"/>
      <c r="J389" s="104" t="s">
        <v>596</v>
      </c>
      <c r="K389" s="133"/>
      <c r="L389" s="105"/>
      <c r="M389" s="105"/>
      <c r="N389" s="1"/>
      <c r="O389" s="1"/>
      <c r="P389" s="68"/>
    </row>
    <row r="390">
      <c r="A390" s="100">
        <v>6.61414655981E11</v>
      </c>
      <c r="B390" s="131" t="s">
        <v>608</v>
      </c>
      <c r="C390" s="100" t="s">
        <v>97</v>
      </c>
      <c r="D390" s="100">
        <v>1.0</v>
      </c>
      <c r="E390" s="119">
        <v>69.0</v>
      </c>
      <c r="F390" s="118">
        <f t="shared" si="52"/>
        <v>69</v>
      </c>
      <c r="G390" s="118">
        <f t="shared" si="53"/>
        <v>17.25</v>
      </c>
      <c r="H390" s="132" t="s">
        <v>609</v>
      </c>
      <c r="I390" s="1"/>
      <c r="J390" s="104" t="s">
        <v>596</v>
      </c>
      <c r="K390" s="133"/>
      <c r="L390" s="105"/>
      <c r="M390" s="105"/>
      <c r="N390" s="1"/>
      <c r="O390" s="1"/>
      <c r="P390" s="68"/>
    </row>
    <row r="391">
      <c r="A391" s="100">
        <v>6.61414656001E11</v>
      </c>
      <c r="B391" s="131" t="s">
        <v>610</v>
      </c>
      <c r="C391" s="100" t="s">
        <v>97</v>
      </c>
      <c r="D391" s="100">
        <v>1.0</v>
      </c>
      <c r="E391" s="119">
        <v>69.0</v>
      </c>
      <c r="F391" s="118">
        <f t="shared" si="52"/>
        <v>69</v>
      </c>
      <c r="G391" s="118">
        <f t="shared" si="53"/>
        <v>17.25</v>
      </c>
      <c r="H391" s="100" t="s">
        <v>607</v>
      </c>
      <c r="I391" s="1"/>
      <c r="J391" s="104" t="s">
        <v>596</v>
      </c>
      <c r="K391" s="133"/>
      <c r="L391" s="105"/>
      <c r="M391" s="105"/>
      <c r="N391" s="1"/>
      <c r="O391" s="1"/>
      <c r="P391" s="68"/>
    </row>
    <row r="392">
      <c r="A392" s="100">
        <v>6.89886581515E11</v>
      </c>
      <c r="B392" s="131" t="s">
        <v>611</v>
      </c>
      <c r="C392" s="100" t="s">
        <v>97</v>
      </c>
      <c r="D392" s="100">
        <v>1.0</v>
      </c>
      <c r="E392" s="119">
        <v>111.99</v>
      </c>
      <c r="F392" s="118">
        <f t="shared" si="52"/>
        <v>111.99</v>
      </c>
      <c r="G392" s="118">
        <f t="shared" si="53"/>
        <v>27.9975</v>
      </c>
      <c r="H392" s="100" t="s">
        <v>612</v>
      </c>
      <c r="I392" s="1"/>
      <c r="J392" s="104" t="s">
        <v>596</v>
      </c>
      <c r="K392" s="133"/>
      <c r="L392" s="105"/>
      <c r="M392" s="105"/>
      <c r="N392" s="1"/>
      <c r="O392" s="1"/>
      <c r="P392" s="68"/>
    </row>
    <row r="393">
      <c r="A393" s="100">
        <v>7.07762364776E11</v>
      </c>
      <c r="B393" s="131" t="s">
        <v>613</v>
      </c>
      <c r="C393" s="100" t="s">
        <v>97</v>
      </c>
      <c r="D393" s="100">
        <v>1.0</v>
      </c>
      <c r="E393" s="119">
        <v>119.0</v>
      </c>
      <c r="F393" s="118">
        <f t="shared" si="52"/>
        <v>119</v>
      </c>
      <c r="G393" s="118">
        <f t="shared" si="53"/>
        <v>29.75</v>
      </c>
      <c r="H393" s="132" t="s">
        <v>614</v>
      </c>
      <c r="I393" s="1"/>
      <c r="J393" s="104" t="s">
        <v>596</v>
      </c>
      <c r="K393" s="133"/>
      <c r="L393" s="105"/>
      <c r="M393" s="105"/>
      <c r="N393" s="1"/>
      <c r="O393" s="1"/>
      <c r="P393" s="68"/>
    </row>
    <row r="394">
      <c r="A394" s="100">
        <v>7.08008599969E11</v>
      </c>
      <c r="B394" s="131" t="s">
        <v>615</v>
      </c>
      <c r="C394" s="100" t="s">
        <v>97</v>
      </c>
      <c r="D394" s="100">
        <v>1.0</v>
      </c>
      <c r="E394" s="119">
        <v>89.0</v>
      </c>
      <c r="F394" s="118">
        <f t="shared" si="52"/>
        <v>89</v>
      </c>
      <c r="G394" s="118">
        <f t="shared" si="53"/>
        <v>22.25</v>
      </c>
      <c r="H394" s="132" t="s">
        <v>189</v>
      </c>
      <c r="I394" s="1"/>
      <c r="J394" s="104" t="s">
        <v>596</v>
      </c>
      <c r="K394" s="133"/>
      <c r="L394" s="105"/>
      <c r="M394" s="105"/>
      <c r="N394" s="1"/>
      <c r="O394" s="1"/>
      <c r="P394" s="68"/>
    </row>
    <row r="395">
      <c r="A395" s="100">
        <v>7.08008605967E11</v>
      </c>
      <c r="B395" s="131" t="s">
        <v>616</v>
      </c>
      <c r="C395" s="100" t="s">
        <v>97</v>
      </c>
      <c r="D395" s="100">
        <v>1.0</v>
      </c>
      <c r="E395" s="119">
        <v>69.0</v>
      </c>
      <c r="F395" s="118">
        <f t="shared" si="52"/>
        <v>69</v>
      </c>
      <c r="G395" s="118">
        <f t="shared" si="53"/>
        <v>17.25</v>
      </c>
      <c r="H395" s="132" t="s">
        <v>189</v>
      </c>
      <c r="I395" s="1"/>
      <c r="J395" s="104" t="s">
        <v>596</v>
      </c>
      <c r="K395" s="133"/>
      <c r="L395" s="105"/>
      <c r="M395" s="105"/>
      <c r="N395" s="1"/>
      <c r="O395" s="1"/>
      <c r="P395" s="68"/>
    </row>
    <row r="396">
      <c r="A396" s="100">
        <v>7.08008633762E11</v>
      </c>
      <c r="B396" s="131" t="s">
        <v>617</v>
      </c>
      <c r="C396" s="100" t="s">
        <v>97</v>
      </c>
      <c r="D396" s="100">
        <v>1.0</v>
      </c>
      <c r="E396" s="119">
        <v>129.0</v>
      </c>
      <c r="F396" s="118">
        <f t="shared" si="52"/>
        <v>129</v>
      </c>
      <c r="G396" s="118">
        <f t="shared" si="53"/>
        <v>32.25</v>
      </c>
      <c r="H396" s="132" t="s">
        <v>189</v>
      </c>
      <c r="I396" s="1"/>
      <c r="J396" s="104" t="s">
        <v>596</v>
      </c>
      <c r="K396" s="133"/>
      <c r="L396" s="105"/>
      <c r="M396" s="105"/>
      <c r="N396" s="1"/>
      <c r="O396" s="1"/>
      <c r="P396" s="68"/>
    </row>
    <row r="397">
      <c r="A397" s="100">
        <v>7.08008637777E11</v>
      </c>
      <c r="B397" s="131" t="s">
        <v>618</v>
      </c>
      <c r="C397" s="100" t="s">
        <v>97</v>
      </c>
      <c r="D397" s="100">
        <v>1.0</v>
      </c>
      <c r="E397" s="119">
        <v>44.99</v>
      </c>
      <c r="F397" s="118">
        <f t="shared" si="52"/>
        <v>44.99</v>
      </c>
      <c r="G397" s="118">
        <f t="shared" si="53"/>
        <v>11.2475</v>
      </c>
      <c r="H397" s="132" t="s">
        <v>619</v>
      </c>
      <c r="I397" s="1"/>
      <c r="J397" s="104" t="s">
        <v>596</v>
      </c>
      <c r="K397" s="133"/>
      <c r="L397" s="105"/>
      <c r="M397" s="105"/>
      <c r="N397" s="1"/>
      <c r="O397" s="1"/>
      <c r="P397" s="68"/>
    </row>
    <row r="398">
      <c r="A398" s="100">
        <v>7.08008637791E11</v>
      </c>
      <c r="B398" s="131" t="s">
        <v>620</v>
      </c>
      <c r="C398" s="100" t="s">
        <v>97</v>
      </c>
      <c r="D398" s="100">
        <v>1.0</v>
      </c>
      <c r="E398" s="119">
        <v>79.0</v>
      </c>
      <c r="F398" s="118">
        <f t="shared" si="52"/>
        <v>79</v>
      </c>
      <c r="G398" s="118">
        <f t="shared" si="53"/>
        <v>19.75</v>
      </c>
      <c r="H398" s="132" t="s">
        <v>189</v>
      </c>
      <c r="I398" s="1"/>
      <c r="J398" s="104" t="s">
        <v>596</v>
      </c>
      <c r="K398" s="133"/>
      <c r="L398" s="105"/>
      <c r="M398" s="105"/>
      <c r="N398" s="1"/>
      <c r="O398" s="1"/>
      <c r="P398" s="68"/>
    </row>
    <row r="399">
      <c r="A399" s="100">
        <v>7.33001450061E11</v>
      </c>
      <c r="B399" s="131" t="s">
        <v>621</v>
      </c>
      <c r="C399" s="100" t="s">
        <v>97</v>
      </c>
      <c r="D399" s="100">
        <v>1.0</v>
      </c>
      <c r="E399" s="119">
        <v>69.5</v>
      </c>
      <c r="F399" s="118">
        <f t="shared" si="52"/>
        <v>69.5</v>
      </c>
      <c r="G399" s="118">
        <f t="shared" si="53"/>
        <v>17.375</v>
      </c>
      <c r="H399" s="100" t="s">
        <v>193</v>
      </c>
      <c r="I399" s="1"/>
      <c r="J399" s="104" t="s">
        <v>596</v>
      </c>
      <c r="K399" s="133"/>
      <c r="L399" s="105"/>
      <c r="M399" s="105"/>
      <c r="N399" s="1"/>
      <c r="O399" s="1"/>
      <c r="P399" s="68"/>
    </row>
    <row r="400">
      <c r="A400" s="100">
        <v>7.3300238415E11</v>
      </c>
      <c r="B400" s="131" t="s">
        <v>622</v>
      </c>
      <c r="C400" s="100" t="s">
        <v>97</v>
      </c>
      <c r="D400" s="100">
        <v>1.0</v>
      </c>
      <c r="E400" s="119">
        <v>79.5</v>
      </c>
      <c r="F400" s="118">
        <f t="shared" si="52"/>
        <v>79.5</v>
      </c>
      <c r="G400" s="118">
        <f t="shared" si="53"/>
        <v>19.875</v>
      </c>
      <c r="H400" s="100" t="s">
        <v>402</v>
      </c>
      <c r="I400" s="1"/>
      <c r="J400" s="104" t="s">
        <v>596</v>
      </c>
      <c r="K400" s="133"/>
      <c r="L400" s="105"/>
      <c r="M400" s="105"/>
      <c r="N400" s="1"/>
      <c r="O400" s="1"/>
      <c r="P400" s="68"/>
    </row>
    <row r="401">
      <c r="A401" s="100">
        <v>7.47157779648E11</v>
      </c>
      <c r="B401" s="186" t="s">
        <v>623</v>
      </c>
      <c r="C401" s="100" t="s">
        <v>97</v>
      </c>
      <c r="D401" s="100">
        <v>1.0</v>
      </c>
      <c r="E401" s="119">
        <v>69.0</v>
      </c>
      <c r="F401" s="118">
        <f t="shared" si="52"/>
        <v>69</v>
      </c>
      <c r="G401" s="118">
        <f t="shared" si="53"/>
        <v>17.25</v>
      </c>
      <c r="H401" s="132" t="s">
        <v>624</v>
      </c>
      <c r="I401" s="1"/>
      <c r="J401" s="104" t="s">
        <v>596</v>
      </c>
      <c r="K401" s="133"/>
      <c r="L401" s="105"/>
      <c r="M401" s="105"/>
      <c r="N401" s="1"/>
      <c r="O401" s="1"/>
      <c r="P401" s="68"/>
    </row>
    <row r="402">
      <c r="A402" s="100">
        <v>8.2865943443E11</v>
      </c>
      <c r="B402" s="186" t="s">
        <v>625</v>
      </c>
      <c r="C402" s="100" t="s">
        <v>97</v>
      </c>
      <c r="D402" s="100">
        <v>1.0</v>
      </c>
      <c r="E402" s="119">
        <v>109.0</v>
      </c>
      <c r="F402" s="118">
        <f t="shared" si="52"/>
        <v>109</v>
      </c>
      <c r="G402" s="118">
        <f t="shared" si="53"/>
        <v>27.25</v>
      </c>
      <c r="H402" s="132" t="s">
        <v>564</v>
      </c>
      <c r="I402" s="1"/>
      <c r="J402" s="104" t="s">
        <v>596</v>
      </c>
      <c r="K402" s="133"/>
      <c r="L402" s="105"/>
      <c r="M402" s="105"/>
      <c r="N402" s="1"/>
      <c r="O402" s="1"/>
      <c r="P402" s="68"/>
    </row>
    <row r="403">
      <c r="A403" s="100">
        <v>8.28659434461E11</v>
      </c>
      <c r="B403" s="186" t="s">
        <v>626</v>
      </c>
      <c r="C403" s="100" t="s">
        <v>97</v>
      </c>
      <c r="D403" s="100">
        <v>1.0</v>
      </c>
      <c r="E403" s="119">
        <v>80.99</v>
      </c>
      <c r="F403" s="118">
        <f t="shared" si="52"/>
        <v>80.99</v>
      </c>
      <c r="G403" s="118">
        <f t="shared" si="53"/>
        <v>20.2475</v>
      </c>
      <c r="H403" s="100" t="s">
        <v>627</v>
      </c>
      <c r="I403" s="1"/>
      <c r="J403" s="104" t="s">
        <v>596</v>
      </c>
      <c r="K403" s="133"/>
      <c r="L403" s="105"/>
      <c r="M403" s="105"/>
      <c r="N403" s="1"/>
      <c r="O403" s="1"/>
      <c r="P403" s="68"/>
    </row>
    <row r="404">
      <c r="A404" s="100">
        <v>8.82191243615E11</v>
      </c>
      <c r="B404" s="186" t="s">
        <v>628</v>
      </c>
      <c r="C404" s="100" t="s">
        <v>97</v>
      </c>
      <c r="D404" s="100">
        <v>1.0</v>
      </c>
      <c r="E404" s="119">
        <v>191.04</v>
      </c>
      <c r="F404" s="118">
        <f t="shared" si="52"/>
        <v>191.04</v>
      </c>
      <c r="G404" s="118">
        <f t="shared" si="53"/>
        <v>47.76</v>
      </c>
      <c r="H404" s="100" t="s">
        <v>629</v>
      </c>
      <c r="I404" s="1"/>
      <c r="J404" s="104" t="s">
        <v>596</v>
      </c>
      <c r="K404" s="133"/>
      <c r="L404" s="105"/>
      <c r="M404" s="105"/>
      <c r="N404" s="1"/>
      <c r="O404" s="1"/>
      <c r="P404" s="68"/>
    </row>
    <row r="405">
      <c r="A405" s="135" t="s">
        <v>630</v>
      </c>
      <c r="B405" s="103" t="s">
        <v>631</v>
      </c>
      <c r="C405" s="100"/>
      <c r="D405" s="100"/>
      <c r="E405" s="119"/>
      <c r="F405" s="118"/>
      <c r="G405" s="118"/>
      <c r="H405" s="100"/>
      <c r="I405" s="1"/>
      <c r="J405" s="104"/>
      <c r="K405" s="133"/>
      <c r="L405" s="105"/>
      <c r="M405" s="105"/>
      <c r="N405" s="1"/>
      <c r="O405" s="1"/>
      <c r="P405" s="68"/>
    </row>
    <row r="406">
      <c r="A406" s="134">
        <v>1.93465809568E11</v>
      </c>
      <c r="B406" s="186" t="s">
        <v>632</v>
      </c>
      <c r="C406" s="100" t="s">
        <v>97</v>
      </c>
      <c r="D406" s="100">
        <v>1.0</v>
      </c>
      <c r="E406" s="119">
        <v>148.0</v>
      </c>
      <c r="F406" s="118">
        <f>E406*D406</f>
        <v>148</v>
      </c>
      <c r="G406" s="118">
        <f>F406/4</f>
        <v>37</v>
      </c>
      <c r="H406" s="132" t="s">
        <v>169</v>
      </c>
      <c r="I406" s="1"/>
      <c r="J406" s="104" t="s">
        <v>596</v>
      </c>
      <c r="K406" s="133"/>
      <c r="L406" s="105"/>
      <c r="M406" s="105"/>
      <c r="N406" s="1"/>
      <c r="O406" s="1"/>
      <c r="P406" s="68"/>
    </row>
    <row r="407">
      <c r="A407" s="135" t="s">
        <v>633</v>
      </c>
      <c r="B407" s="103" t="s">
        <v>634</v>
      </c>
      <c r="C407" s="100"/>
      <c r="D407" s="100"/>
      <c r="E407" s="119"/>
      <c r="F407" s="118"/>
      <c r="G407" s="118"/>
      <c r="H407" s="100"/>
      <c r="I407" s="1"/>
      <c r="J407" s="104"/>
      <c r="K407" s="133"/>
      <c r="L407" s="105"/>
      <c r="M407" s="105"/>
      <c r="N407" s="1"/>
      <c r="O407" s="1"/>
      <c r="P407" s="68"/>
    </row>
    <row r="408">
      <c r="A408" s="149">
        <v>8.84094495245E11</v>
      </c>
      <c r="B408" s="131" t="s">
        <v>635</v>
      </c>
      <c r="C408" s="100" t="s">
        <v>97</v>
      </c>
      <c r="D408" s="100">
        <v>1.0</v>
      </c>
      <c r="E408" s="119">
        <v>109.0</v>
      </c>
      <c r="F408" s="118">
        <f t="shared" ref="F408:F409" si="54">E408*D408</f>
        <v>109</v>
      </c>
      <c r="G408" s="118">
        <f t="shared" ref="G408:G409" si="55">F408/4</f>
        <v>27.25</v>
      </c>
      <c r="H408" s="100" t="s">
        <v>196</v>
      </c>
      <c r="I408" s="1" t="s">
        <v>149</v>
      </c>
      <c r="J408" s="104" t="s">
        <v>596</v>
      </c>
      <c r="K408" s="133"/>
      <c r="L408" s="105"/>
      <c r="M408" s="105"/>
      <c r="N408" s="1"/>
      <c r="O408" s="1"/>
      <c r="P408" s="68"/>
    </row>
    <row r="409">
      <c r="A409" s="149">
        <v>8.89631123551E11</v>
      </c>
      <c r="B409" s="131" t="s">
        <v>636</v>
      </c>
      <c r="C409" s="100" t="s">
        <v>97</v>
      </c>
      <c r="D409" s="100">
        <v>1.0</v>
      </c>
      <c r="E409" s="119">
        <v>79.0</v>
      </c>
      <c r="F409" s="118">
        <f t="shared" si="54"/>
        <v>79</v>
      </c>
      <c r="G409" s="118">
        <f t="shared" si="55"/>
        <v>19.75</v>
      </c>
      <c r="H409" s="100" t="s">
        <v>637</v>
      </c>
      <c r="I409" s="1" t="s">
        <v>143</v>
      </c>
      <c r="J409" s="104" t="s">
        <v>596</v>
      </c>
      <c r="K409" s="133"/>
      <c r="L409" s="105"/>
      <c r="M409" s="105"/>
      <c r="N409" s="1"/>
      <c r="O409" s="1"/>
      <c r="P409" s="68"/>
    </row>
    <row r="410">
      <c r="A410" s="112" t="s">
        <v>153</v>
      </c>
      <c r="B410" s="112" t="s">
        <v>638</v>
      </c>
      <c r="C410" s="112" t="str">
        <f>MID($B410,6,7)</f>
        <v>GR18242</v>
      </c>
      <c r="D410" s="112"/>
      <c r="E410" s="138"/>
      <c r="F410" s="124"/>
      <c r="G410" s="124"/>
      <c r="H410" s="127">
        <v>44557.0</v>
      </c>
      <c r="I410" s="1"/>
      <c r="J410" s="104" t="str">
        <f>IF(LEFT(B410,3)="Box","BOX","COUNT")</f>
        <v>BOX</v>
      </c>
      <c r="K410" s="139">
        <f>SUMIF($J$4:$J$8671,$C410,$D$4:$D$8671)</f>
        <v>29</v>
      </c>
      <c r="L410" s="32">
        <f>SUMIF($J$4:$J$8671,$C410,$F$4:$F$8671)</f>
        <v>3458.97</v>
      </c>
      <c r="M410" s="32">
        <f>SUMIF($J$4:$J$8671,$C410,$G$4:$G$8671)</f>
        <v>864.7425</v>
      </c>
      <c r="N410" s="1" t="str">
        <f>C410</f>
        <v>GR18242</v>
      </c>
      <c r="O410" s="1" t="str">
        <f>J411</f>
        <v>SHIP</v>
      </c>
      <c r="P410" s="68">
        <f>M410</f>
        <v>864.7425</v>
      </c>
      <c r="Q410" s="114">
        <v>44494.0</v>
      </c>
      <c r="R410" s="37" t="s">
        <v>438</v>
      </c>
      <c r="S410" s="37" t="s">
        <v>439</v>
      </c>
    </row>
    <row r="411">
      <c r="A411" s="150"/>
      <c r="B411" s="140" t="s">
        <v>639</v>
      </c>
      <c r="C411" s="141"/>
      <c r="D411" s="141"/>
      <c r="E411" s="142"/>
      <c r="F411" s="142"/>
      <c r="G411" s="142"/>
      <c r="H411" s="141"/>
      <c r="I411" s="1"/>
      <c r="J411" s="104" t="str">
        <f>IF(B411="","NSHIP","SHIP")</f>
        <v>SHIP</v>
      </c>
      <c r="K411" s="139">
        <f>IF($J411="NSHIP",0,-SUMIF($J$4:$J$8671,$C410,$D$4:$D$8671))</f>
        <v>-29</v>
      </c>
      <c r="L411" s="32">
        <f>IF($J411="NSHIP",0,-SUMIF($J$4:$J$8669,$C410,$F$4:$F$8669))</f>
        <v>-3458.97</v>
      </c>
      <c r="M411" s="32">
        <f>IF($J411="NSHIP",0,-SUMIF($J$4:$J$8669,$C410,$G$4:$G$8669))</f>
        <v>-864.7425</v>
      </c>
      <c r="N411" s="1"/>
      <c r="O411" s="1"/>
      <c r="P411" s="68"/>
    </row>
    <row r="412">
      <c r="A412" s="100">
        <v>8.867004858E9</v>
      </c>
      <c r="B412" s="131" t="s">
        <v>640</v>
      </c>
      <c r="C412" s="100" t="s">
        <v>97</v>
      </c>
      <c r="D412" s="100">
        <v>1.0</v>
      </c>
      <c r="E412" s="119">
        <v>89.0</v>
      </c>
      <c r="F412" s="118">
        <f t="shared" ref="F412:F453" si="56">E412*D412</f>
        <v>89</v>
      </c>
      <c r="G412" s="118">
        <f t="shared" ref="G412:G453" si="57">F412/4</f>
        <v>22.25</v>
      </c>
      <c r="H412" s="100" t="s">
        <v>159</v>
      </c>
      <c r="I412" s="1"/>
      <c r="J412" s="120" t="s">
        <v>641</v>
      </c>
      <c r="K412" s="99"/>
      <c r="L412" s="50"/>
      <c r="M412" s="50"/>
      <c r="P412" s="68"/>
    </row>
    <row r="413">
      <c r="A413" s="100">
        <v>9.3488070948E10</v>
      </c>
      <c r="B413" s="131" t="s">
        <v>642</v>
      </c>
      <c r="C413" s="100" t="s">
        <v>97</v>
      </c>
      <c r="D413" s="100">
        <v>1.0</v>
      </c>
      <c r="E413" s="119">
        <v>99.0</v>
      </c>
      <c r="F413" s="118">
        <f t="shared" si="56"/>
        <v>99</v>
      </c>
      <c r="G413" s="118">
        <f t="shared" si="57"/>
        <v>24.75</v>
      </c>
      <c r="H413" s="100" t="s">
        <v>643</v>
      </c>
      <c r="I413" s="1"/>
      <c r="J413" s="120" t="s">
        <v>641</v>
      </c>
      <c r="K413" s="99"/>
      <c r="L413" s="50"/>
      <c r="M413" s="50"/>
      <c r="P413" s="68"/>
    </row>
    <row r="414">
      <c r="A414" s="100">
        <v>1.91170267864E11</v>
      </c>
      <c r="B414" s="131" t="s">
        <v>644</v>
      </c>
      <c r="C414" s="100" t="s">
        <v>97</v>
      </c>
      <c r="D414" s="100">
        <v>1.0</v>
      </c>
      <c r="E414" s="119">
        <v>59.0</v>
      </c>
      <c r="F414" s="118">
        <f t="shared" si="56"/>
        <v>59</v>
      </c>
      <c r="G414" s="118">
        <f t="shared" si="57"/>
        <v>14.75</v>
      </c>
      <c r="H414" s="100" t="s">
        <v>645</v>
      </c>
      <c r="I414" s="1"/>
      <c r="J414" s="120" t="s">
        <v>641</v>
      </c>
      <c r="K414" s="99"/>
      <c r="L414" s="50"/>
      <c r="M414" s="50"/>
      <c r="P414" s="68"/>
    </row>
    <row r="415">
      <c r="A415" s="100">
        <v>1.91837168329E11</v>
      </c>
      <c r="B415" s="131" t="s">
        <v>646</v>
      </c>
      <c r="C415" s="100" t="s">
        <v>97</v>
      </c>
      <c r="D415" s="100">
        <v>1.0</v>
      </c>
      <c r="E415" s="119">
        <v>139.0</v>
      </c>
      <c r="F415" s="118">
        <f t="shared" si="56"/>
        <v>139</v>
      </c>
      <c r="G415" s="118">
        <f t="shared" si="57"/>
        <v>34.75</v>
      </c>
      <c r="H415" s="100" t="s">
        <v>162</v>
      </c>
      <c r="I415" s="1"/>
      <c r="J415" s="120" t="s">
        <v>641</v>
      </c>
      <c r="K415" s="99"/>
      <c r="L415" s="50"/>
      <c r="M415" s="50"/>
      <c r="P415" s="68"/>
    </row>
    <row r="416">
      <c r="A416" s="100">
        <v>1.92081261125E11</v>
      </c>
      <c r="B416" s="131" t="s">
        <v>647</v>
      </c>
      <c r="C416" s="100" t="s">
        <v>97</v>
      </c>
      <c r="D416" s="100">
        <v>1.0</v>
      </c>
      <c r="E416" s="119">
        <v>159.0</v>
      </c>
      <c r="F416" s="118">
        <f t="shared" si="56"/>
        <v>159</v>
      </c>
      <c r="G416" s="118">
        <f t="shared" si="57"/>
        <v>39.75</v>
      </c>
      <c r="H416" s="100" t="s">
        <v>648</v>
      </c>
      <c r="I416" s="1"/>
      <c r="J416" s="120" t="s">
        <v>641</v>
      </c>
      <c r="K416" s="99"/>
      <c r="L416" s="50"/>
      <c r="M416" s="50"/>
      <c r="P416" s="68"/>
    </row>
    <row r="417">
      <c r="A417" s="100">
        <v>1.92523584812E11</v>
      </c>
      <c r="B417" s="131" t="s">
        <v>649</v>
      </c>
      <c r="C417" s="100" t="s">
        <v>97</v>
      </c>
      <c r="D417" s="100">
        <v>1.0</v>
      </c>
      <c r="E417" s="119">
        <v>128.0</v>
      </c>
      <c r="F417" s="118">
        <f t="shared" si="56"/>
        <v>128</v>
      </c>
      <c r="G417" s="118">
        <f t="shared" si="57"/>
        <v>32</v>
      </c>
      <c r="H417" s="100" t="s">
        <v>650</v>
      </c>
      <c r="I417" s="1"/>
      <c r="J417" s="120" t="s">
        <v>641</v>
      </c>
      <c r="K417" s="99"/>
      <c r="L417" s="50"/>
      <c r="M417" s="50"/>
      <c r="P417" s="68"/>
    </row>
    <row r="418">
      <c r="A418" s="100">
        <v>1.93371316846E11</v>
      </c>
      <c r="B418" s="131" t="s">
        <v>651</v>
      </c>
      <c r="C418" s="100" t="s">
        <v>97</v>
      </c>
      <c r="D418" s="100">
        <v>1.0</v>
      </c>
      <c r="E418" s="119">
        <v>65.0</v>
      </c>
      <c r="F418" s="118">
        <f t="shared" si="56"/>
        <v>65</v>
      </c>
      <c r="G418" s="118">
        <f t="shared" si="57"/>
        <v>16.25</v>
      </c>
      <c r="H418" s="100" t="s">
        <v>652</v>
      </c>
      <c r="I418" s="1"/>
      <c r="J418" s="120" t="s">
        <v>641</v>
      </c>
      <c r="K418" s="99"/>
      <c r="L418" s="50"/>
      <c r="M418" s="50"/>
      <c r="P418" s="68"/>
    </row>
    <row r="419">
      <c r="A419" s="100">
        <v>1.93372081675E11</v>
      </c>
      <c r="B419" s="131" t="s">
        <v>653</v>
      </c>
      <c r="C419" s="100" t="s">
        <v>97</v>
      </c>
      <c r="D419" s="100">
        <v>1.0</v>
      </c>
      <c r="E419" s="119">
        <v>175.0</v>
      </c>
      <c r="F419" s="118">
        <f t="shared" si="56"/>
        <v>175</v>
      </c>
      <c r="G419" s="118">
        <f t="shared" si="57"/>
        <v>43.75</v>
      </c>
      <c r="H419" s="100" t="s">
        <v>444</v>
      </c>
      <c r="I419" s="1"/>
      <c r="J419" s="120" t="s">
        <v>641</v>
      </c>
      <c r="K419" s="99"/>
      <c r="L419" s="50"/>
      <c r="M419" s="50"/>
      <c r="P419" s="68"/>
    </row>
    <row r="420">
      <c r="A420" s="100">
        <v>1.93372105005E11</v>
      </c>
      <c r="B420" s="131" t="s">
        <v>654</v>
      </c>
      <c r="C420" s="100" t="s">
        <v>97</v>
      </c>
      <c r="D420" s="100">
        <v>1.0</v>
      </c>
      <c r="E420" s="119">
        <v>215.0</v>
      </c>
      <c r="F420" s="118">
        <f t="shared" si="56"/>
        <v>215</v>
      </c>
      <c r="G420" s="118">
        <f t="shared" si="57"/>
        <v>53.75</v>
      </c>
      <c r="H420" s="100" t="s">
        <v>444</v>
      </c>
      <c r="I420" s="1"/>
      <c r="J420" s="120" t="s">
        <v>641</v>
      </c>
      <c r="K420" s="99"/>
      <c r="L420" s="50"/>
      <c r="M420" s="50"/>
      <c r="P420" s="68"/>
    </row>
    <row r="421">
      <c r="A421" s="100">
        <v>1.93481506656E11</v>
      </c>
      <c r="B421" s="131" t="s">
        <v>655</v>
      </c>
      <c r="C421" s="100" t="s">
        <v>97</v>
      </c>
      <c r="D421" s="100">
        <v>1.0</v>
      </c>
      <c r="E421" s="119">
        <v>348.0</v>
      </c>
      <c r="F421" s="118">
        <f t="shared" si="56"/>
        <v>348</v>
      </c>
      <c r="G421" s="118">
        <f t="shared" si="57"/>
        <v>87</v>
      </c>
      <c r="H421" s="100" t="s">
        <v>656</v>
      </c>
      <c r="I421" s="1"/>
      <c r="J421" s="120" t="s">
        <v>641</v>
      </c>
      <c r="K421" s="99"/>
      <c r="L421" s="50"/>
      <c r="M421" s="50"/>
      <c r="P421" s="68"/>
    </row>
    <row r="422">
      <c r="A422" s="100">
        <v>1.93481520669E11</v>
      </c>
      <c r="B422" s="131" t="s">
        <v>657</v>
      </c>
      <c r="C422" s="100" t="s">
        <v>97</v>
      </c>
      <c r="D422" s="100">
        <v>1.0</v>
      </c>
      <c r="E422" s="119">
        <v>148.0</v>
      </c>
      <c r="F422" s="118">
        <f t="shared" si="56"/>
        <v>148</v>
      </c>
      <c r="G422" s="118">
        <f t="shared" si="57"/>
        <v>37</v>
      </c>
      <c r="H422" s="100" t="s">
        <v>379</v>
      </c>
      <c r="I422" s="1"/>
      <c r="J422" s="120" t="s">
        <v>641</v>
      </c>
      <c r="K422" s="99"/>
      <c r="L422" s="50"/>
      <c r="M422" s="50"/>
      <c r="P422" s="68"/>
    </row>
    <row r="423">
      <c r="A423" s="100">
        <v>1.93481551557E11</v>
      </c>
      <c r="B423" s="131" t="s">
        <v>658</v>
      </c>
      <c r="C423" s="100" t="s">
        <v>97</v>
      </c>
      <c r="D423" s="100">
        <v>1.0</v>
      </c>
      <c r="E423" s="119">
        <v>298.0</v>
      </c>
      <c r="F423" s="118">
        <f t="shared" si="56"/>
        <v>298</v>
      </c>
      <c r="G423" s="118">
        <f t="shared" si="57"/>
        <v>74.5</v>
      </c>
      <c r="H423" s="100" t="s">
        <v>379</v>
      </c>
      <c r="I423" s="1"/>
      <c r="J423" s="120" t="s">
        <v>641</v>
      </c>
      <c r="K423" s="99"/>
      <c r="L423" s="50"/>
      <c r="M423" s="50"/>
      <c r="P423" s="68"/>
    </row>
    <row r="424">
      <c r="A424" s="100">
        <v>1.93481572118E11</v>
      </c>
      <c r="B424" s="131" t="s">
        <v>659</v>
      </c>
      <c r="C424" s="100" t="s">
        <v>97</v>
      </c>
      <c r="D424" s="100">
        <v>1.0</v>
      </c>
      <c r="E424" s="119">
        <v>128.0</v>
      </c>
      <c r="F424" s="118">
        <f t="shared" si="56"/>
        <v>128</v>
      </c>
      <c r="G424" s="118">
        <f t="shared" si="57"/>
        <v>32</v>
      </c>
      <c r="H424" s="100" t="s">
        <v>656</v>
      </c>
      <c r="I424" s="1"/>
      <c r="J424" s="120" t="s">
        <v>641</v>
      </c>
      <c r="K424" s="99"/>
      <c r="L424" s="50"/>
      <c r="M424" s="50"/>
      <c r="P424" s="68"/>
    </row>
    <row r="425">
      <c r="A425" s="100">
        <v>1.94592996916E11</v>
      </c>
      <c r="B425" s="131" t="s">
        <v>660</v>
      </c>
      <c r="C425" s="100" t="s">
        <v>97</v>
      </c>
      <c r="D425" s="100">
        <v>1.0</v>
      </c>
      <c r="E425" s="119">
        <v>99.0</v>
      </c>
      <c r="F425" s="118">
        <f t="shared" si="56"/>
        <v>99</v>
      </c>
      <c r="G425" s="118">
        <f t="shared" si="57"/>
        <v>24.75</v>
      </c>
      <c r="H425" s="100" t="s">
        <v>661</v>
      </c>
      <c r="I425" s="1"/>
      <c r="J425" s="120" t="s">
        <v>641</v>
      </c>
      <c r="K425" s="99"/>
      <c r="L425" s="50"/>
      <c r="M425" s="50"/>
      <c r="P425" s="68"/>
    </row>
    <row r="426">
      <c r="A426" s="100">
        <v>1.95170006386E11</v>
      </c>
      <c r="B426" s="131" t="s">
        <v>662</v>
      </c>
      <c r="C426" s="100" t="s">
        <v>97</v>
      </c>
      <c r="D426" s="100">
        <v>1.0</v>
      </c>
      <c r="E426" s="119">
        <v>189.0</v>
      </c>
      <c r="F426" s="118">
        <f t="shared" si="56"/>
        <v>189</v>
      </c>
      <c r="G426" s="118">
        <f t="shared" si="57"/>
        <v>47.25</v>
      </c>
      <c r="H426" s="100" t="s">
        <v>171</v>
      </c>
      <c r="I426" s="1"/>
      <c r="J426" s="120" t="s">
        <v>641</v>
      </c>
      <c r="K426" s="99"/>
      <c r="L426" s="50"/>
      <c r="M426" s="50"/>
      <c r="P426" s="68"/>
    </row>
    <row r="427">
      <c r="A427" s="100">
        <v>6.37348459186E11</v>
      </c>
      <c r="B427" s="131" t="s">
        <v>663</v>
      </c>
      <c r="C427" s="100" t="s">
        <v>97</v>
      </c>
      <c r="D427" s="100">
        <v>1.0</v>
      </c>
      <c r="E427" s="119">
        <v>40.99</v>
      </c>
      <c r="F427" s="118">
        <f t="shared" si="56"/>
        <v>40.99</v>
      </c>
      <c r="G427" s="118">
        <f t="shared" si="57"/>
        <v>10.2475</v>
      </c>
      <c r="H427" s="100" t="s">
        <v>390</v>
      </c>
      <c r="I427" s="1"/>
      <c r="J427" s="120" t="s">
        <v>641</v>
      </c>
      <c r="K427" s="99"/>
      <c r="L427" s="50"/>
      <c r="M427" s="50"/>
      <c r="P427" s="68"/>
    </row>
    <row r="428">
      <c r="A428" s="100">
        <v>6.61414656759E11</v>
      </c>
      <c r="B428" s="131" t="s">
        <v>664</v>
      </c>
      <c r="C428" s="100" t="s">
        <v>97</v>
      </c>
      <c r="D428" s="100">
        <v>1.0</v>
      </c>
      <c r="E428" s="119">
        <v>79.0</v>
      </c>
      <c r="F428" s="118">
        <f t="shared" si="56"/>
        <v>79</v>
      </c>
      <c r="G428" s="118">
        <f t="shared" si="57"/>
        <v>19.75</v>
      </c>
      <c r="H428" s="100" t="s">
        <v>609</v>
      </c>
      <c r="I428" s="1"/>
      <c r="J428" s="120" t="s">
        <v>641</v>
      </c>
      <c r="K428" s="99"/>
      <c r="L428" s="50"/>
      <c r="M428" s="50"/>
      <c r="P428" s="68"/>
    </row>
    <row r="429">
      <c r="A429" s="100">
        <v>7.06256492162E11</v>
      </c>
      <c r="B429" s="131" t="s">
        <v>665</v>
      </c>
      <c r="C429" s="100" t="s">
        <v>97</v>
      </c>
      <c r="D429" s="100">
        <v>1.0</v>
      </c>
      <c r="E429" s="119">
        <v>69.5</v>
      </c>
      <c r="F429" s="118">
        <f t="shared" si="56"/>
        <v>69.5</v>
      </c>
      <c r="G429" s="118">
        <f t="shared" si="57"/>
        <v>17.375</v>
      </c>
      <c r="H429" s="100" t="s">
        <v>402</v>
      </c>
      <c r="I429" s="1"/>
      <c r="J429" s="120" t="s">
        <v>641</v>
      </c>
      <c r="K429" s="99"/>
      <c r="L429" s="50"/>
      <c r="M429" s="50"/>
      <c r="P429" s="68"/>
    </row>
    <row r="430">
      <c r="A430" s="100">
        <v>7.06256492209E11</v>
      </c>
      <c r="B430" s="131" t="s">
        <v>666</v>
      </c>
      <c r="C430" s="100" t="s">
        <v>97</v>
      </c>
      <c r="D430" s="100">
        <v>1.0</v>
      </c>
      <c r="E430" s="119">
        <v>69.5</v>
      </c>
      <c r="F430" s="118">
        <f t="shared" si="56"/>
        <v>69.5</v>
      </c>
      <c r="G430" s="118">
        <f t="shared" si="57"/>
        <v>17.375</v>
      </c>
      <c r="H430" s="100" t="s">
        <v>402</v>
      </c>
      <c r="I430" s="1"/>
      <c r="J430" s="120" t="s">
        <v>641</v>
      </c>
      <c r="K430" s="99"/>
      <c r="L430" s="50"/>
      <c r="M430" s="50"/>
      <c r="P430" s="68"/>
    </row>
    <row r="431">
      <c r="A431" s="100">
        <v>7.06258688402E11</v>
      </c>
      <c r="B431" s="131" t="s">
        <v>667</v>
      </c>
      <c r="C431" s="100" t="s">
        <v>97</v>
      </c>
      <c r="D431" s="100">
        <v>1.0</v>
      </c>
      <c r="E431" s="119">
        <v>69.5</v>
      </c>
      <c r="F431" s="118">
        <f t="shared" si="56"/>
        <v>69.5</v>
      </c>
      <c r="G431" s="118">
        <f t="shared" si="57"/>
        <v>17.375</v>
      </c>
      <c r="H431" s="100" t="s">
        <v>193</v>
      </c>
      <c r="I431" s="1"/>
      <c r="J431" s="120" t="s">
        <v>641</v>
      </c>
      <c r="K431" s="99"/>
      <c r="L431" s="50"/>
      <c r="M431" s="50"/>
      <c r="P431" s="68"/>
    </row>
    <row r="432">
      <c r="A432" s="100">
        <v>7.32994170581E11</v>
      </c>
      <c r="B432" s="131" t="s">
        <v>668</v>
      </c>
      <c r="C432" s="100" t="s">
        <v>97</v>
      </c>
      <c r="D432" s="100">
        <v>1.0</v>
      </c>
      <c r="E432" s="119">
        <v>79.5</v>
      </c>
      <c r="F432" s="118">
        <f t="shared" si="56"/>
        <v>79.5</v>
      </c>
      <c r="G432" s="118">
        <f t="shared" si="57"/>
        <v>19.875</v>
      </c>
      <c r="H432" s="100" t="s">
        <v>400</v>
      </c>
      <c r="I432" s="1"/>
      <c r="J432" s="120" t="s">
        <v>641</v>
      </c>
      <c r="K432" s="99"/>
      <c r="L432" s="50"/>
      <c r="M432" s="50"/>
      <c r="P432" s="68"/>
    </row>
    <row r="433">
      <c r="A433" s="100">
        <v>7.32995761849E11</v>
      </c>
      <c r="B433" s="131" t="s">
        <v>669</v>
      </c>
      <c r="C433" s="100" t="s">
        <v>97</v>
      </c>
      <c r="D433" s="100">
        <v>1.0</v>
      </c>
      <c r="E433" s="119">
        <v>49.5</v>
      </c>
      <c r="F433" s="118">
        <f t="shared" si="56"/>
        <v>49.5</v>
      </c>
      <c r="G433" s="118">
        <f t="shared" si="57"/>
        <v>12.375</v>
      </c>
      <c r="H433" s="100" t="s">
        <v>528</v>
      </c>
      <c r="I433" s="1"/>
      <c r="J433" s="120" t="s">
        <v>641</v>
      </c>
      <c r="K433" s="99"/>
      <c r="L433" s="50"/>
      <c r="M433" s="50"/>
      <c r="P433" s="68"/>
    </row>
    <row r="434">
      <c r="A434" s="100">
        <v>7.32998371113E11</v>
      </c>
      <c r="B434" s="131" t="s">
        <v>670</v>
      </c>
      <c r="C434" s="100" t="s">
        <v>97</v>
      </c>
      <c r="D434" s="100">
        <v>1.0</v>
      </c>
      <c r="E434" s="119">
        <v>29.5</v>
      </c>
      <c r="F434" s="118">
        <f t="shared" si="56"/>
        <v>29.5</v>
      </c>
      <c r="G434" s="118">
        <f t="shared" si="57"/>
        <v>7.375</v>
      </c>
      <c r="H434" s="100" t="s">
        <v>193</v>
      </c>
      <c r="I434" s="1"/>
      <c r="J434" s="120" t="s">
        <v>641</v>
      </c>
      <c r="K434" s="99"/>
      <c r="L434" s="50"/>
      <c r="M434" s="50"/>
      <c r="P434" s="68"/>
    </row>
    <row r="435">
      <c r="A435" s="100">
        <v>7.3299951511E11</v>
      </c>
      <c r="B435" s="131" t="s">
        <v>671</v>
      </c>
      <c r="C435" s="100" t="s">
        <v>97</v>
      </c>
      <c r="D435" s="100">
        <v>1.0</v>
      </c>
      <c r="E435" s="119">
        <v>119.5</v>
      </c>
      <c r="F435" s="118">
        <f t="shared" si="56"/>
        <v>119.5</v>
      </c>
      <c r="G435" s="118">
        <f t="shared" si="57"/>
        <v>29.875</v>
      </c>
      <c r="H435" s="100" t="s">
        <v>672</v>
      </c>
      <c r="I435" s="1"/>
      <c r="J435" s="120" t="s">
        <v>641</v>
      </c>
      <c r="K435" s="99"/>
      <c r="L435" s="50"/>
      <c r="M435" s="50"/>
      <c r="P435" s="68"/>
    </row>
    <row r="436">
      <c r="A436" s="100">
        <v>7.32999904273E11</v>
      </c>
      <c r="B436" s="131" t="s">
        <v>673</v>
      </c>
      <c r="C436" s="100" t="s">
        <v>97</v>
      </c>
      <c r="D436" s="100">
        <v>1.0</v>
      </c>
      <c r="E436" s="119">
        <v>79.5</v>
      </c>
      <c r="F436" s="118">
        <f t="shared" si="56"/>
        <v>79.5</v>
      </c>
      <c r="G436" s="118">
        <f t="shared" si="57"/>
        <v>19.875</v>
      </c>
      <c r="H436" s="100" t="s">
        <v>402</v>
      </c>
      <c r="I436" s="1"/>
      <c r="J436" s="120" t="s">
        <v>641</v>
      </c>
      <c r="K436" s="99"/>
      <c r="L436" s="50"/>
      <c r="M436" s="50"/>
      <c r="P436" s="68"/>
    </row>
    <row r="437">
      <c r="A437" s="100">
        <v>7.32999911639E11</v>
      </c>
      <c r="B437" s="131" t="s">
        <v>674</v>
      </c>
      <c r="C437" s="100" t="s">
        <v>97</v>
      </c>
      <c r="D437" s="100">
        <v>1.0</v>
      </c>
      <c r="E437" s="119">
        <v>29.5</v>
      </c>
      <c r="F437" s="118">
        <f t="shared" si="56"/>
        <v>29.5</v>
      </c>
      <c r="G437" s="118">
        <f t="shared" si="57"/>
        <v>7.375</v>
      </c>
      <c r="H437" s="100" t="s">
        <v>193</v>
      </c>
      <c r="I437" s="1"/>
      <c r="J437" s="120" t="s">
        <v>641</v>
      </c>
      <c r="K437" s="99"/>
      <c r="L437" s="50"/>
      <c r="M437" s="50"/>
      <c r="P437" s="68"/>
    </row>
    <row r="438">
      <c r="A438" s="100">
        <v>7.32999946143E11</v>
      </c>
      <c r="B438" s="131" t="s">
        <v>675</v>
      </c>
      <c r="C438" s="100" t="s">
        <v>97</v>
      </c>
      <c r="D438" s="100">
        <v>1.0</v>
      </c>
      <c r="E438" s="119">
        <v>59.5</v>
      </c>
      <c r="F438" s="118">
        <f t="shared" si="56"/>
        <v>59.5</v>
      </c>
      <c r="G438" s="118">
        <f t="shared" si="57"/>
        <v>14.875</v>
      </c>
      <c r="H438" s="100" t="s">
        <v>402</v>
      </c>
      <c r="I438" s="1"/>
      <c r="J438" s="120" t="s">
        <v>641</v>
      </c>
      <c r="K438" s="99"/>
      <c r="L438" s="50"/>
      <c r="M438" s="50"/>
      <c r="P438" s="68"/>
    </row>
    <row r="439">
      <c r="A439" s="100">
        <v>7.33001394174E11</v>
      </c>
      <c r="B439" s="131" t="s">
        <v>676</v>
      </c>
      <c r="C439" s="100" t="s">
        <v>97</v>
      </c>
      <c r="D439" s="100">
        <v>1.0</v>
      </c>
      <c r="E439" s="119">
        <v>69.5</v>
      </c>
      <c r="F439" s="118">
        <f t="shared" si="56"/>
        <v>69.5</v>
      </c>
      <c r="G439" s="118">
        <f t="shared" si="57"/>
        <v>17.375</v>
      </c>
      <c r="H439" s="100" t="s">
        <v>402</v>
      </c>
      <c r="I439" s="1"/>
      <c r="J439" s="120" t="s">
        <v>641</v>
      </c>
      <c r="K439" s="99"/>
      <c r="L439" s="50"/>
      <c r="M439" s="50"/>
      <c r="P439" s="68"/>
    </row>
    <row r="440">
      <c r="A440" s="100">
        <v>7.33001448822E11</v>
      </c>
      <c r="B440" s="131" t="s">
        <v>677</v>
      </c>
      <c r="C440" s="100" t="s">
        <v>97</v>
      </c>
      <c r="D440" s="100">
        <v>1.0</v>
      </c>
      <c r="E440" s="119">
        <v>69.5</v>
      </c>
      <c r="F440" s="118">
        <f t="shared" si="56"/>
        <v>69.5</v>
      </c>
      <c r="G440" s="118">
        <f t="shared" si="57"/>
        <v>17.375</v>
      </c>
      <c r="H440" s="100" t="s">
        <v>193</v>
      </c>
      <c r="I440" s="1"/>
      <c r="J440" s="120" t="s">
        <v>641</v>
      </c>
      <c r="K440" s="99"/>
      <c r="L440" s="50"/>
      <c r="M440" s="50"/>
      <c r="P440" s="68"/>
    </row>
    <row r="441">
      <c r="A441" s="100">
        <v>7.33001763321E11</v>
      </c>
      <c r="B441" s="131" t="s">
        <v>678</v>
      </c>
      <c r="C441" s="100" t="s">
        <v>97</v>
      </c>
      <c r="D441" s="100">
        <v>1.0</v>
      </c>
      <c r="E441" s="119">
        <v>59.5</v>
      </c>
      <c r="F441" s="118">
        <f t="shared" si="56"/>
        <v>59.5</v>
      </c>
      <c r="G441" s="118">
        <f t="shared" si="57"/>
        <v>14.875</v>
      </c>
      <c r="H441" s="100" t="s">
        <v>193</v>
      </c>
      <c r="I441" s="1"/>
      <c r="J441" s="120" t="s">
        <v>641</v>
      </c>
      <c r="K441" s="99"/>
      <c r="L441" s="50"/>
      <c r="M441" s="50"/>
      <c r="P441" s="68"/>
    </row>
    <row r="442">
      <c r="A442" s="100">
        <v>7.33001820673E11</v>
      </c>
      <c r="B442" s="131" t="s">
        <v>679</v>
      </c>
      <c r="C442" s="100" t="s">
        <v>97</v>
      </c>
      <c r="D442" s="100">
        <v>1.0</v>
      </c>
      <c r="E442" s="119">
        <v>69.5</v>
      </c>
      <c r="F442" s="118">
        <f t="shared" si="56"/>
        <v>69.5</v>
      </c>
      <c r="G442" s="118">
        <f t="shared" si="57"/>
        <v>17.375</v>
      </c>
      <c r="H442" s="100" t="s">
        <v>193</v>
      </c>
      <c r="I442" s="1"/>
      <c r="J442" s="120" t="s">
        <v>641</v>
      </c>
      <c r="K442" s="99"/>
      <c r="L442" s="50"/>
      <c r="M442" s="50"/>
      <c r="P442" s="68"/>
    </row>
    <row r="443">
      <c r="A443" s="100">
        <v>7.33001903659E11</v>
      </c>
      <c r="B443" s="131" t="s">
        <v>680</v>
      </c>
      <c r="C443" s="100" t="s">
        <v>97</v>
      </c>
      <c r="D443" s="100">
        <v>1.0</v>
      </c>
      <c r="E443" s="119">
        <v>74.5</v>
      </c>
      <c r="F443" s="118">
        <f t="shared" si="56"/>
        <v>74.5</v>
      </c>
      <c r="G443" s="118">
        <f t="shared" si="57"/>
        <v>18.625</v>
      </c>
      <c r="H443" s="100" t="s">
        <v>402</v>
      </c>
      <c r="I443" s="1"/>
      <c r="J443" s="120" t="s">
        <v>641</v>
      </c>
      <c r="K443" s="99"/>
      <c r="L443" s="50"/>
      <c r="M443" s="50"/>
      <c r="P443" s="68"/>
    </row>
    <row r="444">
      <c r="A444" s="100">
        <v>7.33001903697E11</v>
      </c>
      <c r="B444" s="131" t="s">
        <v>681</v>
      </c>
      <c r="C444" s="100" t="s">
        <v>97</v>
      </c>
      <c r="D444" s="100">
        <v>1.0</v>
      </c>
      <c r="E444" s="119">
        <v>74.5</v>
      </c>
      <c r="F444" s="118">
        <f t="shared" si="56"/>
        <v>74.5</v>
      </c>
      <c r="G444" s="118">
        <f t="shared" si="57"/>
        <v>18.625</v>
      </c>
      <c r="H444" s="100" t="s">
        <v>402</v>
      </c>
      <c r="I444" s="1"/>
      <c r="J444" s="120" t="s">
        <v>641</v>
      </c>
      <c r="K444" s="99"/>
      <c r="L444" s="50"/>
      <c r="M444" s="50"/>
      <c r="P444" s="68"/>
    </row>
    <row r="445">
      <c r="A445" s="100">
        <v>7.33001905936E11</v>
      </c>
      <c r="B445" s="131" t="s">
        <v>682</v>
      </c>
      <c r="C445" s="100" t="s">
        <v>97</v>
      </c>
      <c r="D445" s="100">
        <v>1.0</v>
      </c>
      <c r="E445" s="119">
        <v>69.5</v>
      </c>
      <c r="F445" s="118">
        <f t="shared" si="56"/>
        <v>69.5</v>
      </c>
      <c r="G445" s="118">
        <f t="shared" si="57"/>
        <v>17.375</v>
      </c>
      <c r="H445" s="100" t="s">
        <v>683</v>
      </c>
      <c r="I445" s="1"/>
      <c r="J445" s="120" t="s">
        <v>641</v>
      </c>
      <c r="K445" s="99"/>
      <c r="L445" s="50"/>
      <c r="M445" s="50"/>
      <c r="P445" s="68"/>
    </row>
    <row r="446">
      <c r="A446" s="100">
        <v>7.3300190595E11</v>
      </c>
      <c r="B446" s="131" t="s">
        <v>684</v>
      </c>
      <c r="C446" s="100" t="s">
        <v>97</v>
      </c>
      <c r="D446" s="100">
        <v>1.0</v>
      </c>
      <c r="E446" s="119">
        <v>69.5</v>
      </c>
      <c r="F446" s="118">
        <f t="shared" si="56"/>
        <v>69.5</v>
      </c>
      <c r="G446" s="118">
        <f t="shared" si="57"/>
        <v>17.375</v>
      </c>
      <c r="H446" s="100" t="s">
        <v>402</v>
      </c>
      <c r="I446" s="1"/>
      <c r="J446" s="120" t="s">
        <v>641</v>
      </c>
      <c r="K446" s="99"/>
      <c r="L446" s="50"/>
      <c r="M446" s="50"/>
      <c r="P446" s="68"/>
    </row>
    <row r="447">
      <c r="A447" s="100">
        <v>7.33001916741E11</v>
      </c>
      <c r="B447" s="131" t="s">
        <v>685</v>
      </c>
      <c r="C447" s="100" t="s">
        <v>97</v>
      </c>
      <c r="D447" s="100">
        <v>1.0</v>
      </c>
      <c r="E447" s="119">
        <v>59.5</v>
      </c>
      <c r="F447" s="118">
        <f t="shared" si="56"/>
        <v>59.5</v>
      </c>
      <c r="G447" s="118">
        <f t="shared" si="57"/>
        <v>14.875</v>
      </c>
      <c r="H447" s="100" t="s">
        <v>193</v>
      </c>
      <c r="I447" s="1"/>
      <c r="J447" s="120" t="s">
        <v>641</v>
      </c>
      <c r="K447" s="99"/>
      <c r="L447" s="50"/>
      <c r="M447" s="50"/>
      <c r="P447" s="68"/>
    </row>
    <row r="448">
      <c r="A448" s="100">
        <v>7.3300191684E11</v>
      </c>
      <c r="B448" s="131" t="s">
        <v>686</v>
      </c>
      <c r="C448" s="100" t="s">
        <v>97</v>
      </c>
      <c r="D448" s="100">
        <v>2.0</v>
      </c>
      <c r="E448" s="119">
        <v>69.5</v>
      </c>
      <c r="F448" s="118">
        <f t="shared" si="56"/>
        <v>139</v>
      </c>
      <c r="G448" s="118">
        <f t="shared" si="57"/>
        <v>34.75</v>
      </c>
      <c r="H448" s="100" t="s">
        <v>193</v>
      </c>
      <c r="I448" s="1"/>
      <c r="J448" s="120" t="s">
        <v>641</v>
      </c>
      <c r="K448" s="99"/>
      <c r="L448" s="50"/>
      <c r="M448" s="50"/>
      <c r="P448" s="68"/>
    </row>
    <row r="449">
      <c r="A449" s="100">
        <v>7.47157779709E11</v>
      </c>
      <c r="B449" s="131" t="s">
        <v>687</v>
      </c>
      <c r="C449" s="100" t="s">
        <v>97</v>
      </c>
      <c r="D449" s="100">
        <v>1.0</v>
      </c>
      <c r="E449" s="119">
        <v>69.0</v>
      </c>
      <c r="F449" s="118">
        <f t="shared" si="56"/>
        <v>69</v>
      </c>
      <c r="G449" s="118">
        <f t="shared" si="57"/>
        <v>17.25</v>
      </c>
      <c r="H449" s="100" t="s">
        <v>624</v>
      </c>
      <c r="I449" s="1"/>
      <c r="J449" s="120" t="s">
        <v>641</v>
      </c>
      <c r="K449" s="99"/>
      <c r="L449" s="50"/>
      <c r="M449" s="50"/>
      <c r="P449" s="68"/>
    </row>
    <row r="450">
      <c r="A450" s="100">
        <v>7.94795115925E11</v>
      </c>
      <c r="B450" s="131" t="s">
        <v>688</v>
      </c>
      <c r="C450" s="100" t="s">
        <v>97</v>
      </c>
      <c r="D450" s="100">
        <v>1.0</v>
      </c>
      <c r="E450" s="119">
        <v>119.0</v>
      </c>
      <c r="F450" s="118">
        <f t="shared" si="56"/>
        <v>119</v>
      </c>
      <c r="G450" s="118">
        <f t="shared" si="57"/>
        <v>29.75</v>
      </c>
      <c r="H450" s="100" t="s">
        <v>580</v>
      </c>
      <c r="I450" s="1"/>
      <c r="J450" s="120" t="s">
        <v>641</v>
      </c>
      <c r="K450" s="99"/>
      <c r="L450" s="50"/>
      <c r="M450" s="50"/>
      <c r="P450" s="68"/>
    </row>
    <row r="451">
      <c r="A451" s="100">
        <v>8.10026360398E11</v>
      </c>
      <c r="B451" s="131" t="s">
        <v>689</v>
      </c>
      <c r="C451" s="100" t="s">
        <v>97</v>
      </c>
      <c r="D451" s="100">
        <v>1.0</v>
      </c>
      <c r="E451" s="119">
        <v>198.0</v>
      </c>
      <c r="F451" s="118">
        <f t="shared" si="56"/>
        <v>198</v>
      </c>
      <c r="G451" s="118">
        <f t="shared" si="57"/>
        <v>49.5</v>
      </c>
      <c r="H451" s="100" t="s">
        <v>690</v>
      </c>
      <c r="I451" s="1"/>
      <c r="J451" s="120" t="s">
        <v>641</v>
      </c>
      <c r="K451" s="99"/>
      <c r="L451" s="50"/>
      <c r="M451" s="50"/>
      <c r="P451" s="68"/>
    </row>
    <row r="452">
      <c r="A452" s="100">
        <v>8.87650721376E11</v>
      </c>
      <c r="B452" s="131" t="s">
        <v>691</v>
      </c>
      <c r="C452" s="100" t="s">
        <v>97</v>
      </c>
      <c r="D452" s="100">
        <v>1.0</v>
      </c>
      <c r="E452" s="119">
        <v>69.5</v>
      </c>
      <c r="F452" s="118">
        <f t="shared" si="56"/>
        <v>69.5</v>
      </c>
      <c r="G452" s="118">
        <f t="shared" si="57"/>
        <v>17.375</v>
      </c>
      <c r="H452" s="100" t="s">
        <v>528</v>
      </c>
      <c r="I452" s="1"/>
      <c r="J452" s="120" t="s">
        <v>641</v>
      </c>
      <c r="K452" s="99"/>
      <c r="L452" s="50"/>
      <c r="M452" s="50"/>
      <c r="P452" s="68"/>
    </row>
    <row r="453">
      <c r="A453" s="100">
        <v>8.88815459523E11</v>
      </c>
      <c r="B453" s="131" t="s">
        <v>692</v>
      </c>
      <c r="C453" s="100" t="s">
        <v>97</v>
      </c>
      <c r="D453" s="100">
        <v>1.0</v>
      </c>
      <c r="E453" s="119">
        <v>89.0</v>
      </c>
      <c r="F453" s="118">
        <f t="shared" si="56"/>
        <v>89</v>
      </c>
      <c r="G453" s="118">
        <f t="shared" si="57"/>
        <v>22.25</v>
      </c>
      <c r="H453" s="100" t="s">
        <v>206</v>
      </c>
      <c r="I453" s="1"/>
      <c r="J453" s="120" t="s">
        <v>641</v>
      </c>
      <c r="K453" s="99"/>
      <c r="L453" s="50"/>
      <c r="M453" s="50"/>
      <c r="P453" s="68"/>
    </row>
    <row r="454">
      <c r="A454" s="144" t="s">
        <v>487</v>
      </c>
      <c r="B454" s="145" t="s">
        <v>693</v>
      </c>
      <c r="C454" s="146"/>
      <c r="D454" s="146"/>
      <c r="E454" s="147"/>
      <c r="F454" s="177"/>
      <c r="G454" s="177"/>
      <c r="H454" s="148"/>
      <c r="I454" s="1"/>
      <c r="J454" s="120"/>
      <c r="K454" s="99"/>
      <c r="L454" s="50"/>
      <c r="M454" s="50"/>
      <c r="P454" s="68"/>
    </row>
    <row r="455">
      <c r="A455" s="100">
        <v>1.93481551519E11</v>
      </c>
      <c r="B455" s="131" t="s">
        <v>694</v>
      </c>
      <c r="C455" s="100" t="s">
        <v>97</v>
      </c>
      <c r="D455" s="100">
        <v>1.0</v>
      </c>
      <c r="E455" s="119">
        <v>298.0</v>
      </c>
      <c r="F455" s="118">
        <f t="shared" ref="F455:F457" si="58">E455*D455</f>
        <v>298</v>
      </c>
      <c r="G455" s="118">
        <f t="shared" ref="G455:G457" si="59">F455/4</f>
        <v>74.5</v>
      </c>
      <c r="H455" s="143" t="s">
        <v>656</v>
      </c>
      <c r="I455" s="1"/>
      <c r="J455" s="120" t="s">
        <v>641</v>
      </c>
      <c r="K455" s="99"/>
      <c r="L455" s="50"/>
      <c r="M455" s="50"/>
      <c r="P455" s="68"/>
    </row>
    <row r="456">
      <c r="A456" s="100">
        <v>1.93481551533E11</v>
      </c>
      <c r="B456" s="131" t="s">
        <v>695</v>
      </c>
      <c r="C456" s="100" t="s">
        <v>97</v>
      </c>
      <c r="D456" s="100">
        <v>1.0</v>
      </c>
      <c r="E456" s="119">
        <v>298.0</v>
      </c>
      <c r="F456" s="118">
        <f t="shared" si="58"/>
        <v>298</v>
      </c>
      <c r="G456" s="118">
        <f t="shared" si="59"/>
        <v>74.5</v>
      </c>
      <c r="H456" s="143" t="s">
        <v>379</v>
      </c>
      <c r="I456" s="1"/>
      <c r="J456" s="120" t="s">
        <v>641</v>
      </c>
      <c r="K456" s="99"/>
      <c r="L456" s="50"/>
      <c r="M456" s="50"/>
      <c r="P456" s="68"/>
    </row>
    <row r="457">
      <c r="A457" s="100">
        <v>8.82191243622E11</v>
      </c>
      <c r="B457" s="131" t="s">
        <v>696</v>
      </c>
      <c r="C457" s="100" t="s">
        <v>97</v>
      </c>
      <c r="D457" s="100">
        <v>1.0</v>
      </c>
      <c r="E457" s="119">
        <v>129.0</v>
      </c>
      <c r="F457" s="118">
        <f t="shared" si="58"/>
        <v>129</v>
      </c>
      <c r="G457" s="118">
        <f t="shared" si="59"/>
        <v>32.25</v>
      </c>
      <c r="H457" s="143" t="s">
        <v>187</v>
      </c>
      <c r="I457" s="1"/>
      <c r="J457" s="120" t="s">
        <v>641</v>
      </c>
      <c r="K457" s="99"/>
      <c r="L457" s="50"/>
      <c r="M457" s="50"/>
      <c r="P457" s="68"/>
    </row>
    <row r="458">
      <c r="A458" s="144" t="s">
        <v>697</v>
      </c>
      <c r="B458" s="145" t="s">
        <v>698</v>
      </c>
      <c r="C458" s="100"/>
      <c r="D458" s="100"/>
      <c r="E458" s="119"/>
      <c r="F458" s="118"/>
      <c r="G458" s="118"/>
      <c r="H458" s="143"/>
      <c r="I458" s="1"/>
      <c r="J458" s="120"/>
      <c r="K458" s="99"/>
      <c r="L458" s="50"/>
      <c r="M458" s="50"/>
      <c r="P458" s="68"/>
    </row>
    <row r="459">
      <c r="A459" s="174">
        <v>8.84094116669E11</v>
      </c>
      <c r="B459" s="131" t="s">
        <v>699</v>
      </c>
      <c r="C459" s="100" t="s">
        <v>97</v>
      </c>
      <c r="D459" s="100">
        <v>1.0</v>
      </c>
      <c r="E459" s="119">
        <v>109.0</v>
      </c>
      <c r="F459" s="118">
        <f t="shared" ref="F459:F462" si="60">E459*D459</f>
        <v>109</v>
      </c>
      <c r="G459" s="118">
        <f t="shared" ref="G459:G462" si="61">F459/4</f>
        <v>27.25</v>
      </c>
      <c r="H459" s="143" t="s">
        <v>196</v>
      </c>
      <c r="I459" s="1" t="s">
        <v>149</v>
      </c>
      <c r="J459" s="120" t="s">
        <v>641</v>
      </c>
      <c r="K459" s="99"/>
      <c r="L459" s="50"/>
      <c r="M459" s="50"/>
      <c r="P459" s="68"/>
    </row>
    <row r="460">
      <c r="A460" s="174">
        <v>6.9515978871E11</v>
      </c>
      <c r="B460" s="131" t="s">
        <v>700</v>
      </c>
      <c r="C460" s="100" t="s">
        <v>97</v>
      </c>
      <c r="D460" s="100">
        <v>1.0</v>
      </c>
      <c r="E460" s="119">
        <v>124.0</v>
      </c>
      <c r="F460" s="118">
        <f t="shared" si="60"/>
        <v>124</v>
      </c>
      <c r="G460" s="118">
        <f t="shared" si="61"/>
        <v>31</v>
      </c>
      <c r="H460" s="143" t="s">
        <v>701</v>
      </c>
      <c r="I460" s="1" t="s">
        <v>149</v>
      </c>
      <c r="J460" s="120" t="s">
        <v>641</v>
      </c>
      <c r="K460" s="99"/>
      <c r="L460" s="50"/>
      <c r="M460" s="50"/>
      <c r="P460" s="68"/>
    </row>
    <row r="461">
      <c r="A461" s="174">
        <v>1.93481572101E11</v>
      </c>
      <c r="B461" s="131" t="s">
        <v>702</v>
      </c>
      <c r="C461" s="100" t="s">
        <v>97</v>
      </c>
      <c r="D461" s="100">
        <v>1.0</v>
      </c>
      <c r="E461" s="119">
        <v>128.0</v>
      </c>
      <c r="F461" s="118">
        <f t="shared" si="60"/>
        <v>128</v>
      </c>
      <c r="G461" s="118">
        <f t="shared" si="61"/>
        <v>32</v>
      </c>
      <c r="H461" s="143" t="s">
        <v>379</v>
      </c>
      <c r="I461" s="178" t="s">
        <v>703</v>
      </c>
      <c r="J461" s="120" t="s">
        <v>641</v>
      </c>
      <c r="K461" s="99"/>
      <c r="L461" s="50"/>
      <c r="M461" s="50"/>
      <c r="P461" s="68"/>
    </row>
    <row r="462">
      <c r="A462" s="174">
        <v>7.32998371175E11</v>
      </c>
      <c r="B462" s="131" t="s">
        <v>704</v>
      </c>
      <c r="C462" s="100" t="s">
        <v>97</v>
      </c>
      <c r="D462" s="100">
        <v>1.0</v>
      </c>
      <c r="E462" s="119">
        <v>29.5</v>
      </c>
      <c r="F462" s="118">
        <f t="shared" si="60"/>
        <v>29.5</v>
      </c>
      <c r="G462" s="118">
        <f t="shared" si="61"/>
        <v>7.375</v>
      </c>
      <c r="H462" s="143" t="s">
        <v>193</v>
      </c>
      <c r="I462" s="178" t="s">
        <v>703</v>
      </c>
      <c r="J462" s="120" t="s">
        <v>641</v>
      </c>
      <c r="K462" s="99"/>
      <c r="L462" s="50"/>
      <c r="M462" s="50"/>
      <c r="P462" s="68"/>
    </row>
    <row r="463">
      <c r="A463" s="112" t="s">
        <v>224</v>
      </c>
      <c r="B463" s="112" t="s">
        <v>705</v>
      </c>
      <c r="C463" s="112" t="str">
        <f>MID($B463,6,7)</f>
        <v>GR18243</v>
      </c>
      <c r="D463" s="112"/>
      <c r="E463" s="112"/>
      <c r="F463" s="112"/>
      <c r="G463" s="112"/>
      <c r="H463" s="127">
        <v>44557.0</v>
      </c>
      <c r="I463" s="1"/>
      <c r="J463" s="108" t="str">
        <f>IF(LEFT(B463,3)="Box","BOX","COUNT")</f>
        <v>BOX</v>
      </c>
      <c r="K463" s="99">
        <f>SUMIF($J$4:$J$8712,$C463,$D$4:$D$8712)</f>
        <v>50</v>
      </c>
      <c r="L463" s="50">
        <f>SUMIF($J$4:$J$8712,$C463,$F$4:$F$8712)</f>
        <v>5527.49</v>
      </c>
      <c r="M463" s="50">
        <f>SUMIF($J$4:$J$8712,$C463,$G$4:$G$8712)</f>
        <v>1381.8725</v>
      </c>
      <c r="N463" s="70" t="str">
        <f>C463</f>
        <v>GR18243</v>
      </c>
      <c r="O463" s="70" t="str">
        <f>J464</f>
        <v>SHIP</v>
      </c>
      <c r="P463" s="68">
        <f>M463</f>
        <v>1381.8725</v>
      </c>
      <c r="Q463" s="114">
        <v>44494.0</v>
      </c>
      <c r="R463" s="37" t="s">
        <v>438</v>
      </c>
      <c r="S463" s="37" t="s">
        <v>439</v>
      </c>
    </row>
    <row r="464">
      <c r="A464" s="165" t="s">
        <v>307</v>
      </c>
      <c r="B464" s="112" t="s">
        <v>706</v>
      </c>
      <c r="C464" s="141"/>
      <c r="D464" s="141"/>
      <c r="E464" s="142"/>
      <c r="F464" s="142"/>
      <c r="G464" s="142"/>
      <c r="H464" s="141"/>
      <c r="I464" s="1"/>
      <c r="J464" s="108" t="str">
        <f>IF(B464="","NSHIP","SHIP")</f>
        <v>SHIP</v>
      </c>
      <c r="K464" s="99">
        <f>IF($J464="NSHIP",0,-SUMIF($J$4:$J$8712,$C463,$D$4:$D$8712))</f>
        <v>-50</v>
      </c>
      <c r="L464" s="50">
        <f>IF($J464="NSHIP",0,-SUMIF($J$4:$J$8710,$C463,$F$4:$F$8710))</f>
        <v>-5527.49</v>
      </c>
      <c r="M464" s="50">
        <f>IF($J464="NSHIP",0,-SUMIF($J$4:$J$8710,$C463,$G$4:$G$8710))</f>
        <v>-1381.8725</v>
      </c>
      <c r="P464" s="68"/>
    </row>
    <row r="465">
      <c r="A465" s="95">
        <v>1.90744578863E11</v>
      </c>
      <c r="B465" s="151" t="s">
        <v>707</v>
      </c>
      <c r="C465" s="95" t="s">
        <v>97</v>
      </c>
      <c r="D465" s="95">
        <v>1.0</v>
      </c>
      <c r="E465" s="101">
        <v>23.99</v>
      </c>
      <c r="F465" s="101">
        <f t="shared" ref="F465:F507" si="62">E465*D465</f>
        <v>23.99</v>
      </c>
      <c r="G465" s="101">
        <f t="shared" ref="G465:G507" si="63">F465/4</f>
        <v>5.9975</v>
      </c>
      <c r="H465" s="95" t="s">
        <v>550</v>
      </c>
      <c r="J465" s="120" t="s">
        <v>708</v>
      </c>
      <c r="K465" s="99"/>
      <c r="L465" s="50"/>
      <c r="M465" s="50"/>
      <c r="P465" s="68"/>
    </row>
    <row r="466">
      <c r="A466" s="95">
        <v>1.91170255564E11</v>
      </c>
      <c r="B466" s="151" t="s">
        <v>709</v>
      </c>
      <c r="C466" s="95" t="s">
        <v>97</v>
      </c>
      <c r="D466" s="95">
        <v>1.0</v>
      </c>
      <c r="E466" s="101">
        <v>59.0</v>
      </c>
      <c r="F466" s="101">
        <f t="shared" si="62"/>
        <v>59</v>
      </c>
      <c r="G466" s="101">
        <f t="shared" si="63"/>
        <v>14.75</v>
      </c>
      <c r="H466" s="95" t="s">
        <v>645</v>
      </c>
      <c r="J466" s="120" t="s">
        <v>708</v>
      </c>
      <c r="K466" s="99"/>
      <c r="L466" s="50"/>
      <c r="M466" s="50"/>
      <c r="P466" s="68"/>
    </row>
    <row r="467">
      <c r="A467" s="95">
        <v>1.92284616289E11</v>
      </c>
      <c r="B467" s="151" t="s">
        <v>710</v>
      </c>
      <c r="C467" s="95" t="s">
        <v>97</v>
      </c>
      <c r="D467" s="95">
        <v>1.0</v>
      </c>
      <c r="E467" s="101">
        <v>28.99</v>
      </c>
      <c r="F467" s="101">
        <f t="shared" si="62"/>
        <v>28.99</v>
      </c>
      <c r="G467" s="101">
        <f t="shared" si="63"/>
        <v>7.2475</v>
      </c>
      <c r="H467" s="95" t="s">
        <v>164</v>
      </c>
      <c r="J467" s="120" t="s">
        <v>708</v>
      </c>
      <c r="K467" s="99"/>
      <c r="L467" s="50"/>
      <c r="M467" s="50"/>
      <c r="P467" s="68"/>
    </row>
    <row r="468">
      <c r="A468" s="95">
        <v>1.92523575438E11</v>
      </c>
      <c r="B468" s="151" t="s">
        <v>711</v>
      </c>
      <c r="C468" s="95" t="s">
        <v>97</v>
      </c>
      <c r="D468" s="95">
        <v>1.0</v>
      </c>
      <c r="E468" s="101">
        <v>108.0</v>
      </c>
      <c r="F468" s="101">
        <f t="shared" si="62"/>
        <v>108</v>
      </c>
      <c r="G468" s="101">
        <f t="shared" si="63"/>
        <v>27</v>
      </c>
      <c r="H468" s="95" t="s">
        <v>166</v>
      </c>
      <c r="J468" s="120" t="s">
        <v>708</v>
      </c>
      <c r="K468" s="99"/>
      <c r="L468" s="50"/>
      <c r="M468" s="50"/>
      <c r="P468" s="68"/>
    </row>
    <row r="469">
      <c r="A469" s="95">
        <v>1.92523584621E11</v>
      </c>
      <c r="B469" s="151" t="s">
        <v>712</v>
      </c>
      <c r="C469" s="95" t="s">
        <v>97</v>
      </c>
      <c r="D469" s="95">
        <v>1.0</v>
      </c>
      <c r="E469" s="101">
        <v>128.0</v>
      </c>
      <c r="F469" s="101">
        <f t="shared" si="62"/>
        <v>128</v>
      </c>
      <c r="G469" s="101">
        <f t="shared" si="63"/>
        <v>32</v>
      </c>
      <c r="H469" s="95" t="s">
        <v>166</v>
      </c>
      <c r="J469" s="120" t="s">
        <v>708</v>
      </c>
      <c r="K469" s="99"/>
      <c r="L469" s="50"/>
      <c r="M469" s="50"/>
      <c r="P469" s="68"/>
    </row>
    <row r="470">
      <c r="A470" s="95">
        <v>1.92523584829E11</v>
      </c>
      <c r="B470" s="151" t="s">
        <v>165</v>
      </c>
      <c r="C470" s="95" t="s">
        <v>97</v>
      </c>
      <c r="D470" s="95">
        <v>1.0</v>
      </c>
      <c r="E470" s="101">
        <v>128.0</v>
      </c>
      <c r="F470" s="101">
        <f t="shared" si="62"/>
        <v>128</v>
      </c>
      <c r="G470" s="101">
        <f t="shared" si="63"/>
        <v>32</v>
      </c>
      <c r="H470" s="95" t="s">
        <v>166</v>
      </c>
      <c r="J470" s="120" t="s">
        <v>708</v>
      </c>
      <c r="K470" s="99"/>
      <c r="L470" s="50"/>
      <c r="M470" s="50"/>
      <c r="P470" s="68"/>
    </row>
    <row r="471">
      <c r="A471" s="95">
        <v>1.93144290212E11</v>
      </c>
      <c r="B471" s="151" t="s">
        <v>713</v>
      </c>
      <c r="C471" s="95" t="s">
        <v>97</v>
      </c>
      <c r="D471" s="95">
        <v>1.0</v>
      </c>
      <c r="E471" s="101">
        <v>24.99</v>
      </c>
      <c r="F471" s="101">
        <f t="shared" si="62"/>
        <v>24.99</v>
      </c>
      <c r="G471" s="101">
        <f t="shared" si="63"/>
        <v>6.2475</v>
      </c>
      <c r="H471" s="95" t="s">
        <v>714</v>
      </c>
      <c r="J471" s="120" t="s">
        <v>708</v>
      </c>
      <c r="K471" s="99"/>
      <c r="L471" s="50"/>
      <c r="M471" s="50"/>
      <c r="P471" s="68"/>
    </row>
    <row r="472">
      <c r="A472" s="95">
        <v>1.94374361161E11</v>
      </c>
      <c r="B472" s="151" t="s">
        <v>715</v>
      </c>
      <c r="C472" s="95" t="s">
        <v>97</v>
      </c>
      <c r="D472" s="95">
        <v>1.0</v>
      </c>
      <c r="E472" s="101">
        <v>48.0</v>
      </c>
      <c r="F472" s="101">
        <f t="shared" si="62"/>
        <v>48</v>
      </c>
      <c r="G472" s="101">
        <f t="shared" si="63"/>
        <v>12</v>
      </c>
      <c r="H472" s="95" t="s">
        <v>716</v>
      </c>
      <c r="J472" s="120" t="s">
        <v>708</v>
      </c>
      <c r="K472" s="99"/>
      <c r="L472" s="50"/>
      <c r="M472" s="50"/>
      <c r="P472" s="68"/>
    </row>
    <row r="473">
      <c r="A473" s="95">
        <v>1.94374520421E11</v>
      </c>
      <c r="B473" s="151" t="s">
        <v>717</v>
      </c>
      <c r="C473" s="95" t="s">
        <v>97</v>
      </c>
      <c r="D473" s="95">
        <v>1.0</v>
      </c>
      <c r="E473" s="101">
        <v>48.0</v>
      </c>
      <c r="F473" s="101">
        <f t="shared" si="62"/>
        <v>48</v>
      </c>
      <c r="G473" s="101">
        <f t="shared" si="63"/>
        <v>12</v>
      </c>
      <c r="H473" s="95" t="s">
        <v>377</v>
      </c>
      <c r="J473" s="120" t="s">
        <v>708</v>
      </c>
      <c r="K473" s="99"/>
      <c r="L473" s="50"/>
      <c r="M473" s="50"/>
      <c r="P473" s="68"/>
    </row>
    <row r="474">
      <c r="A474" s="95">
        <v>1.94374606491E11</v>
      </c>
      <c r="B474" s="151" t="s">
        <v>718</v>
      </c>
      <c r="C474" s="95" t="s">
        <v>97</v>
      </c>
      <c r="D474" s="95">
        <v>1.0</v>
      </c>
      <c r="E474" s="101">
        <v>27.0</v>
      </c>
      <c r="F474" s="101">
        <f t="shared" si="62"/>
        <v>27</v>
      </c>
      <c r="G474" s="101">
        <f t="shared" si="63"/>
        <v>6.75</v>
      </c>
      <c r="H474" s="95" t="s">
        <v>716</v>
      </c>
      <c r="I474" s="98"/>
      <c r="J474" s="187" t="s">
        <v>708</v>
      </c>
      <c r="K474" s="157"/>
      <c r="L474" s="158"/>
      <c r="M474" s="158"/>
      <c r="N474" s="98"/>
      <c r="O474" s="98"/>
      <c r="P474" s="6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95">
        <v>1.94374757544E11</v>
      </c>
      <c r="B475" s="151" t="s">
        <v>719</v>
      </c>
      <c r="C475" s="95" t="s">
        <v>97</v>
      </c>
      <c r="D475" s="95">
        <v>1.0</v>
      </c>
      <c r="E475" s="101">
        <v>68.0</v>
      </c>
      <c r="F475" s="101">
        <f t="shared" si="62"/>
        <v>68</v>
      </c>
      <c r="G475" s="101">
        <f t="shared" si="63"/>
        <v>17</v>
      </c>
      <c r="H475" s="95" t="s">
        <v>169</v>
      </c>
      <c r="J475" s="120" t="s">
        <v>708</v>
      </c>
      <c r="K475" s="99"/>
      <c r="L475" s="50"/>
      <c r="M475" s="50"/>
      <c r="P475" s="68"/>
    </row>
    <row r="476">
      <c r="A476" s="95">
        <v>1.94592997357E11</v>
      </c>
      <c r="B476" s="151" t="s">
        <v>720</v>
      </c>
      <c r="C476" s="95" t="s">
        <v>97</v>
      </c>
      <c r="D476" s="95">
        <v>1.0</v>
      </c>
      <c r="E476" s="101">
        <v>89.0</v>
      </c>
      <c r="F476" s="101">
        <f t="shared" si="62"/>
        <v>89</v>
      </c>
      <c r="G476" s="101">
        <f t="shared" si="63"/>
        <v>22.25</v>
      </c>
      <c r="H476" s="95" t="s">
        <v>185</v>
      </c>
      <c r="J476" s="120" t="s">
        <v>708</v>
      </c>
      <c r="K476" s="99"/>
      <c r="L476" s="50"/>
      <c r="M476" s="50"/>
      <c r="P476" s="68"/>
    </row>
    <row r="477">
      <c r="A477" s="95">
        <v>1.95170006393E11</v>
      </c>
      <c r="B477" s="151" t="s">
        <v>721</v>
      </c>
      <c r="C477" s="95" t="s">
        <v>97</v>
      </c>
      <c r="D477" s="95">
        <v>1.0</v>
      </c>
      <c r="E477" s="101">
        <v>189.0</v>
      </c>
      <c r="F477" s="101">
        <f t="shared" si="62"/>
        <v>189</v>
      </c>
      <c r="G477" s="101">
        <f t="shared" si="63"/>
        <v>47.25</v>
      </c>
      <c r="H477" s="95" t="s">
        <v>171</v>
      </c>
      <c r="J477" s="120" t="s">
        <v>708</v>
      </c>
      <c r="K477" s="99"/>
      <c r="L477" s="50"/>
      <c r="M477" s="50"/>
      <c r="P477" s="68"/>
    </row>
    <row r="478">
      <c r="A478" s="95">
        <v>6.35273706375E11</v>
      </c>
      <c r="B478" s="151" t="s">
        <v>722</v>
      </c>
      <c r="C478" s="95" t="s">
        <v>97</v>
      </c>
      <c r="D478" s="95">
        <v>1.0</v>
      </c>
      <c r="E478" s="101">
        <v>218.0</v>
      </c>
      <c r="F478" s="101">
        <f t="shared" si="62"/>
        <v>218</v>
      </c>
      <c r="G478" s="101">
        <f t="shared" si="63"/>
        <v>54.5</v>
      </c>
      <c r="H478" s="95" t="s">
        <v>723</v>
      </c>
      <c r="J478" s="120" t="s">
        <v>708</v>
      </c>
      <c r="K478" s="99"/>
      <c r="L478" s="50"/>
      <c r="M478" s="50"/>
      <c r="P478" s="68"/>
    </row>
    <row r="479">
      <c r="A479" s="95">
        <v>6.5287400303E11</v>
      </c>
      <c r="B479" s="151" t="s">
        <v>724</v>
      </c>
      <c r="C479" s="95" t="s">
        <v>97</v>
      </c>
      <c r="D479" s="95">
        <v>1.0</v>
      </c>
      <c r="E479" s="101">
        <v>79.0</v>
      </c>
      <c r="F479" s="101">
        <f t="shared" si="62"/>
        <v>79</v>
      </c>
      <c r="G479" s="101">
        <f t="shared" si="63"/>
        <v>19.75</v>
      </c>
      <c r="H479" s="95" t="s">
        <v>419</v>
      </c>
      <c r="J479" s="120" t="s">
        <v>708</v>
      </c>
      <c r="K479" s="99"/>
      <c r="L479" s="50"/>
      <c r="M479" s="50"/>
      <c r="P479" s="68"/>
    </row>
    <row r="480">
      <c r="A480" s="95">
        <v>6.52874003061E11</v>
      </c>
      <c r="B480" s="151" t="s">
        <v>725</v>
      </c>
      <c r="C480" s="95" t="s">
        <v>97</v>
      </c>
      <c r="D480" s="95">
        <v>1.0</v>
      </c>
      <c r="E480" s="101">
        <v>79.0</v>
      </c>
      <c r="F480" s="101">
        <f t="shared" si="62"/>
        <v>79</v>
      </c>
      <c r="G480" s="101">
        <f t="shared" si="63"/>
        <v>19.75</v>
      </c>
      <c r="H480" s="95" t="s">
        <v>419</v>
      </c>
      <c r="J480" s="120" t="s">
        <v>708</v>
      </c>
      <c r="K480" s="99"/>
      <c r="L480" s="50"/>
      <c r="M480" s="50"/>
      <c r="P480" s="68"/>
    </row>
    <row r="481">
      <c r="A481" s="95">
        <v>6.8988648272E11</v>
      </c>
      <c r="B481" s="151" t="s">
        <v>726</v>
      </c>
      <c r="C481" s="95" t="s">
        <v>97</v>
      </c>
      <c r="D481" s="95">
        <v>1.0</v>
      </c>
      <c r="E481" s="101">
        <v>99.0</v>
      </c>
      <c r="F481" s="101">
        <f t="shared" si="62"/>
        <v>99</v>
      </c>
      <c r="G481" s="101">
        <f t="shared" si="63"/>
        <v>24.75</v>
      </c>
      <c r="H481" s="95" t="s">
        <v>564</v>
      </c>
      <c r="J481" s="120" t="s">
        <v>708</v>
      </c>
      <c r="K481" s="99"/>
      <c r="L481" s="50"/>
      <c r="M481" s="50"/>
      <c r="P481" s="68"/>
    </row>
    <row r="482">
      <c r="A482" s="95">
        <v>7.07762001053E11</v>
      </c>
      <c r="B482" s="151" t="s">
        <v>727</v>
      </c>
      <c r="C482" s="95" t="s">
        <v>97</v>
      </c>
      <c r="D482" s="95">
        <v>1.0</v>
      </c>
      <c r="E482" s="101">
        <v>99.0</v>
      </c>
      <c r="F482" s="101">
        <f t="shared" si="62"/>
        <v>99</v>
      </c>
      <c r="G482" s="101">
        <f t="shared" si="63"/>
        <v>24.75</v>
      </c>
      <c r="H482" s="95" t="s">
        <v>187</v>
      </c>
      <c r="J482" s="120" t="s">
        <v>708</v>
      </c>
      <c r="K482" s="99"/>
      <c r="L482" s="50"/>
      <c r="M482" s="50"/>
      <c r="P482" s="68"/>
    </row>
    <row r="483">
      <c r="A483" s="95">
        <v>7.0776200106E11</v>
      </c>
      <c r="B483" s="151" t="s">
        <v>728</v>
      </c>
      <c r="C483" s="95" t="s">
        <v>97</v>
      </c>
      <c r="D483" s="95">
        <v>1.0</v>
      </c>
      <c r="E483" s="101">
        <v>99.0</v>
      </c>
      <c r="F483" s="101">
        <f t="shared" si="62"/>
        <v>99</v>
      </c>
      <c r="G483" s="101">
        <f t="shared" si="63"/>
        <v>24.75</v>
      </c>
      <c r="H483" s="95" t="s">
        <v>187</v>
      </c>
      <c r="J483" s="120" t="s">
        <v>708</v>
      </c>
      <c r="K483" s="99"/>
      <c r="L483" s="50"/>
      <c r="M483" s="50"/>
      <c r="P483" s="68"/>
    </row>
    <row r="484">
      <c r="A484" s="95">
        <v>7.07762088535E11</v>
      </c>
      <c r="B484" s="151" t="s">
        <v>729</v>
      </c>
      <c r="C484" s="95" t="s">
        <v>97</v>
      </c>
      <c r="D484" s="95">
        <v>1.0</v>
      </c>
      <c r="E484" s="101">
        <v>79.0</v>
      </c>
      <c r="F484" s="101">
        <f t="shared" si="62"/>
        <v>79</v>
      </c>
      <c r="G484" s="101">
        <f t="shared" si="63"/>
        <v>19.75</v>
      </c>
      <c r="H484" s="95" t="s">
        <v>187</v>
      </c>
      <c r="J484" s="120" t="s">
        <v>708</v>
      </c>
      <c r="K484" s="99"/>
      <c r="L484" s="50"/>
      <c r="M484" s="50"/>
      <c r="P484" s="68"/>
    </row>
    <row r="485">
      <c r="A485" s="95">
        <v>7.08008577998E11</v>
      </c>
      <c r="B485" s="151" t="s">
        <v>730</v>
      </c>
      <c r="C485" s="95" t="s">
        <v>97</v>
      </c>
      <c r="D485" s="95">
        <v>1.0</v>
      </c>
      <c r="E485" s="101">
        <v>36.99</v>
      </c>
      <c r="F485" s="101">
        <f t="shared" si="62"/>
        <v>36.99</v>
      </c>
      <c r="G485" s="101">
        <f t="shared" si="63"/>
        <v>9.2475</v>
      </c>
      <c r="H485" s="95" t="s">
        <v>189</v>
      </c>
      <c r="J485" s="120" t="s">
        <v>708</v>
      </c>
      <c r="K485" s="99"/>
      <c r="L485" s="50"/>
      <c r="M485" s="50"/>
      <c r="P485" s="68"/>
    </row>
    <row r="486">
      <c r="A486" s="95">
        <v>7.08008598702E11</v>
      </c>
      <c r="B486" s="151" t="s">
        <v>731</v>
      </c>
      <c r="C486" s="95" t="s">
        <v>97</v>
      </c>
      <c r="D486" s="95">
        <v>1.0</v>
      </c>
      <c r="E486" s="101">
        <v>69.0</v>
      </c>
      <c r="F486" s="101">
        <f t="shared" si="62"/>
        <v>69</v>
      </c>
      <c r="G486" s="101">
        <f t="shared" si="63"/>
        <v>17.25</v>
      </c>
      <c r="H486" s="95" t="s">
        <v>189</v>
      </c>
      <c r="J486" s="120" t="s">
        <v>708</v>
      </c>
      <c r="K486" s="99"/>
      <c r="L486" s="50"/>
      <c r="M486" s="50"/>
      <c r="P486" s="68"/>
    </row>
    <row r="487">
      <c r="A487" s="95">
        <v>7.08008601419E11</v>
      </c>
      <c r="B487" s="151" t="s">
        <v>732</v>
      </c>
      <c r="C487" s="95" t="s">
        <v>97</v>
      </c>
      <c r="D487" s="95">
        <v>1.0</v>
      </c>
      <c r="E487" s="101">
        <v>47.99</v>
      </c>
      <c r="F487" s="101">
        <f t="shared" si="62"/>
        <v>47.99</v>
      </c>
      <c r="G487" s="101">
        <f t="shared" si="63"/>
        <v>11.9975</v>
      </c>
      <c r="H487" s="95" t="s">
        <v>189</v>
      </c>
      <c r="J487" s="120" t="s">
        <v>708</v>
      </c>
      <c r="K487" s="99"/>
      <c r="L487" s="50"/>
      <c r="M487" s="50"/>
      <c r="P487" s="68"/>
    </row>
    <row r="488">
      <c r="A488" s="95">
        <v>7.08008630303E11</v>
      </c>
      <c r="B488" s="151" t="s">
        <v>733</v>
      </c>
      <c r="C488" s="95" t="s">
        <v>97</v>
      </c>
      <c r="D488" s="95">
        <v>1.0</v>
      </c>
      <c r="E488" s="101">
        <v>69.0</v>
      </c>
      <c r="F488" s="101">
        <f t="shared" si="62"/>
        <v>69</v>
      </c>
      <c r="G488" s="101">
        <f t="shared" si="63"/>
        <v>17.25</v>
      </c>
      <c r="H488" s="95" t="s">
        <v>189</v>
      </c>
      <c r="J488" s="120" t="s">
        <v>708</v>
      </c>
      <c r="K488" s="99"/>
      <c r="L488" s="50"/>
      <c r="M488" s="50"/>
      <c r="P488" s="68"/>
    </row>
    <row r="489">
      <c r="A489" s="95">
        <v>7.08008633014E11</v>
      </c>
      <c r="B489" s="151" t="s">
        <v>734</v>
      </c>
      <c r="C489" s="95" t="s">
        <v>97</v>
      </c>
      <c r="D489" s="95">
        <v>1.0</v>
      </c>
      <c r="E489" s="101">
        <v>99.0</v>
      </c>
      <c r="F489" s="101">
        <f t="shared" si="62"/>
        <v>99</v>
      </c>
      <c r="G489" s="101">
        <f t="shared" si="63"/>
        <v>24.75</v>
      </c>
      <c r="H489" s="95" t="s">
        <v>189</v>
      </c>
      <c r="J489" s="120" t="s">
        <v>708</v>
      </c>
      <c r="K489" s="99"/>
      <c r="L489" s="50"/>
      <c r="M489" s="50"/>
      <c r="P489" s="68"/>
    </row>
    <row r="490">
      <c r="A490" s="95">
        <v>7.2443281542E11</v>
      </c>
      <c r="B490" s="151" t="s">
        <v>735</v>
      </c>
      <c r="C490" s="95" t="s">
        <v>97</v>
      </c>
      <c r="D490" s="95">
        <v>1.0</v>
      </c>
      <c r="E490" s="101">
        <v>128.0</v>
      </c>
      <c r="F490" s="101">
        <f t="shared" si="62"/>
        <v>128</v>
      </c>
      <c r="G490" s="101">
        <f t="shared" si="63"/>
        <v>32</v>
      </c>
      <c r="H490" s="95" t="s">
        <v>736</v>
      </c>
      <c r="J490" s="120" t="s">
        <v>708</v>
      </c>
      <c r="K490" s="99"/>
      <c r="L490" s="50"/>
      <c r="M490" s="50"/>
      <c r="P490" s="68"/>
    </row>
    <row r="491">
      <c r="A491" s="95">
        <v>7.24432821674E11</v>
      </c>
      <c r="B491" s="151" t="s">
        <v>737</v>
      </c>
      <c r="C491" s="95" t="s">
        <v>97</v>
      </c>
      <c r="D491" s="95">
        <v>1.0</v>
      </c>
      <c r="E491" s="101">
        <v>138.0</v>
      </c>
      <c r="F491" s="101">
        <f t="shared" si="62"/>
        <v>138</v>
      </c>
      <c r="G491" s="101">
        <f t="shared" si="63"/>
        <v>34.5</v>
      </c>
      <c r="H491" s="95" t="s">
        <v>214</v>
      </c>
      <c r="J491" s="120" t="s">
        <v>708</v>
      </c>
      <c r="K491" s="99"/>
      <c r="L491" s="50"/>
      <c r="M491" s="50"/>
      <c r="P491" s="68"/>
    </row>
    <row r="492">
      <c r="A492" s="95">
        <v>7.32999933129E11</v>
      </c>
      <c r="B492" s="151" t="s">
        <v>738</v>
      </c>
      <c r="C492" s="95" t="s">
        <v>97</v>
      </c>
      <c r="D492" s="95">
        <v>1.0</v>
      </c>
      <c r="E492" s="101">
        <v>74.5</v>
      </c>
      <c r="F492" s="101">
        <f t="shared" si="62"/>
        <v>74.5</v>
      </c>
      <c r="G492" s="101">
        <f t="shared" si="63"/>
        <v>18.625</v>
      </c>
      <c r="H492" s="95" t="s">
        <v>402</v>
      </c>
      <c r="J492" s="120" t="s">
        <v>708</v>
      </c>
      <c r="K492" s="99"/>
      <c r="L492" s="50"/>
      <c r="M492" s="50"/>
      <c r="P492" s="68"/>
    </row>
    <row r="493">
      <c r="A493" s="95">
        <v>7.33001861287E11</v>
      </c>
      <c r="B493" s="151" t="s">
        <v>739</v>
      </c>
      <c r="C493" s="95" t="s">
        <v>97</v>
      </c>
      <c r="D493" s="95">
        <v>1.0</v>
      </c>
      <c r="E493" s="101">
        <v>59.5</v>
      </c>
      <c r="F493" s="101">
        <f t="shared" si="62"/>
        <v>59.5</v>
      </c>
      <c r="G493" s="101">
        <f t="shared" si="63"/>
        <v>14.875</v>
      </c>
      <c r="H493" s="95" t="s">
        <v>193</v>
      </c>
      <c r="J493" s="120" t="s">
        <v>708</v>
      </c>
      <c r="K493" s="99"/>
      <c r="L493" s="50"/>
      <c r="M493" s="50"/>
      <c r="P493" s="68"/>
    </row>
    <row r="494">
      <c r="A494" s="95">
        <v>7.3300190595E11</v>
      </c>
      <c r="B494" s="151" t="s">
        <v>740</v>
      </c>
      <c r="C494" s="95" t="s">
        <v>97</v>
      </c>
      <c r="D494" s="95">
        <v>1.0</v>
      </c>
      <c r="E494" s="101">
        <v>69.5</v>
      </c>
      <c r="F494" s="101">
        <f t="shared" si="62"/>
        <v>69.5</v>
      </c>
      <c r="G494" s="101">
        <f t="shared" si="63"/>
        <v>17.375</v>
      </c>
      <c r="H494" s="95" t="s">
        <v>402</v>
      </c>
      <c r="J494" s="120" t="s">
        <v>708</v>
      </c>
      <c r="K494" s="99"/>
      <c r="L494" s="50"/>
      <c r="M494" s="50"/>
      <c r="P494" s="68"/>
    </row>
    <row r="495">
      <c r="A495" s="95">
        <v>7.33001916772E11</v>
      </c>
      <c r="B495" s="151" t="s">
        <v>741</v>
      </c>
      <c r="C495" s="95" t="s">
        <v>97</v>
      </c>
      <c r="D495" s="95">
        <v>1.0</v>
      </c>
      <c r="E495" s="101">
        <v>59.5</v>
      </c>
      <c r="F495" s="101">
        <f t="shared" si="62"/>
        <v>59.5</v>
      </c>
      <c r="G495" s="101">
        <f t="shared" si="63"/>
        <v>14.875</v>
      </c>
      <c r="H495" s="95" t="s">
        <v>193</v>
      </c>
      <c r="J495" s="120" t="s">
        <v>708</v>
      </c>
      <c r="K495" s="99"/>
      <c r="L495" s="50"/>
      <c r="M495" s="50"/>
      <c r="P495" s="68"/>
    </row>
    <row r="496">
      <c r="A496" s="95">
        <v>7.47941649171E11</v>
      </c>
      <c r="B496" s="151" t="s">
        <v>742</v>
      </c>
      <c r="C496" s="95" t="s">
        <v>97</v>
      </c>
      <c r="D496" s="95">
        <v>1.0</v>
      </c>
      <c r="E496" s="101">
        <v>44.99</v>
      </c>
      <c r="F496" s="101">
        <f t="shared" si="62"/>
        <v>44.99</v>
      </c>
      <c r="G496" s="101">
        <f t="shared" si="63"/>
        <v>11.2475</v>
      </c>
      <c r="H496" s="95" t="s">
        <v>419</v>
      </c>
      <c r="J496" s="120" t="s">
        <v>708</v>
      </c>
      <c r="K496" s="99"/>
      <c r="L496" s="50"/>
      <c r="M496" s="50"/>
      <c r="P496" s="68"/>
    </row>
    <row r="497">
      <c r="A497" s="95">
        <v>7.47941812872E11</v>
      </c>
      <c r="B497" s="151" t="s">
        <v>743</v>
      </c>
      <c r="C497" s="95" t="s">
        <v>97</v>
      </c>
      <c r="D497" s="95">
        <v>1.0</v>
      </c>
      <c r="E497" s="101">
        <v>46.99</v>
      </c>
      <c r="F497" s="101">
        <f t="shared" si="62"/>
        <v>46.99</v>
      </c>
      <c r="G497" s="101">
        <f t="shared" si="63"/>
        <v>11.7475</v>
      </c>
      <c r="H497" s="95" t="s">
        <v>183</v>
      </c>
      <c r="J497" s="120" t="s">
        <v>708</v>
      </c>
      <c r="K497" s="99"/>
      <c r="L497" s="50"/>
      <c r="M497" s="50"/>
      <c r="P497" s="68"/>
    </row>
    <row r="498">
      <c r="A498" s="95">
        <v>7.47941892614E11</v>
      </c>
      <c r="B498" s="151" t="s">
        <v>744</v>
      </c>
      <c r="C498" s="95" t="s">
        <v>97</v>
      </c>
      <c r="D498" s="95">
        <v>1.0</v>
      </c>
      <c r="E498" s="101">
        <v>43.99</v>
      </c>
      <c r="F498" s="101">
        <f t="shared" si="62"/>
        <v>43.99</v>
      </c>
      <c r="G498" s="101">
        <f t="shared" si="63"/>
        <v>10.9975</v>
      </c>
      <c r="H498" s="95" t="s">
        <v>183</v>
      </c>
      <c r="J498" s="120" t="s">
        <v>708</v>
      </c>
      <c r="K498" s="99"/>
      <c r="L498" s="50"/>
      <c r="M498" s="50"/>
      <c r="P498" s="68"/>
    </row>
    <row r="499">
      <c r="A499" s="95">
        <v>7.47941899873E11</v>
      </c>
      <c r="B499" s="151" t="s">
        <v>745</v>
      </c>
      <c r="C499" s="95" t="s">
        <v>97</v>
      </c>
      <c r="D499" s="95">
        <v>1.0</v>
      </c>
      <c r="E499" s="101">
        <v>43.99</v>
      </c>
      <c r="F499" s="101">
        <f t="shared" si="62"/>
        <v>43.99</v>
      </c>
      <c r="G499" s="101">
        <f t="shared" si="63"/>
        <v>10.9975</v>
      </c>
      <c r="H499" s="95" t="s">
        <v>183</v>
      </c>
      <c r="J499" s="120" t="s">
        <v>708</v>
      </c>
      <c r="K499" s="99"/>
      <c r="L499" s="50"/>
      <c r="M499" s="50"/>
      <c r="P499" s="68"/>
    </row>
    <row r="500">
      <c r="A500" s="95">
        <v>7.49709671196E11</v>
      </c>
      <c r="B500" s="151" t="s">
        <v>746</v>
      </c>
      <c r="C500" s="95" t="s">
        <v>97</v>
      </c>
      <c r="D500" s="95">
        <v>1.0</v>
      </c>
      <c r="E500" s="101">
        <v>119.0</v>
      </c>
      <c r="F500" s="101">
        <f t="shared" si="62"/>
        <v>119</v>
      </c>
      <c r="G500" s="101">
        <f t="shared" si="63"/>
        <v>29.75</v>
      </c>
      <c r="H500" s="95" t="s">
        <v>747</v>
      </c>
      <c r="J500" s="120" t="s">
        <v>708</v>
      </c>
      <c r="K500" s="99"/>
      <c r="L500" s="50"/>
      <c r="M500" s="50"/>
      <c r="P500" s="68"/>
    </row>
    <row r="501">
      <c r="A501" s="95">
        <v>7.96396497127E11</v>
      </c>
      <c r="B501" s="151" t="s">
        <v>748</v>
      </c>
      <c r="C501" s="95" t="s">
        <v>97</v>
      </c>
      <c r="D501" s="95">
        <v>1.0</v>
      </c>
      <c r="E501" s="101">
        <v>129.0</v>
      </c>
      <c r="F501" s="101">
        <f t="shared" si="62"/>
        <v>129</v>
      </c>
      <c r="G501" s="101">
        <f t="shared" si="63"/>
        <v>32.25</v>
      </c>
      <c r="H501" s="95" t="s">
        <v>181</v>
      </c>
      <c r="J501" s="120" t="s">
        <v>708</v>
      </c>
      <c r="K501" s="99"/>
      <c r="L501" s="50"/>
      <c r="M501" s="50"/>
      <c r="P501" s="68"/>
    </row>
    <row r="502">
      <c r="A502" s="95">
        <v>8.82191043581E11</v>
      </c>
      <c r="B502" s="151" t="s">
        <v>749</v>
      </c>
      <c r="C502" s="95" t="s">
        <v>97</v>
      </c>
      <c r="D502" s="95">
        <v>1.0</v>
      </c>
      <c r="E502" s="101">
        <v>79.0</v>
      </c>
      <c r="F502" s="101">
        <f t="shared" si="62"/>
        <v>79</v>
      </c>
      <c r="G502" s="101">
        <f t="shared" si="63"/>
        <v>19.75</v>
      </c>
      <c r="H502" s="95" t="s">
        <v>187</v>
      </c>
      <c r="J502" s="120" t="s">
        <v>708</v>
      </c>
      <c r="K502" s="99"/>
      <c r="L502" s="50"/>
      <c r="M502" s="50"/>
      <c r="P502" s="68"/>
    </row>
    <row r="503">
      <c r="A503" s="95">
        <v>8.82191097737E11</v>
      </c>
      <c r="B503" s="151" t="s">
        <v>750</v>
      </c>
      <c r="C503" s="95" t="s">
        <v>97</v>
      </c>
      <c r="D503" s="95">
        <v>1.0</v>
      </c>
      <c r="E503" s="101">
        <v>99.0</v>
      </c>
      <c r="F503" s="101">
        <f t="shared" si="62"/>
        <v>99</v>
      </c>
      <c r="G503" s="101">
        <f t="shared" si="63"/>
        <v>24.75</v>
      </c>
      <c r="H503" s="95" t="s">
        <v>187</v>
      </c>
      <c r="J503" s="120" t="s">
        <v>708</v>
      </c>
      <c r="K503" s="99"/>
      <c r="L503" s="50"/>
      <c r="M503" s="50"/>
      <c r="P503" s="68"/>
    </row>
    <row r="504">
      <c r="A504" s="179">
        <v>8.87840356289E11</v>
      </c>
      <c r="B504" s="151" t="s">
        <v>751</v>
      </c>
      <c r="C504" s="95" t="s">
        <v>97</v>
      </c>
      <c r="D504" s="95">
        <v>2.0</v>
      </c>
      <c r="E504" s="101">
        <v>59.0</v>
      </c>
      <c r="F504" s="101">
        <f t="shared" si="62"/>
        <v>118</v>
      </c>
      <c r="G504" s="101">
        <f t="shared" si="63"/>
        <v>29.5</v>
      </c>
      <c r="H504" s="95" t="s">
        <v>486</v>
      </c>
      <c r="J504" s="120" t="s">
        <v>708</v>
      </c>
      <c r="K504" s="99"/>
      <c r="L504" s="50"/>
      <c r="M504" s="50"/>
      <c r="P504" s="68"/>
    </row>
    <row r="505">
      <c r="A505" s="95">
        <v>8.88815779058E11</v>
      </c>
      <c r="B505" s="151" t="s">
        <v>752</v>
      </c>
      <c r="C505" s="95" t="s">
        <v>97</v>
      </c>
      <c r="D505" s="95">
        <v>1.0</v>
      </c>
      <c r="E505" s="101">
        <v>89.0</v>
      </c>
      <c r="F505" s="101">
        <f t="shared" si="62"/>
        <v>89</v>
      </c>
      <c r="G505" s="101">
        <f t="shared" si="63"/>
        <v>22.25</v>
      </c>
      <c r="H505" s="95" t="s">
        <v>206</v>
      </c>
      <c r="J505" s="120" t="s">
        <v>708</v>
      </c>
      <c r="K505" s="99"/>
      <c r="L505" s="50"/>
      <c r="M505" s="50"/>
      <c r="P505" s="68"/>
    </row>
    <row r="506">
      <c r="A506" s="95">
        <v>8.88815826165E11</v>
      </c>
      <c r="B506" s="151" t="s">
        <v>753</v>
      </c>
      <c r="C506" s="95" t="s">
        <v>97</v>
      </c>
      <c r="D506" s="95">
        <v>1.0</v>
      </c>
      <c r="E506" s="101">
        <v>109.0</v>
      </c>
      <c r="F506" s="101">
        <f t="shared" si="62"/>
        <v>109</v>
      </c>
      <c r="G506" s="101">
        <f t="shared" si="63"/>
        <v>27.25</v>
      </c>
      <c r="H506" s="95" t="s">
        <v>206</v>
      </c>
      <c r="J506" s="120" t="s">
        <v>708</v>
      </c>
      <c r="K506" s="99"/>
      <c r="L506" s="50"/>
      <c r="M506" s="50"/>
      <c r="P506" s="68"/>
    </row>
    <row r="507">
      <c r="A507" s="95">
        <v>8.88815966113E11</v>
      </c>
      <c r="B507" s="151" t="s">
        <v>754</v>
      </c>
      <c r="C507" s="95" t="s">
        <v>97</v>
      </c>
      <c r="D507" s="95">
        <v>1.0</v>
      </c>
      <c r="E507" s="101">
        <v>99.0</v>
      </c>
      <c r="F507" s="101">
        <f t="shared" si="62"/>
        <v>99</v>
      </c>
      <c r="G507" s="101">
        <f t="shared" si="63"/>
        <v>24.75</v>
      </c>
      <c r="H507" s="95" t="s">
        <v>206</v>
      </c>
      <c r="J507" s="120" t="s">
        <v>708</v>
      </c>
      <c r="K507" s="99"/>
      <c r="L507" s="50"/>
      <c r="M507" s="50"/>
      <c r="P507" s="68"/>
    </row>
    <row r="508">
      <c r="A508" s="152" t="s">
        <v>755</v>
      </c>
      <c r="B508" s="122" t="s">
        <v>756</v>
      </c>
      <c r="C508" s="153"/>
      <c r="D508" s="154"/>
      <c r="E508" s="154"/>
      <c r="F508" s="154"/>
      <c r="G508" s="154"/>
      <c r="H508" s="155"/>
      <c r="I508" s="98"/>
      <c r="J508" s="156"/>
      <c r="K508" s="157"/>
      <c r="L508" s="158"/>
      <c r="M508" s="158"/>
      <c r="N508" s="98"/>
      <c r="O508" s="98"/>
      <c r="P508" s="6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09">
        <v>7.94795103748E11</v>
      </c>
      <c r="B509" s="151" t="s">
        <v>757</v>
      </c>
      <c r="C509" s="95" t="s">
        <v>97</v>
      </c>
      <c r="D509" s="95">
        <v>1.0</v>
      </c>
      <c r="E509" s="101">
        <v>109.0</v>
      </c>
      <c r="F509" s="101">
        <f>E509*D509</f>
        <v>109</v>
      </c>
      <c r="G509" s="101">
        <f>F509/4</f>
        <v>27.25</v>
      </c>
      <c r="H509" s="95" t="s">
        <v>422</v>
      </c>
      <c r="J509" s="120" t="s">
        <v>708</v>
      </c>
      <c r="K509" s="99"/>
      <c r="L509" s="50"/>
      <c r="M509" s="50"/>
      <c r="P509" s="68"/>
    </row>
    <row r="510">
      <c r="A510" s="152" t="s">
        <v>758</v>
      </c>
      <c r="B510" s="122" t="s">
        <v>759</v>
      </c>
      <c r="C510" s="153"/>
      <c r="D510" s="154"/>
      <c r="E510" s="154"/>
      <c r="F510" s="154"/>
      <c r="G510" s="154"/>
      <c r="H510" s="155"/>
      <c r="I510" s="98"/>
      <c r="J510" s="156"/>
      <c r="K510" s="157"/>
      <c r="L510" s="158"/>
      <c r="M510" s="158"/>
      <c r="N510" s="98"/>
      <c r="O510" s="98"/>
      <c r="P510" s="6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80">
        <v>1.1531740303E10</v>
      </c>
      <c r="B511" s="188" t="s">
        <v>219</v>
      </c>
      <c r="C511" s="189" t="s">
        <v>97</v>
      </c>
      <c r="D511" s="189">
        <v>1.0</v>
      </c>
      <c r="E511" s="190"/>
      <c r="F511" s="190">
        <f t="shared" ref="F511:F515" si="64">E511*D511</f>
        <v>0</v>
      </c>
      <c r="G511" s="190">
        <f t="shared" ref="G511:G515" si="65">F511/4</f>
        <v>0</v>
      </c>
      <c r="H511" s="191"/>
      <c r="I511" s="37" t="s">
        <v>760</v>
      </c>
      <c r="J511" s="120" t="s">
        <v>708</v>
      </c>
      <c r="K511" s="99"/>
      <c r="L511" s="50"/>
      <c r="M511" s="50"/>
      <c r="P511" s="68"/>
    </row>
    <row r="512">
      <c r="A512" s="165">
        <v>1.92504720734E11</v>
      </c>
      <c r="B512" s="151" t="s">
        <v>761</v>
      </c>
      <c r="C512" s="95" t="s">
        <v>97</v>
      </c>
      <c r="D512" s="95">
        <v>1.0</v>
      </c>
      <c r="E512" s="101">
        <v>40.0</v>
      </c>
      <c r="F512" s="101">
        <f t="shared" si="64"/>
        <v>40</v>
      </c>
      <c r="G512" s="101">
        <f t="shared" si="65"/>
        <v>10</v>
      </c>
      <c r="H512" s="95" t="s">
        <v>762</v>
      </c>
      <c r="I512" s="37" t="s">
        <v>760</v>
      </c>
      <c r="J512" s="120" t="s">
        <v>708</v>
      </c>
      <c r="K512" s="99"/>
      <c r="L512" s="50"/>
      <c r="M512" s="50"/>
      <c r="P512" s="68"/>
    </row>
    <row r="513">
      <c r="A513" s="165">
        <v>7.38994249562E11</v>
      </c>
      <c r="B513" s="151" t="s">
        <v>763</v>
      </c>
      <c r="C513" s="95" t="s">
        <v>97</v>
      </c>
      <c r="D513" s="95">
        <v>1.0</v>
      </c>
      <c r="E513" s="101">
        <v>13.0</v>
      </c>
      <c r="F513" s="101">
        <f t="shared" si="64"/>
        <v>13</v>
      </c>
      <c r="G513" s="101">
        <f t="shared" si="65"/>
        <v>3.25</v>
      </c>
      <c r="H513" s="95" t="s">
        <v>322</v>
      </c>
      <c r="I513" s="37" t="s">
        <v>760</v>
      </c>
      <c r="J513" s="120" t="s">
        <v>708</v>
      </c>
      <c r="K513" s="99"/>
      <c r="L513" s="50"/>
      <c r="M513" s="50"/>
      <c r="P513" s="68"/>
    </row>
    <row r="514">
      <c r="A514" s="165">
        <v>8.83806035601E11</v>
      </c>
      <c r="B514" s="151" t="s">
        <v>764</v>
      </c>
      <c r="C514" s="95" t="s">
        <v>97</v>
      </c>
      <c r="D514" s="95">
        <v>1.0</v>
      </c>
      <c r="E514" s="101">
        <v>185.0</v>
      </c>
      <c r="F514" s="101">
        <f t="shared" si="64"/>
        <v>185</v>
      </c>
      <c r="G514" s="101">
        <f t="shared" si="65"/>
        <v>46.25</v>
      </c>
      <c r="H514" s="95" t="s">
        <v>198</v>
      </c>
      <c r="I514" s="37" t="s">
        <v>760</v>
      </c>
      <c r="J514" s="120" t="s">
        <v>708</v>
      </c>
      <c r="K514" s="99"/>
      <c r="L514" s="50"/>
      <c r="M514" s="50"/>
      <c r="P514" s="68"/>
    </row>
    <row r="515">
      <c r="A515" s="165">
        <v>8.84094418916E11</v>
      </c>
      <c r="B515" s="151" t="s">
        <v>765</v>
      </c>
      <c r="C515" s="95" t="s">
        <v>97</v>
      </c>
      <c r="D515" s="95">
        <v>1.0</v>
      </c>
      <c r="E515" s="101">
        <v>145.0</v>
      </c>
      <c r="F515" s="101">
        <f t="shared" si="64"/>
        <v>145</v>
      </c>
      <c r="G515" s="101">
        <f t="shared" si="65"/>
        <v>36.25</v>
      </c>
      <c r="H515" s="95" t="s">
        <v>196</v>
      </c>
      <c r="I515" s="37" t="s">
        <v>760</v>
      </c>
      <c r="J515" s="120" t="s">
        <v>708</v>
      </c>
      <c r="K515" s="99"/>
      <c r="L515" s="50"/>
      <c r="M515" s="50"/>
      <c r="P515" s="68"/>
    </row>
    <row r="516">
      <c r="A516" s="111" t="s">
        <v>267</v>
      </c>
      <c r="B516" s="111" t="s">
        <v>766</v>
      </c>
      <c r="C516" s="112" t="str">
        <f>MID($B516,6,7)</f>
        <v>GR18244</v>
      </c>
      <c r="D516" s="111"/>
      <c r="E516" s="111"/>
      <c r="F516" s="111"/>
      <c r="G516" s="111"/>
      <c r="H516" s="113">
        <v>44557.0</v>
      </c>
      <c r="I516" s="159"/>
      <c r="J516" s="160" t="str">
        <f>IF(LEFT(B516,3)="Box","BOX","COUNT")</f>
        <v>BOX</v>
      </c>
      <c r="K516" s="161">
        <f>SUMIF($J$4:$J$8712,$C516,$D$4:$D$8712)</f>
        <v>50</v>
      </c>
      <c r="L516" s="162">
        <f>SUMIF($J$4:$J$8712,$C516,$F$4:$F$8712)</f>
        <v>4085.91</v>
      </c>
      <c r="M516" s="162">
        <f>SUMIF($J$4:$J$8712,$C516,$G$4:$G$8712)</f>
        <v>1021.4775</v>
      </c>
      <c r="N516" s="159" t="str">
        <f>C516</f>
        <v>GR18244</v>
      </c>
      <c r="O516" s="159" t="str">
        <f>J517</f>
        <v>SHIP</v>
      </c>
      <c r="P516" s="68">
        <f>M516</f>
        <v>1021.4775</v>
      </c>
      <c r="Q516" s="114">
        <v>44490.0</v>
      </c>
      <c r="R516" s="37" t="s">
        <v>767</v>
      </c>
      <c r="S516" s="37" t="s">
        <v>768</v>
      </c>
      <c r="T516" s="159"/>
      <c r="U516" s="159"/>
      <c r="V516" s="159"/>
      <c r="W516" s="159"/>
      <c r="X516" s="159"/>
      <c r="Y516" s="159"/>
      <c r="Z516" s="159"/>
    </row>
    <row r="517">
      <c r="A517" s="165" t="s">
        <v>307</v>
      </c>
      <c r="B517" s="111" t="s">
        <v>769</v>
      </c>
      <c r="C517" s="109"/>
      <c r="D517" s="109"/>
      <c r="E517" s="116"/>
      <c r="F517" s="116"/>
      <c r="G517" s="116"/>
      <c r="H517" s="109"/>
      <c r="J517" s="108" t="str">
        <f>IF(B517="","NSHIP","SHIP")</f>
        <v>SHIP</v>
      </c>
      <c r="K517" s="99">
        <f>IF($J517="NSHIP",0,-SUMIF($J$4:$J$8712,$C516,$D$4:$D$8712))</f>
        <v>-50</v>
      </c>
      <c r="L517" s="50">
        <f>IF($J517="NSHIP",0,-SUMIF($J$4:$J$8710,$C516,$F$4:$F$8710))</f>
        <v>-4085.91</v>
      </c>
      <c r="M517" s="50">
        <f>IF($J517="NSHIP",0,-SUMIF($J$4:$J$8710,$C516,$G$4:$G$8710))</f>
        <v>-1021.4775</v>
      </c>
      <c r="P517" s="68"/>
    </row>
    <row r="518">
      <c r="A518" s="95">
        <v>1.90748700796E11</v>
      </c>
      <c r="B518" s="164" t="s">
        <v>770</v>
      </c>
      <c r="C518" s="95" t="s">
        <v>97</v>
      </c>
      <c r="D518" s="95">
        <v>1.0</v>
      </c>
      <c r="E518" s="101">
        <v>119.0</v>
      </c>
      <c r="F518" s="97">
        <f t="shared" ref="F518:F526" si="66">E518*D518</f>
        <v>119</v>
      </c>
      <c r="G518" s="97">
        <f t="shared" ref="G518:G526" si="67">F518/3.3</f>
        <v>36.06060606</v>
      </c>
      <c r="H518" s="95" t="s">
        <v>771</v>
      </c>
      <c r="J518" s="120" t="s">
        <v>772</v>
      </c>
      <c r="K518" s="99"/>
      <c r="L518" s="50"/>
      <c r="M518" s="50"/>
      <c r="P518" s="68"/>
    </row>
    <row r="519">
      <c r="A519" s="95">
        <v>1.90937735844E11</v>
      </c>
      <c r="B519" s="131" t="s">
        <v>773</v>
      </c>
      <c r="C519" s="95" t="s">
        <v>97</v>
      </c>
      <c r="D519" s="95">
        <v>1.0</v>
      </c>
      <c r="E519" s="101">
        <v>99.0</v>
      </c>
      <c r="F519" s="97">
        <f t="shared" si="66"/>
        <v>99</v>
      </c>
      <c r="G519" s="97">
        <f t="shared" si="67"/>
        <v>30</v>
      </c>
      <c r="H519" s="95" t="s">
        <v>774</v>
      </c>
      <c r="J519" s="120" t="s">
        <v>772</v>
      </c>
      <c r="K519" s="99"/>
      <c r="L519" s="50"/>
      <c r="M519" s="50"/>
      <c r="P519" s="68"/>
    </row>
    <row r="520">
      <c r="A520" s="95">
        <v>6.0838122893E11</v>
      </c>
      <c r="B520" s="131" t="s">
        <v>775</v>
      </c>
      <c r="C520" s="95" t="s">
        <v>97</v>
      </c>
      <c r="D520" s="95">
        <v>1.0</v>
      </c>
      <c r="E520" s="101">
        <v>89.5</v>
      </c>
      <c r="F520" s="97">
        <f t="shared" si="66"/>
        <v>89.5</v>
      </c>
      <c r="G520" s="97">
        <f t="shared" si="67"/>
        <v>27.12121212</v>
      </c>
      <c r="H520" s="95" t="s">
        <v>776</v>
      </c>
      <c r="J520" s="120" t="s">
        <v>772</v>
      </c>
      <c r="K520" s="99"/>
      <c r="L520" s="50"/>
      <c r="M520" s="50"/>
      <c r="P520" s="68"/>
    </row>
    <row r="521">
      <c r="A521" s="95">
        <v>7.32995843392E11</v>
      </c>
      <c r="B521" s="131" t="s">
        <v>777</v>
      </c>
      <c r="C521" s="95" t="s">
        <v>97</v>
      </c>
      <c r="D521" s="95">
        <v>1.0</v>
      </c>
      <c r="E521" s="101">
        <v>59.5</v>
      </c>
      <c r="F521" s="97">
        <f t="shared" si="66"/>
        <v>59.5</v>
      </c>
      <c r="G521" s="97">
        <f t="shared" si="67"/>
        <v>18.03030303</v>
      </c>
      <c r="H521" s="95" t="s">
        <v>778</v>
      </c>
      <c r="J521" s="120" t="s">
        <v>772</v>
      </c>
      <c r="K521" s="99"/>
      <c r="L521" s="50"/>
      <c r="M521" s="50"/>
      <c r="P521" s="68"/>
    </row>
    <row r="522">
      <c r="A522" s="95">
        <v>7.32996492865E11</v>
      </c>
      <c r="B522" s="131" t="s">
        <v>779</v>
      </c>
      <c r="C522" s="95" t="s">
        <v>97</v>
      </c>
      <c r="D522" s="95">
        <v>1.0</v>
      </c>
      <c r="E522" s="101">
        <v>59.5</v>
      </c>
      <c r="F522" s="97">
        <f t="shared" si="66"/>
        <v>59.5</v>
      </c>
      <c r="G522" s="97">
        <f t="shared" si="67"/>
        <v>18.03030303</v>
      </c>
      <c r="H522" s="95" t="s">
        <v>776</v>
      </c>
      <c r="J522" s="120" t="s">
        <v>772</v>
      </c>
      <c r="K522" s="99"/>
      <c r="L522" s="50"/>
      <c r="M522" s="50"/>
      <c r="P522" s="68"/>
    </row>
    <row r="523">
      <c r="A523" s="95">
        <v>7.32997622988E11</v>
      </c>
      <c r="B523" s="131" t="s">
        <v>780</v>
      </c>
      <c r="C523" s="95" t="s">
        <v>97</v>
      </c>
      <c r="D523" s="95">
        <v>1.0</v>
      </c>
      <c r="E523" s="101">
        <v>89.5</v>
      </c>
      <c r="F523" s="97">
        <f t="shared" si="66"/>
        <v>89.5</v>
      </c>
      <c r="G523" s="97">
        <f t="shared" si="67"/>
        <v>27.12121212</v>
      </c>
      <c r="H523" s="95" t="s">
        <v>400</v>
      </c>
      <c r="J523" s="120" t="s">
        <v>772</v>
      </c>
      <c r="K523" s="99"/>
      <c r="L523" s="50"/>
      <c r="M523" s="50"/>
      <c r="P523" s="68"/>
    </row>
    <row r="524">
      <c r="A524" s="95">
        <v>7.32997623015E11</v>
      </c>
      <c r="B524" s="131" t="s">
        <v>781</v>
      </c>
      <c r="C524" s="95" t="s">
        <v>97</v>
      </c>
      <c r="D524" s="95">
        <v>1.0</v>
      </c>
      <c r="E524" s="101">
        <v>89.5</v>
      </c>
      <c r="F524" s="97">
        <f t="shared" si="66"/>
        <v>89.5</v>
      </c>
      <c r="G524" s="97">
        <f t="shared" si="67"/>
        <v>27.12121212</v>
      </c>
      <c r="H524" s="95" t="s">
        <v>400</v>
      </c>
      <c r="J524" s="120" t="s">
        <v>772</v>
      </c>
      <c r="K524" s="99"/>
      <c r="L524" s="50"/>
      <c r="M524" s="50"/>
      <c r="P524" s="68"/>
    </row>
    <row r="525">
      <c r="A525" s="95">
        <v>7.68363517909E11</v>
      </c>
      <c r="B525" s="131" t="s">
        <v>782</v>
      </c>
      <c r="C525" s="95" t="s">
        <v>97</v>
      </c>
      <c r="D525" s="95">
        <v>1.0</v>
      </c>
      <c r="E525" s="101">
        <v>99.0</v>
      </c>
      <c r="F525" s="97">
        <f t="shared" si="66"/>
        <v>99</v>
      </c>
      <c r="G525" s="97">
        <f t="shared" si="67"/>
        <v>30</v>
      </c>
      <c r="H525" s="95" t="s">
        <v>783</v>
      </c>
      <c r="J525" s="120" t="s">
        <v>772</v>
      </c>
      <c r="K525" s="99"/>
      <c r="L525" s="50"/>
      <c r="M525" s="50"/>
      <c r="P525" s="68"/>
    </row>
    <row r="526">
      <c r="A526" s="95">
        <v>8.85481661793E11</v>
      </c>
      <c r="B526" s="131" t="s">
        <v>784</v>
      </c>
      <c r="C526" s="95" t="s">
        <v>97</v>
      </c>
      <c r="D526" s="95">
        <v>1.0</v>
      </c>
      <c r="E526" s="101">
        <v>89.0</v>
      </c>
      <c r="F526" s="97">
        <f t="shared" si="66"/>
        <v>89</v>
      </c>
      <c r="G526" s="97">
        <f t="shared" si="67"/>
        <v>26.96969697</v>
      </c>
      <c r="H526" s="95" t="s">
        <v>785</v>
      </c>
      <c r="J526" s="120" t="s">
        <v>772</v>
      </c>
      <c r="K526" s="99"/>
      <c r="L526" s="50"/>
      <c r="M526" s="50"/>
      <c r="P526" s="68"/>
    </row>
    <row r="527">
      <c r="A527" s="102" t="s">
        <v>786</v>
      </c>
      <c r="B527" s="103" t="s">
        <v>787</v>
      </c>
      <c r="C527" s="104"/>
      <c r="D527" s="104"/>
      <c r="E527" s="105"/>
      <c r="F527" s="106"/>
      <c r="G527" s="106"/>
      <c r="H527" s="107"/>
      <c r="J527" s="108"/>
      <c r="K527" s="99"/>
      <c r="L527" s="50"/>
      <c r="M527" s="50"/>
      <c r="P527" s="68"/>
    </row>
    <row r="528">
      <c r="A528" s="109">
        <v>8.87059583087E11</v>
      </c>
      <c r="B528" s="192" t="s">
        <v>788</v>
      </c>
      <c r="C528" s="95" t="s">
        <v>97</v>
      </c>
      <c r="D528" s="95">
        <v>1.0</v>
      </c>
      <c r="E528" s="101">
        <v>160.0</v>
      </c>
      <c r="F528" s="97">
        <f>E528*D528</f>
        <v>160</v>
      </c>
      <c r="G528" s="97">
        <f>F528/3.3</f>
        <v>48.48484848</v>
      </c>
      <c r="H528" s="95" t="s">
        <v>789</v>
      </c>
      <c r="J528" s="120" t="s">
        <v>772</v>
      </c>
      <c r="K528" s="99"/>
      <c r="L528" s="50"/>
      <c r="M528" s="50"/>
      <c r="P528" s="68"/>
    </row>
    <row r="529">
      <c r="A529" s="102" t="s">
        <v>113</v>
      </c>
      <c r="B529" s="103" t="s">
        <v>790</v>
      </c>
      <c r="C529" s="104"/>
      <c r="D529" s="104"/>
      <c r="E529" s="105"/>
      <c r="F529" s="106"/>
      <c r="G529" s="106"/>
      <c r="H529" s="107"/>
      <c r="J529" s="108"/>
      <c r="K529" s="99"/>
      <c r="L529" s="50"/>
      <c r="M529" s="50"/>
      <c r="P529" s="68"/>
    </row>
    <row r="530">
      <c r="A530" s="163">
        <v>1.9190268275E11</v>
      </c>
      <c r="B530" s="151" t="s">
        <v>791</v>
      </c>
      <c r="C530" s="95" t="s">
        <v>97</v>
      </c>
      <c r="D530" s="95">
        <v>1.0</v>
      </c>
      <c r="E530" s="101">
        <v>109.95</v>
      </c>
      <c r="F530" s="97">
        <f t="shared" ref="F530:F535" si="68">E530*D530</f>
        <v>109.95</v>
      </c>
      <c r="G530" s="97">
        <f t="shared" ref="G530:G535" si="69">F530/3.3</f>
        <v>33.31818182</v>
      </c>
      <c r="H530" s="95" t="s">
        <v>792</v>
      </c>
      <c r="I530" s="70" t="s">
        <v>149</v>
      </c>
      <c r="J530" s="120" t="s">
        <v>772</v>
      </c>
      <c r="K530" s="99"/>
      <c r="L530" s="50"/>
      <c r="M530" s="50"/>
      <c r="P530" s="68"/>
    </row>
    <row r="531">
      <c r="A531" s="163">
        <v>1.92329136673E11</v>
      </c>
      <c r="B531" s="151" t="s">
        <v>793</v>
      </c>
      <c r="C531" s="95" t="s">
        <v>97</v>
      </c>
      <c r="D531" s="95">
        <v>1.0</v>
      </c>
      <c r="E531" s="101">
        <v>179.95</v>
      </c>
      <c r="F531" s="97">
        <f t="shared" si="68"/>
        <v>179.95</v>
      </c>
      <c r="G531" s="97">
        <f t="shared" si="69"/>
        <v>54.53030303</v>
      </c>
      <c r="H531" s="95" t="s">
        <v>794</v>
      </c>
      <c r="I531" s="70" t="s">
        <v>149</v>
      </c>
      <c r="J531" s="120" t="s">
        <v>772</v>
      </c>
      <c r="K531" s="99"/>
      <c r="L531" s="50"/>
      <c r="M531" s="50"/>
      <c r="P531" s="68"/>
    </row>
    <row r="532">
      <c r="A532" s="163">
        <v>6.16542466459E11</v>
      </c>
      <c r="B532" s="151" t="s">
        <v>795</v>
      </c>
      <c r="C532" s="95" t="s">
        <v>97</v>
      </c>
      <c r="D532" s="95">
        <v>1.0</v>
      </c>
      <c r="E532" s="101">
        <v>149.95</v>
      </c>
      <c r="F532" s="97">
        <f t="shared" si="68"/>
        <v>149.95</v>
      </c>
      <c r="G532" s="97">
        <f t="shared" si="69"/>
        <v>45.43939394</v>
      </c>
      <c r="H532" s="95" t="s">
        <v>794</v>
      </c>
      <c r="I532" s="70" t="s">
        <v>149</v>
      </c>
      <c r="J532" s="120" t="s">
        <v>772</v>
      </c>
      <c r="K532" s="99"/>
      <c r="L532" s="50"/>
      <c r="M532" s="50"/>
      <c r="P532" s="68"/>
    </row>
    <row r="533">
      <c r="A533" s="163">
        <v>8.89309373837E11</v>
      </c>
      <c r="B533" s="151" t="s">
        <v>796</v>
      </c>
      <c r="C533" s="95" t="s">
        <v>97</v>
      </c>
      <c r="D533" s="95">
        <v>1.0</v>
      </c>
      <c r="E533" s="101">
        <v>120.0</v>
      </c>
      <c r="F533" s="97">
        <f t="shared" si="68"/>
        <v>120</v>
      </c>
      <c r="G533" s="97">
        <f t="shared" si="69"/>
        <v>36.36363636</v>
      </c>
      <c r="H533" s="95" t="s">
        <v>797</v>
      </c>
      <c r="I533" s="70" t="s">
        <v>149</v>
      </c>
      <c r="J533" s="120" t="s">
        <v>772</v>
      </c>
      <c r="K533" s="99"/>
      <c r="L533" s="50"/>
      <c r="M533" s="50"/>
      <c r="P533" s="68"/>
    </row>
    <row r="534">
      <c r="A534" s="163">
        <v>8.8930942427E11</v>
      </c>
      <c r="B534" s="151" t="s">
        <v>798</v>
      </c>
      <c r="C534" s="95" t="s">
        <v>97</v>
      </c>
      <c r="D534" s="95">
        <v>1.0</v>
      </c>
      <c r="E534" s="101">
        <v>130.0</v>
      </c>
      <c r="F534" s="97">
        <f t="shared" si="68"/>
        <v>130</v>
      </c>
      <c r="G534" s="97">
        <f t="shared" si="69"/>
        <v>39.39393939</v>
      </c>
      <c r="H534" s="95" t="s">
        <v>797</v>
      </c>
      <c r="I534" s="70" t="s">
        <v>149</v>
      </c>
      <c r="J534" s="120" t="s">
        <v>772</v>
      </c>
      <c r="K534" s="99"/>
      <c r="L534" s="50"/>
      <c r="M534" s="50"/>
      <c r="P534" s="68"/>
    </row>
    <row r="535">
      <c r="A535" s="163">
        <v>5.059353002693E12</v>
      </c>
      <c r="B535" s="151" t="s">
        <v>799</v>
      </c>
      <c r="C535" s="95" t="s">
        <v>97</v>
      </c>
      <c r="D535" s="95">
        <v>1.0</v>
      </c>
      <c r="E535" s="101">
        <v>135.0</v>
      </c>
      <c r="F535" s="97">
        <f t="shared" si="68"/>
        <v>135</v>
      </c>
      <c r="G535" s="97">
        <f t="shared" si="69"/>
        <v>40.90909091</v>
      </c>
      <c r="H535" s="95" t="s">
        <v>800</v>
      </c>
      <c r="I535" s="70" t="s">
        <v>149</v>
      </c>
      <c r="J535" s="120" t="s">
        <v>772</v>
      </c>
      <c r="K535" s="99"/>
      <c r="L535" s="50"/>
      <c r="M535" s="50"/>
      <c r="P535" s="68"/>
    </row>
    <row r="536">
      <c r="A536" s="111" t="s">
        <v>115</v>
      </c>
      <c r="B536" s="111" t="s">
        <v>801</v>
      </c>
      <c r="C536" s="112" t="str">
        <f>MID($B536,6,7)</f>
        <v>GR18245</v>
      </c>
      <c r="D536" s="111"/>
      <c r="E536" s="111"/>
      <c r="F536" s="111"/>
      <c r="G536" s="111"/>
      <c r="H536" s="113">
        <v>44557.0</v>
      </c>
      <c r="J536" s="108" t="str">
        <f>IF(LEFT(B536,3)="Box","BOX","COUNT")</f>
        <v>BOX</v>
      </c>
      <c r="K536" s="99">
        <f>SUMIF($J$4:$J$8712,$C536,$D$4:$D$8712)</f>
        <v>16</v>
      </c>
      <c r="L536" s="50">
        <f>SUMIF($J$4:$J$8712,$C536,$F$4:$F$8712)</f>
        <v>1778.35</v>
      </c>
      <c r="M536" s="50">
        <f>SUMIF($J$4:$J$8712,$C536,$G$4:$G$8712)</f>
        <v>538.8939394</v>
      </c>
      <c r="N536" s="70" t="str">
        <f>C536</f>
        <v>GR18245</v>
      </c>
      <c r="O536" s="70" t="str">
        <f>J537</f>
        <v>SHIP</v>
      </c>
      <c r="P536" s="68">
        <f>M536</f>
        <v>538.8939394</v>
      </c>
      <c r="Q536" s="114">
        <v>44490.0</v>
      </c>
      <c r="R536" s="37" t="s">
        <v>767</v>
      </c>
      <c r="S536" s="37" t="s">
        <v>768</v>
      </c>
    </row>
    <row r="537">
      <c r="A537" s="163"/>
      <c r="B537" s="111" t="s">
        <v>802</v>
      </c>
      <c r="C537" s="109"/>
      <c r="D537" s="109"/>
      <c r="E537" s="116"/>
      <c r="F537" s="116"/>
      <c r="G537" s="116"/>
      <c r="H537" s="109"/>
      <c r="J537" s="108" t="str">
        <f>IF(B537="","NSHIP","SHIP")</f>
        <v>SHIP</v>
      </c>
      <c r="K537" s="99">
        <f>IF($J537="NSHIP",0,-SUMIF($J$4:$J$8712,$C536,$D$4:$D$8712))</f>
        <v>-16</v>
      </c>
      <c r="L537" s="50">
        <f>IF($J537="NSHIP",0,-SUMIF($J$4:$J$8710,$C536,$F$4:$F$8710))</f>
        <v>-1778.35</v>
      </c>
      <c r="M537" s="50">
        <f>IF($J537="NSHIP",0,-SUMIF($J$4:$J$8710,$C536,$G$4:$G$8710))</f>
        <v>-538.8939394</v>
      </c>
      <c r="P537" s="68"/>
    </row>
    <row r="538">
      <c r="A538" s="109">
        <v>7.32995854688E11</v>
      </c>
      <c r="B538" s="164" t="s">
        <v>803</v>
      </c>
      <c r="C538" s="95" t="s">
        <v>97</v>
      </c>
      <c r="D538" s="95">
        <v>1.0</v>
      </c>
      <c r="E538" s="101">
        <v>59.5</v>
      </c>
      <c r="F538" s="97">
        <f t="shared" ref="F538:F549" si="70">E538*D538</f>
        <v>59.5</v>
      </c>
      <c r="G538" s="97">
        <f t="shared" ref="G538:G549" si="71">F538/3.3</f>
        <v>18.03030303</v>
      </c>
      <c r="H538" s="95" t="s">
        <v>776</v>
      </c>
      <c r="J538" s="120" t="s">
        <v>804</v>
      </c>
      <c r="K538" s="99"/>
      <c r="L538" s="50"/>
      <c r="M538" s="50"/>
      <c r="P538" s="68"/>
    </row>
    <row r="539">
      <c r="A539" s="109">
        <v>7.32997703205E11</v>
      </c>
      <c r="B539" s="131" t="s">
        <v>805</v>
      </c>
      <c r="C539" s="95" t="s">
        <v>97</v>
      </c>
      <c r="D539" s="95">
        <v>1.0</v>
      </c>
      <c r="E539" s="101">
        <v>89.5</v>
      </c>
      <c r="F539" s="97">
        <f t="shared" si="70"/>
        <v>89.5</v>
      </c>
      <c r="G539" s="97">
        <f t="shared" si="71"/>
        <v>27.12121212</v>
      </c>
      <c r="H539" s="95" t="s">
        <v>776</v>
      </c>
      <c r="J539" s="120" t="s">
        <v>804</v>
      </c>
      <c r="K539" s="99"/>
      <c r="L539" s="50"/>
      <c r="M539" s="50"/>
      <c r="P539" s="68"/>
    </row>
    <row r="540">
      <c r="A540" s="109">
        <v>7.68363511648E11</v>
      </c>
      <c r="B540" s="131" t="s">
        <v>806</v>
      </c>
      <c r="C540" s="95" t="s">
        <v>97</v>
      </c>
      <c r="D540" s="95">
        <v>1.0</v>
      </c>
      <c r="E540" s="101">
        <v>89.0</v>
      </c>
      <c r="F540" s="97">
        <f t="shared" si="70"/>
        <v>89</v>
      </c>
      <c r="G540" s="97">
        <f t="shared" si="71"/>
        <v>26.96969697</v>
      </c>
      <c r="H540" s="95" t="s">
        <v>783</v>
      </c>
      <c r="J540" s="120" t="s">
        <v>804</v>
      </c>
      <c r="K540" s="99"/>
      <c r="L540" s="50"/>
      <c r="M540" s="50"/>
      <c r="P540" s="68"/>
    </row>
    <row r="541">
      <c r="A541" s="109">
        <v>7.68363517749E11</v>
      </c>
      <c r="B541" s="131" t="s">
        <v>807</v>
      </c>
      <c r="C541" s="95" t="s">
        <v>97</v>
      </c>
      <c r="D541" s="95">
        <v>1.0</v>
      </c>
      <c r="E541" s="101">
        <v>99.0</v>
      </c>
      <c r="F541" s="97">
        <f t="shared" si="70"/>
        <v>99</v>
      </c>
      <c r="G541" s="97">
        <f t="shared" si="71"/>
        <v>30</v>
      </c>
      <c r="H541" s="95" t="s">
        <v>783</v>
      </c>
      <c r="J541" s="120" t="s">
        <v>804</v>
      </c>
      <c r="K541" s="99"/>
      <c r="L541" s="50"/>
      <c r="M541" s="50"/>
      <c r="P541" s="68"/>
    </row>
    <row r="542">
      <c r="A542" s="109">
        <v>7.68363517756E11</v>
      </c>
      <c r="B542" s="131" t="s">
        <v>808</v>
      </c>
      <c r="C542" s="95" t="s">
        <v>97</v>
      </c>
      <c r="D542" s="95">
        <v>1.0</v>
      </c>
      <c r="E542" s="101">
        <v>99.0</v>
      </c>
      <c r="F542" s="97">
        <f t="shared" si="70"/>
        <v>99</v>
      </c>
      <c r="G542" s="97">
        <f t="shared" si="71"/>
        <v>30</v>
      </c>
      <c r="H542" s="95" t="s">
        <v>783</v>
      </c>
      <c r="J542" s="120" t="s">
        <v>804</v>
      </c>
      <c r="K542" s="99"/>
      <c r="L542" s="50"/>
      <c r="M542" s="50"/>
      <c r="P542" s="68"/>
    </row>
    <row r="543">
      <c r="A543" s="109">
        <v>7.68363517763E11</v>
      </c>
      <c r="B543" s="131" t="s">
        <v>809</v>
      </c>
      <c r="C543" s="95" t="s">
        <v>97</v>
      </c>
      <c r="D543" s="95">
        <v>1.0</v>
      </c>
      <c r="E543" s="101">
        <v>99.0</v>
      </c>
      <c r="F543" s="97">
        <f t="shared" si="70"/>
        <v>99</v>
      </c>
      <c r="G543" s="97">
        <f t="shared" si="71"/>
        <v>30</v>
      </c>
      <c r="H543" s="95" t="s">
        <v>783</v>
      </c>
      <c r="J543" s="120" t="s">
        <v>804</v>
      </c>
      <c r="K543" s="99"/>
      <c r="L543" s="50"/>
      <c r="M543" s="50"/>
      <c r="P543" s="68"/>
    </row>
    <row r="544">
      <c r="A544" s="109">
        <v>7.6836351777E11</v>
      </c>
      <c r="B544" s="131" t="s">
        <v>810</v>
      </c>
      <c r="C544" s="95" t="s">
        <v>97</v>
      </c>
      <c r="D544" s="95">
        <v>1.0</v>
      </c>
      <c r="E544" s="101">
        <v>99.0</v>
      </c>
      <c r="F544" s="97">
        <f t="shared" si="70"/>
        <v>99</v>
      </c>
      <c r="G544" s="97">
        <f t="shared" si="71"/>
        <v>30</v>
      </c>
      <c r="H544" s="95" t="s">
        <v>783</v>
      </c>
      <c r="J544" s="120" t="s">
        <v>804</v>
      </c>
      <c r="K544" s="99"/>
      <c r="L544" s="50"/>
      <c r="M544" s="50"/>
      <c r="P544" s="68"/>
    </row>
    <row r="545">
      <c r="A545" s="109">
        <v>7.68363517794E11</v>
      </c>
      <c r="B545" s="131" t="s">
        <v>811</v>
      </c>
      <c r="C545" s="95" t="s">
        <v>97</v>
      </c>
      <c r="D545" s="95">
        <v>1.0</v>
      </c>
      <c r="E545" s="101">
        <v>99.0</v>
      </c>
      <c r="F545" s="97">
        <f t="shared" si="70"/>
        <v>99</v>
      </c>
      <c r="G545" s="97">
        <f t="shared" si="71"/>
        <v>30</v>
      </c>
      <c r="H545" s="95" t="s">
        <v>783</v>
      </c>
      <c r="J545" s="120" t="s">
        <v>804</v>
      </c>
      <c r="K545" s="99"/>
      <c r="L545" s="50"/>
      <c r="M545" s="50"/>
      <c r="P545" s="68"/>
    </row>
    <row r="546">
      <c r="A546" s="109">
        <v>7.68363517893E11</v>
      </c>
      <c r="B546" s="131" t="s">
        <v>812</v>
      </c>
      <c r="C546" s="95" t="s">
        <v>97</v>
      </c>
      <c r="D546" s="95">
        <v>1.0</v>
      </c>
      <c r="E546" s="101">
        <v>99.0</v>
      </c>
      <c r="F546" s="97">
        <f t="shared" si="70"/>
        <v>99</v>
      </c>
      <c r="G546" s="97">
        <f t="shared" si="71"/>
        <v>30</v>
      </c>
      <c r="H546" s="95" t="s">
        <v>783</v>
      </c>
      <c r="J546" s="120" t="s">
        <v>804</v>
      </c>
      <c r="K546" s="99"/>
      <c r="L546" s="50"/>
      <c r="M546" s="50"/>
      <c r="P546" s="68"/>
    </row>
    <row r="547">
      <c r="A547" s="109">
        <v>7.68363517916E11</v>
      </c>
      <c r="B547" s="131" t="s">
        <v>813</v>
      </c>
      <c r="C547" s="95" t="s">
        <v>97</v>
      </c>
      <c r="D547" s="95">
        <v>1.0</v>
      </c>
      <c r="E547" s="101">
        <v>99.0</v>
      </c>
      <c r="F547" s="97">
        <f t="shared" si="70"/>
        <v>99</v>
      </c>
      <c r="G547" s="97">
        <f t="shared" si="71"/>
        <v>30</v>
      </c>
      <c r="H547" s="95" t="s">
        <v>783</v>
      </c>
      <c r="J547" s="120" t="s">
        <v>804</v>
      </c>
      <c r="K547" s="99"/>
      <c r="L547" s="50"/>
      <c r="M547" s="50"/>
      <c r="P547" s="68"/>
    </row>
    <row r="548">
      <c r="A548" s="109">
        <v>7.68363518005E11</v>
      </c>
      <c r="B548" s="131" t="s">
        <v>814</v>
      </c>
      <c r="C548" s="95" t="s">
        <v>97</v>
      </c>
      <c r="D548" s="95">
        <v>1.0</v>
      </c>
      <c r="E548" s="101">
        <v>99.0</v>
      </c>
      <c r="F548" s="97">
        <f t="shared" si="70"/>
        <v>99</v>
      </c>
      <c r="G548" s="97">
        <f t="shared" si="71"/>
        <v>30</v>
      </c>
      <c r="H548" s="95" t="s">
        <v>783</v>
      </c>
      <c r="J548" s="120" t="s">
        <v>804</v>
      </c>
      <c r="K548" s="99"/>
      <c r="L548" s="50"/>
      <c r="M548" s="50"/>
      <c r="P548" s="68"/>
    </row>
    <row r="549">
      <c r="A549" s="109">
        <v>8.01100885531E11</v>
      </c>
      <c r="B549" s="131" t="s">
        <v>815</v>
      </c>
      <c r="C549" s="95" t="s">
        <v>97</v>
      </c>
      <c r="D549" s="95">
        <v>1.0</v>
      </c>
      <c r="E549" s="101">
        <v>90.0</v>
      </c>
      <c r="F549" s="97">
        <f t="shared" si="70"/>
        <v>90</v>
      </c>
      <c r="G549" s="97">
        <f t="shared" si="71"/>
        <v>27.27272727</v>
      </c>
      <c r="H549" s="95" t="s">
        <v>816</v>
      </c>
      <c r="J549" s="120" t="s">
        <v>804</v>
      </c>
      <c r="K549" s="99"/>
      <c r="L549" s="50"/>
      <c r="M549" s="50"/>
      <c r="P549" s="68"/>
    </row>
    <row r="550">
      <c r="A550" s="102" t="s">
        <v>817</v>
      </c>
      <c r="B550" s="103" t="s">
        <v>818</v>
      </c>
      <c r="C550" s="104"/>
      <c r="D550" s="104"/>
      <c r="E550" s="105"/>
      <c r="F550" s="106"/>
      <c r="G550" s="106"/>
      <c r="H550" s="107"/>
      <c r="J550" s="108"/>
      <c r="K550" s="99"/>
      <c r="L550" s="50"/>
      <c r="M550" s="50"/>
      <c r="P550" s="68"/>
    </row>
    <row r="551">
      <c r="A551" s="109">
        <v>7.68363517794E11</v>
      </c>
      <c r="B551" s="164" t="s">
        <v>811</v>
      </c>
      <c r="C551" s="95" t="s">
        <v>97</v>
      </c>
      <c r="D551" s="95">
        <v>1.0</v>
      </c>
      <c r="E551" s="101">
        <v>99.0</v>
      </c>
      <c r="F551" s="97">
        <f t="shared" ref="F551:F552" si="72">E551*D551</f>
        <v>99</v>
      </c>
      <c r="G551" s="97">
        <f t="shared" ref="G551:G552" si="73">F551/3.3</f>
        <v>30</v>
      </c>
      <c r="H551" s="95" t="s">
        <v>783</v>
      </c>
      <c r="J551" s="120" t="s">
        <v>804</v>
      </c>
      <c r="K551" s="99"/>
      <c r="L551" s="50"/>
      <c r="M551" s="50"/>
      <c r="P551" s="68"/>
    </row>
    <row r="552">
      <c r="A552" s="109">
        <v>7.68363517893E11</v>
      </c>
      <c r="B552" s="131" t="s">
        <v>812</v>
      </c>
      <c r="C552" s="95" t="s">
        <v>97</v>
      </c>
      <c r="D552" s="95">
        <v>1.0</v>
      </c>
      <c r="E552" s="101">
        <v>99.0</v>
      </c>
      <c r="F552" s="97">
        <f t="shared" si="72"/>
        <v>99</v>
      </c>
      <c r="G552" s="97">
        <f t="shared" si="73"/>
        <v>30</v>
      </c>
      <c r="H552" s="95" t="s">
        <v>783</v>
      </c>
      <c r="J552" s="120" t="s">
        <v>804</v>
      </c>
      <c r="K552" s="99"/>
      <c r="L552" s="50"/>
      <c r="M552" s="50"/>
      <c r="P552" s="68"/>
    </row>
    <row r="553">
      <c r="A553" s="102" t="s">
        <v>819</v>
      </c>
      <c r="B553" s="103" t="s">
        <v>820</v>
      </c>
      <c r="C553" s="104"/>
      <c r="D553" s="104"/>
      <c r="E553" s="105"/>
      <c r="F553" s="106"/>
      <c r="G553" s="106"/>
      <c r="H553" s="107"/>
      <c r="J553" s="108"/>
      <c r="K553" s="99"/>
      <c r="L553" s="50"/>
      <c r="M553" s="50"/>
      <c r="P553" s="68"/>
    </row>
    <row r="554">
      <c r="A554" s="115">
        <v>1.9232913668E11</v>
      </c>
      <c r="B554" s="151" t="s">
        <v>793</v>
      </c>
      <c r="C554" s="95" t="s">
        <v>97</v>
      </c>
      <c r="D554" s="95">
        <v>1.0</v>
      </c>
      <c r="E554" s="101">
        <v>179.95</v>
      </c>
      <c r="F554" s="97">
        <f t="shared" ref="F554:F557" si="74">E554*D554</f>
        <v>179.95</v>
      </c>
      <c r="G554" s="97">
        <f t="shared" ref="G554:G557" si="75">F554/3.3</f>
        <v>54.53030303</v>
      </c>
      <c r="H554" s="95" t="s">
        <v>794</v>
      </c>
      <c r="I554" s="70" t="s">
        <v>149</v>
      </c>
      <c r="J554" s="120" t="s">
        <v>804</v>
      </c>
      <c r="K554" s="99"/>
      <c r="L554" s="50"/>
      <c r="M554" s="50"/>
      <c r="P554" s="68"/>
    </row>
    <row r="555">
      <c r="A555" s="115">
        <v>8.84547588425E11</v>
      </c>
      <c r="B555" s="151" t="s">
        <v>821</v>
      </c>
      <c r="C555" s="95" t="s">
        <v>97</v>
      </c>
      <c r="D555" s="95">
        <v>1.0</v>
      </c>
      <c r="E555" s="101">
        <v>90.0</v>
      </c>
      <c r="F555" s="97">
        <f t="shared" si="74"/>
        <v>90</v>
      </c>
      <c r="G555" s="97">
        <f t="shared" si="75"/>
        <v>27.27272727</v>
      </c>
      <c r="H555" s="95" t="s">
        <v>822</v>
      </c>
      <c r="I555" s="70" t="s">
        <v>149</v>
      </c>
      <c r="J555" s="120" t="s">
        <v>804</v>
      </c>
      <c r="K555" s="99"/>
      <c r="L555" s="50"/>
      <c r="M555" s="50"/>
      <c r="P555" s="68"/>
    </row>
    <row r="556">
      <c r="A556" s="115">
        <v>8.89308530385E11</v>
      </c>
      <c r="B556" s="151" t="s">
        <v>823</v>
      </c>
      <c r="C556" s="95" t="s">
        <v>97</v>
      </c>
      <c r="D556" s="95">
        <v>1.0</v>
      </c>
      <c r="E556" s="101">
        <v>120.0</v>
      </c>
      <c r="F556" s="97">
        <f t="shared" si="74"/>
        <v>120</v>
      </c>
      <c r="G556" s="97">
        <f t="shared" si="75"/>
        <v>36.36363636</v>
      </c>
      <c r="H556" s="95" t="s">
        <v>797</v>
      </c>
      <c r="I556" s="70" t="s">
        <v>149</v>
      </c>
      <c r="J556" s="120" t="s">
        <v>804</v>
      </c>
      <c r="K556" s="99"/>
      <c r="L556" s="50"/>
      <c r="M556" s="50"/>
      <c r="P556" s="68"/>
    </row>
    <row r="557">
      <c r="A557" s="115">
        <v>8.89308606776E11</v>
      </c>
      <c r="B557" s="151" t="s">
        <v>824</v>
      </c>
      <c r="C557" s="95" t="s">
        <v>97</v>
      </c>
      <c r="D557" s="95">
        <v>1.0</v>
      </c>
      <c r="E557" s="101">
        <v>135.0</v>
      </c>
      <c r="F557" s="97">
        <f t="shared" si="74"/>
        <v>135</v>
      </c>
      <c r="G557" s="97">
        <f t="shared" si="75"/>
        <v>40.90909091</v>
      </c>
      <c r="H557" s="95" t="s">
        <v>797</v>
      </c>
      <c r="I557" s="70" t="s">
        <v>149</v>
      </c>
      <c r="J557" s="120" t="s">
        <v>804</v>
      </c>
      <c r="K557" s="99"/>
      <c r="L557" s="50"/>
      <c r="M557" s="50"/>
      <c r="P557" s="68"/>
    </row>
    <row r="558">
      <c r="A558" s="111" t="s">
        <v>115</v>
      </c>
      <c r="B558" s="111" t="s">
        <v>825</v>
      </c>
      <c r="C558" s="112" t="str">
        <f>MID($B558,6,7)</f>
        <v>GR18246</v>
      </c>
      <c r="D558" s="111"/>
      <c r="E558" s="111"/>
      <c r="F558" s="111"/>
      <c r="G558" s="111"/>
      <c r="H558" s="113">
        <v>44557.0</v>
      </c>
      <c r="J558" s="108" t="str">
        <f>IF(LEFT(B558,3)="Box","BOX","COUNT")</f>
        <v>BOX</v>
      </c>
      <c r="K558" s="99">
        <f>SUMIF($J$4:$J$8712,$C558,$D$4:$D$8712)</f>
        <v>18</v>
      </c>
      <c r="L558" s="50">
        <f>SUMIF($J$4:$J$8712,$C558,$F$4:$F$8712)</f>
        <v>1842.95</v>
      </c>
      <c r="M558" s="50">
        <f>SUMIF($J$4:$J$8712,$C558,$G$4:$G$8712)</f>
        <v>558.469697</v>
      </c>
      <c r="N558" s="70" t="str">
        <f>C558</f>
        <v>GR18246</v>
      </c>
      <c r="O558" s="70" t="str">
        <f>J559</f>
        <v>SHIP</v>
      </c>
      <c r="P558" s="68">
        <f>M558</f>
        <v>558.469697</v>
      </c>
      <c r="Q558" s="114">
        <v>44490.0</v>
      </c>
      <c r="R558" s="37" t="s">
        <v>767</v>
      </c>
      <c r="S558" s="37" t="s">
        <v>768</v>
      </c>
    </row>
    <row r="559">
      <c r="A559" s="115" t="s">
        <v>119</v>
      </c>
      <c r="B559" s="111" t="s">
        <v>826</v>
      </c>
      <c r="C559" s="109"/>
      <c r="D559" s="109"/>
      <c r="E559" s="116"/>
      <c r="F559" s="116"/>
      <c r="G559" s="116"/>
      <c r="H559" s="109"/>
      <c r="J559" s="108" t="str">
        <f>IF(B559="","NSHIP","SHIP")</f>
        <v>SHIP</v>
      </c>
      <c r="K559" s="99">
        <f>IF($J559="NSHIP",0,-SUMIF($J$4:$J$8712,$C558,$D$4:$D$8712))</f>
        <v>-18</v>
      </c>
      <c r="L559" s="50">
        <f>IF($J559="NSHIP",0,-SUMIF($J$4:$J$8710,$C558,$F$4:$F$8710))</f>
        <v>-1842.95</v>
      </c>
      <c r="M559" s="50">
        <f>IF($J559="NSHIP",0,-SUMIF($J$4:$J$8710,$C558,$G$4:$G$8710))</f>
        <v>-558.469697</v>
      </c>
      <c r="P559" s="68"/>
    </row>
    <row r="560">
      <c r="A560" s="117">
        <v>1.94835564308E11</v>
      </c>
      <c r="B560" s="100" t="s">
        <v>827</v>
      </c>
      <c r="C560" s="118" t="s">
        <v>97</v>
      </c>
      <c r="D560" s="100">
        <v>1.0</v>
      </c>
      <c r="E560" s="119">
        <v>269.0</v>
      </c>
      <c r="F560" s="118">
        <f t="shared" ref="F560:F575" si="76">E560*D560</f>
        <v>269</v>
      </c>
      <c r="G560" s="118">
        <f t="shared" ref="G560:G575" si="77">F560/3.3</f>
        <v>81.51515152</v>
      </c>
      <c r="H560" s="100" t="s">
        <v>828</v>
      </c>
      <c r="I560" s="1"/>
      <c r="J560" s="120" t="s">
        <v>829</v>
      </c>
      <c r="K560" s="99"/>
      <c r="L560" s="50"/>
      <c r="M560" s="50"/>
      <c r="P560" s="68"/>
    </row>
    <row r="561">
      <c r="A561" s="117">
        <v>1.94835564339E11</v>
      </c>
      <c r="B561" s="100" t="s">
        <v>830</v>
      </c>
      <c r="C561" s="118" t="s">
        <v>97</v>
      </c>
      <c r="D561" s="100">
        <v>1.0</v>
      </c>
      <c r="E561" s="119">
        <v>269.0</v>
      </c>
      <c r="F561" s="118">
        <f t="shared" si="76"/>
        <v>269</v>
      </c>
      <c r="G561" s="118">
        <f t="shared" si="77"/>
        <v>81.51515152</v>
      </c>
      <c r="H561" s="100" t="s">
        <v>828</v>
      </c>
      <c r="I561" s="1"/>
      <c r="J561" s="120" t="s">
        <v>829</v>
      </c>
      <c r="K561" s="99"/>
      <c r="L561" s="50"/>
      <c r="M561" s="50"/>
      <c r="P561" s="68"/>
    </row>
    <row r="562">
      <c r="A562" s="117">
        <v>6.08381227971E11</v>
      </c>
      <c r="B562" s="100" t="s">
        <v>831</v>
      </c>
      <c r="C562" s="118" t="s">
        <v>97</v>
      </c>
      <c r="D562" s="100">
        <v>1.0</v>
      </c>
      <c r="E562" s="119">
        <v>89.5</v>
      </c>
      <c r="F562" s="118">
        <f t="shared" si="76"/>
        <v>89.5</v>
      </c>
      <c r="G562" s="118">
        <f t="shared" si="77"/>
        <v>27.12121212</v>
      </c>
      <c r="H562" s="100" t="s">
        <v>776</v>
      </c>
      <c r="I562" s="1"/>
      <c r="J562" s="120" t="s">
        <v>829</v>
      </c>
      <c r="K562" s="99"/>
      <c r="L562" s="50"/>
      <c r="M562" s="50"/>
      <c r="P562" s="68"/>
    </row>
    <row r="563">
      <c r="A563" s="117">
        <v>6.08381227988E11</v>
      </c>
      <c r="B563" s="100" t="s">
        <v>832</v>
      </c>
      <c r="C563" s="118" t="s">
        <v>97</v>
      </c>
      <c r="D563" s="100">
        <v>1.0</v>
      </c>
      <c r="E563" s="119">
        <v>89.5</v>
      </c>
      <c r="F563" s="118">
        <f t="shared" si="76"/>
        <v>89.5</v>
      </c>
      <c r="G563" s="118">
        <f t="shared" si="77"/>
        <v>27.12121212</v>
      </c>
      <c r="H563" s="100" t="s">
        <v>776</v>
      </c>
      <c r="I563" s="1"/>
      <c r="J563" s="120" t="s">
        <v>829</v>
      </c>
      <c r="K563" s="99"/>
      <c r="L563" s="50"/>
      <c r="M563" s="50"/>
      <c r="P563" s="68"/>
    </row>
    <row r="564">
      <c r="A564" s="117">
        <v>6.08381227995E11</v>
      </c>
      <c r="B564" s="100" t="s">
        <v>833</v>
      </c>
      <c r="C564" s="118" t="s">
        <v>97</v>
      </c>
      <c r="D564" s="100">
        <v>1.0</v>
      </c>
      <c r="E564" s="119">
        <v>89.5</v>
      </c>
      <c r="F564" s="118">
        <f t="shared" si="76"/>
        <v>89.5</v>
      </c>
      <c r="G564" s="118">
        <f t="shared" si="77"/>
        <v>27.12121212</v>
      </c>
      <c r="H564" s="100" t="s">
        <v>776</v>
      </c>
      <c r="I564" s="1"/>
      <c r="J564" s="120" t="s">
        <v>829</v>
      </c>
      <c r="K564" s="99"/>
      <c r="L564" s="50"/>
      <c r="M564" s="50"/>
      <c r="P564" s="68"/>
    </row>
    <row r="565">
      <c r="A565" s="117">
        <v>6.36202394694E11</v>
      </c>
      <c r="B565" s="100" t="s">
        <v>834</v>
      </c>
      <c r="C565" s="118" t="s">
        <v>97</v>
      </c>
      <c r="D565" s="100">
        <v>1.0</v>
      </c>
      <c r="E565" s="119">
        <v>59.5</v>
      </c>
      <c r="F565" s="118">
        <f t="shared" si="76"/>
        <v>59.5</v>
      </c>
      <c r="G565" s="118">
        <f t="shared" si="77"/>
        <v>18.03030303</v>
      </c>
      <c r="H565" s="100" t="s">
        <v>776</v>
      </c>
      <c r="I565" s="1"/>
      <c r="J565" s="120" t="s">
        <v>829</v>
      </c>
      <c r="K565" s="99"/>
      <c r="L565" s="50"/>
      <c r="M565" s="50"/>
      <c r="P565" s="68"/>
    </row>
    <row r="566">
      <c r="A566" s="117">
        <v>7.26895440294E11</v>
      </c>
      <c r="B566" s="100" t="s">
        <v>835</v>
      </c>
      <c r="C566" s="118" t="s">
        <v>97</v>
      </c>
      <c r="D566" s="100">
        <v>1.0</v>
      </c>
      <c r="E566" s="119">
        <v>59.5</v>
      </c>
      <c r="F566" s="118">
        <f t="shared" si="76"/>
        <v>59.5</v>
      </c>
      <c r="G566" s="118">
        <f t="shared" si="77"/>
        <v>18.03030303</v>
      </c>
      <c r="H566" s="100" t="s">
        <v>776</v>
      </c>
      <c r="I566" s="1"/>
      <c r="J566" s="120" t="s">
        <v>829</v>
      </c>
      <c r="K566" s="99"/>
      <c r="L566" s="50"/>
      <c r="M566" s="50"/>
      <c r="P566" s="68"/>
    </row>
    <row r="567">
      <c r="A567" s="117">
        <v>7.32995854725E11</v>
      </c>
      <c r="B567" s="100" t="s">
        <v>836</v>
      </c>
      <c r="C567" s="118" t="s">
        <v>97</v>
      </c>
      <c r="D567" s="100">
        <v>1.0</v>
      </c>
      <c r="E567" s="119">
        <v>59.5</v>
      </c>
      <c r="F567" s="118">
        <f t="shared" si="76"/>
        <v>59.5</v>
      </c>
      <c r="G567" s="118">
        <f t="shared" si="77"/>
        <v>18.03030303</v>
      </c>
      <c r="H567" s="100" t="s">
        <v>776</v>
      </c>
      <c r="I567" s="1"/>
      <c r="J567" s="120" t="s">
        <v>829</v>
      </c>
      <c r="K567" s="99"/>
      <c r="L567" s="50"/>
      <c r="M567" s="50"/>
      <c r="P567" s="68"/>
    </row>
    <row r="568">
      <c r="A568" s="117">
        <v>7.329958548E11</v>
      </c>
      <c r="B568" s="100" t="s">
        <v>837</v>
      </c>
      <c r="C568" s="118" t="s">
        <v>97</v>
      </c>
      <c r="D568" s="100">
        <v>1.0</v>
      </c>
      <c r="E568" s="119">
        <v>59.5</v>
      </c>
      <c r="F568" s="118">
        <f t="shared" si="76"/>
        <v>59.5</v>
      </c>
      <c r="G568" s="118">
        <f t="shared" si="77"/>
        <v>18.03030303</v>
      </c>
      <c r="H568" s="100" t="s">
        <v>776</v>
      </c>
      <c r="I568" s="1"/>
      <c r="J568" s="120" t="s">
        <v>829</v>
      </c>
      <c r="K568" s="99"/>
      <c r="L568" s="50"/>
      <c r="M568" s="50"/>
      <c r="P568" s="68"/>
    </row>
    <row r="569">
      <c r="A569" s="117">
        <v>7.32997429433E11</v>
      </c>
      <c r="B569" s="100" t="s">
        <v>838</v>
      </c>
      <c r="C569" s="118" t="s">
        <v>97</v>
      </c>
      <c r="D569" s="100">
        <v>1.0</v>
      </c>
      <c r="E569" s="119">
        <v>79.5</v>
      </c>
      <c r="F569" s="118">
        <f t="shared" si="76"/>
        <v>79.5</v>
      </c>
      <c r="G569" s="118">
        <f t="shared" si="77"/>
        <v>24.09090909</v>
      </c>
      <c r="H569" s="100" t="s">
        <v>839</v>
      </c>
      <c r="I569" s="1"/>
      <c r="J569" s="120" t="s">
        <v>829</v>
      </c>
      <c r="K569" s="99"/>
      <c r="L569" s="50"/>
      <c r="M569" s="50"/>
      <c r="P569" s="68"/>
    </row>
    <row r="570">
      <c r="A570" s="117">
        <v>7.3299742944E11</v>
      </c>
      <c r="B570" s="100" t="s">
        <v>840</v>
      </c>
      <c r="C570" s="118" t="s">
        <v>97</v>
      </c>
      <c r="D570" s="100">
        <v>1.0</v>
      </c>
      <c r="E570" s="119">
        <v>79.5</v>
      </c>
      <c r="F570" s="118">
        <f t="shared" si="76"/>
        <v>79.5</v>
      </c>
      <c r="G570" s="118">
        <f t="shared" si="77"/>
        <v>24.09090909</v>
      </c>
      <c r="H570" s="100" t="s">
        <v>839</v>
      </c>
      <c r="I570" s="1"/>
      <c r="J570" s="120" t="s">
        <v>829</v>
      </c>
      <c r="K570" s="99"/>
      <c r="L570" s="50"/>
      <c r="M570" s="50"/>
      <c r="P570" s="68"/>
    </row>
    <row r="571">
      <c r="A571" s="117">
        <v>7.32997429464E11</v>
      </c>
      <c r="B571" s="100" t="s">
        <v>841</v>
      </c>
      <c r="C571" s="118" t="s">
        <v>97</v>
      </c>
      <c r="D571" s="100">
        <v>1.0</v>
      </c>
      <c r="E571" s="119">
        <v>79.5</v>
      </c>
      <c r="F571" s="118">
        <f t="shared" si="76"/>
        <v>79.5</v>
      </c>
      <c r="G571" s="118">
        <f t="shared" si="77"/>
        <v>24.09090909</v>
      </c>
      <c r="H571" s="100" t="s">
        <v>839</v>
      </c>
      <c r="I571" s="1"/>
      <c r="J571" s="120" t="s">
        <v>829</v>
      </c>
      <c r="K571" s="99"/>
      <c r="L571" s="50"/>
      <c r="M571" s="50"/>
      <c r="P571" s="68"/>
    </row>
    <row r="572">
      <c r="A572" s="181">
        <v>7.32997429471E11</v>
      </c>
      <c r="B572" s="100" t="s">
        <v>842</v>
      </c>
      <c r="C572" s="118" t="s">
        <v>97</v>
      </c>
      <c r="D572" s="100">
        <v>1.0</v>
      </c>
      <c r="E572" s="119">
        <v>79.5</v>
      </c>
      <c r="F572" s="118">
        <f t="shared" si="76"/>
        <v>79.5</v>
      </c>
      <c r="G572" s="118">
        <f t="shared" si="77"/>
        <v>24.09090909</v>
      </c>
      <c r="H572" s="100" t="s">
        <v>839</v>
      </c>
      <c r="I572" s="1"/>
      <c r="J572" s="120" t="s">
        <v>829</v>
      </c>
      <c r="K572" s="99"/>
      <c r="L572" s="50"/>
      <c r="M572" s="50"/>
      <c r="P572" s="68"/>
    </row>
    <row r="573">
      <c r="A573" s="117">
        <v>7.32997429488E11</v>
      </c>
      <c r="B573" s="100" t="s">
        <v>843</v>
      </c>
      <c r="C573" s="118" t="s">
        <v>97</v>
      </c>
      <c r="D573" s="100">
        <v>1.0</v>
      </c>
      <c r="E573" s="119">
        <v>79.5</v>
      </c>
      <c r="F573" s="118">
        <f t="shared" si="76"/>
        <v>79.5</v>
      </c>
      <c r="G573" s="118">
        <f t="shared" si="77"/>
        <v>24.09090909</v>
      </c>
      <c r="H573" s="100" t="s">
        <v>839</v>
      </c>
      <c r="I573" s="1"/>
      <c r="J573" s="120" t="s">
        <v>829</v>
      </c>
      <c r="K573" s="99"/>
      <c r="L573" s="50"/>
      <c r="M573" s="50"/>
      <c r="P573" s="68"/>
    </row>
    <row r="574">
      <c r="A574" s="117">
        <v>7.32997429495E11</v>
      </c>
      <c r="B574" s="100" t="s">
        <v>844</v>
      </c>
      <c r="C574" s="118" t="s">
        <v>97</v>
      </c>
      <c r="D574" s="100">
        <v>1.0</v>
      </c>
      <c r="E574" s="119">
        <v>79.5</v>
      </c>
      <c r="F574" s="118">
        <f t="shared" si="76"/>
        <v>79.5</v>
      </c>
      <c r="G574" s="118">
        <f t="shared" si="77"/>
        <v>24.09090909</v>
      </c>
      <c r="H574" s="100" t="s">
        <v>839</v>
      </c>
      <c r="I574" s="1"/>
      <c r="J574" s="120" t="s">
        <v>829</v>
      </c>
      <c r="K574" s="99"/>
      <c r="L574" s="50"/>
      <c r="M574" s="50"/>
      <c r="P574" s="68"/>
    </row>
    <row r="575">
      <c r="A575" s="117">
        <v>7.32998066873E11</v>
      </c>
      <c r="B575" s="100" t="s">
        <v>845</v>
      </c>
      <c r="C575" s="118" t="s">
        <v>97</v>
      </c>
      <c r="D575" s="100">
        <v>1.0</v>
      </c>
      <c r="E575" s="119">
        <v>89.5</v>
      </c>
      <c r="F575" s="118">
        <f t="shared" si="76"/>
        <v>89.5</v>
      </c>
      <c r="G575" s="118">
        <f t="shared" si="77"/>
        <v>27.12121212</v>
      </c>
      <c r="H575" s="100" t="s">
        <v>776</v>
      </c>
      <c r="I575" s="1"/>
      <c r="J575" s="120" t="s">
        <v>829</v>
      </c>
      <c r="K575" s="99"/>
      <c r="L575" s="50"/>
      <c r="M575" s="50"/>
      <c r="P575" s="68"/>
    </row>
    <row r="576">
      <c r="A576" s="121" t="s">
        <v>846</v>
      </c>
      <c r="B576" s="122" t="s">
        <v>847</v>
      </c>
      <c r="C576" s="118"/>
      <c r="D576" s="100"/>
      <c r="E576" s="119"/>
      <c r="F576" s="118"/>
      <c r="G576" s="118"/>
      <c r="H576" s="100"/>
      <c r="I576" s="1"/>
      <c r="J576" s="120"/>
      <c r="K576" s="99"/>
      <c r="L576" s="50"/>
      <c r="M576" s="50"/>
      <c r="P576" s="68"/>
    </row>
    <row r="577">
      <c r="A577" s="193">
        <v>4.4209967894E10</v>
      </c>
      <c r="B577" s="100" t="s">
        <v>848</v>
      </c>
      <c r="C577" s="118" t="s">
        <v>97</v>
      </c>
      <c r="D577" s="100">
        <v>1.0</v>
      </c>
      <c r="E577" s="119">
        <v>75.0</v>
      </c>
      <c r="F577" s="118">
        <f>E577*D577</f>
        <v>75</v>
      </c>
      <c r="G577" s="118">
        <f>F577/3.3</f>
        <v>22.72727273</v>
      </c>
      <c r="H577" s="100" t="s">
        <v>816</v>
      </c>
      <c r="I577" s="194" t="s">
        <v>149</v>
      </c>
      <c r="J577" s="120" t="s">
        <v>829</v>
      </c>
      <c r="K577" s="99"/>
      <c r="L577" s="50"/>
      <c r="M577" s="50"/>
      <c r="P577" s="68"/>
    </row>
    <row r="578">
      <c r="A578" s="123" t="s">
        <v>132</v>
      </c>
      <c r="B578" s="112" t="s">
        <v>849</v>
      </c>
      <c r="C578" s="124" t="str">
        <f>MID($B578,6,7)</f>
        <v>GR18247</v>
      </c>
      <c r="D578" s="125"/>
      <c r="E578" s="126"/>
      <c r="F578" s="126"/>
      <c r="G578" s="126"/>
      <c r="H578" s="127">
        <v>44557.0</v>
      </c>
      <c r="I578" s="1"/>
      <c r="J578" s="108" t="str">
        <f>IF(LEFT(B578,3)="Box","BOX","COUNT")</f>
        <v>BOX</v>
      </c>
      <c r="K578" s="99">
        <f>SUMIF($J$4:$J$8712,$C578,$D$4:$D$8712)</f>
        <v>17</v>
      </c>
      <c r="L578" s="50">
        <f>SUMIF($J$4:$J$8712,$C578,$F$4:$F$8712)</f>
        <v>1686</v>
      </c>
      <c r="M578" s="50">
        <f>SUMIF($J$4:$J$8712,$C578,$G$4:$G$8712)</f>
        <v>510.9090909</v>
      </c>
      <c r="N578" s="36" t="str">
        <f>C578</f>
        <v>GR18247</v>
      </c>
      <c r="O578" s="70" t="str">
        <f>J579</f>
        <v>SHIP</v>
      </c>
      <c r="P578" s="68">
        <f>M578</f>
        <v>510.9090909</v>
      </c>
      <c r="Q578" s="114">
        <v>44490.0</v>
      </c>
      <c r="R578" s="37" t="s">
        <v>767</v>
      </c>
      <c r="S578" s="37" t="s">
        <v>768</v>
      </c>
    </row>
    <row r="579">
      <c r="A579" s="128" t="s">
        <v>119</v>
      </c>
      <c r="B579" s="111" t="s">
        <v>850</v>
      </c>
      <c r="C579" s="195"/>
      <c r="D579" s="141"/>
      <c r="E579" s="142"/>
      <c r="F579" s="142"/>
      <c r="G579" s="142"/>
      <c r="H579" s="141"/>
      <c r="I579" s="1"/>
      <c r="J579" s="108" t="str">
        <f>IF(B579="","NSHIP","SHIP")</f>
        <v>SHIP</v>
      </c>
      <c r="K579" s="99">
        <f>IF($J579="NSHIP",0,-SUMIF($J$4:$J$8712,$C578,$D$4:$D$8712))</f>
        <v>-17</v>
      </c>
      <c r="L579" s="50">
        <f>IF($J579="NSHIP",0,-SUMIF($J$4:$J$8710,$C578,$F$4:$F$8710))</f>
        <v>-1686</v>
      </c>
      <c r="M579" s="50">
        <f>IF($J579="NSHIP",0,-SUMIF($J$4:$J$8710,$C578,$G$4:$G$8710))</f>
        <v>-510.9090909</v>
      </c>
      <c r="P579" s="68"/>
    </row>
    <row r="580">
      <c r="A580" s="96">
        <v>1.94835564254E11</v>
      </c>
      <c r="B580" s="131" t="s">
        <v>851</v>
      </c>
      <c r="C580" s="100" t="s">
        <v>97</v>
      </c>
      <c r="D580" s="100">
        <v>1.0</v>
      </c>
      <c r="E580" s="119">
        <v>269.0</v>
      </c>
      <c r="F580" s="118">
        <f t="shared" ref="F580:F593" si="78">E580*D580</f>
        <v>269</v>
      </c>
      <c r="G580" s="118">
        <f t="shared" ref="G580:G593" si="79">F580/3.3</f>
        <v>81.51515152</v>
      </c>
      <c r="H580" s="100" t="s">
        <v>828</v>
      </c>
      <c r="I580" s="1"/>
      <c r="J580" s="104" t="s">
        <v>852</v>
      </c>
      <c r="K580" s="133"/>
      <c r="L580" s="105"/>
      <c r="M580" s="105"/>
      <c r="N580" s="1"/>
      <c r="O580" s="1"/>
      <c r="P580" s="68"/>
    </row>
    <row r="581">
      <c r="A581" s="100">
        <v>7.26895438185E11</v>
      </c>
      <c r="B581" s="131" t="s">
        <v>853</v>
      </c>
      <c r="C581" s="100" t="s">
        <v>97</v>
      </c>
      <c r="D581" s="100">
        <v>1.0</v>
      </c>
      <c r="E581" s="119">
        <v>59.5</v>
      </c>
      <c r="F581" s="118">
        <f t="shared" si="78"/>
        <v>59.5</v>
      </c>
      <c r="G581" s="118">
        <f t="shared" si="79"/>
        <v>18.03030303</v>
      </c>
      <c r="H581" s="132" t="s">
        <v>776</v>
      </c>
      <c r="I581" s="1"/>
      <c r="J581" s="104" t="s">
        <v>852</v>
      </c>
      <c r="K581" s="133"/>
      <c r="L581" s="105"/>
      <c r="M581" s="105"/>
      <c r="N581" s="1"/>
      <c r="O581" s="1"/>
      <c r="P581" s="68"/>
    </row>
    <row r="582">
      <c r="A582" s="100">
        <v>7.26895814132E11</v>
      </c>
      <c r="B582" s="131" t="s">
        <v>854</v>
      </c>
      <c r="C582" s="100" t="s">
        <v>97</v>
      </c>
      <c r="D582" s="100">
        <v>1.0</v>
      </c>
      <c r="E582" s="119">
        <v>49.5</v>
      </c>
      <c r="F582" s="118">
        <f t="shared" si="78"/>
        <v>49.5</v>
      </c>
      <c r="G582" s="118">
        <f t="shared" si="79"/>
        <v>15</v>
      </c>
      <c r="H582" s="132" t="s">
        <v>776</v>
      </c>
      <c r="I582" s="1"/>
      <c r="J582" s="104" t="s">
        <v>852</v>
      </c>
      <c r="K582" s="133"/>
      <c r="L582" s="105"/>
      <c r="M582" s="105"/>
      <c r="N582" s="1"/>
      <c r="O582" s="1"/>
      <c r="P582" s="68"/>
    </row>
    <row r="583">
      <c r="A583" s="100">
        <v>7.3299536037E11</v>
      </c>
      <c r="B583" s="131" t="s">
        <v>855</v>
      </c>
      <c r="C583" s="100" t="s">
        <v>97</v>
      </c>
      <c r="D583" s="100">
        <v>1.0</v>
      </c>
      <c r="E583" s="119">
        <v>59.5</v>
      </c>
      <c r="F583" s="118">
        <f t="shared" si="78"/>
        <v>59.5</v>
      </c>
      <c r="G583" s="118">
        <f t="shared" si="79"/>
        <v>18.03030303</v>
      </c>
      <c r="H583" s="132" t="s">
        <v>856</v>
      </c>
      <c r="I583" s="1"/>
      <c r="J583" s="104" t="s">
        <v>852</v>
      </c>
      <c r="K583" s="133"/>
      <c r="L583" s="105"/>
      <c r="M583" s="105"/>
      <c r="N583" s="1"/>
      <c r="O583" s="1"/>
      <c r="P583" s="68"/>
    </row>
    <row r="584">
      <c r="A584" s="100">
        <v>7.32996532769E11</v>
      </c>
      <c r="B584" s="186" t="s">
        <v>857</v>
      </c>
      <c r="C584" s="100" t="s">
        <v>97</v>
      </c>
      <c r="D584" s="100">
        <v>1.0</v>
      </c>
      <c r="E584" s="119">
        <v>79.5</v>
      </c>
      <c r="F584" s="118">
        <f t="shared" si="78"/>
        <v>79.5</v>
      </c>
      <c r="G584" s="118">
        <f t="shared" si="79"/>
        <v>24.09090909</v>
      </c>
      <c r="H584" s="132" t="s">
        <v>858</v>
      </c>
      <c r="I584" s="1"/>
      <c r="J584" s="104" t="s">
        <v>852</v>
      </c>
      <c r="K584" s="133"/>
      <c r="L584" s="105"/>
      <c r="M584" s="105"/>
      <c r="N584" s="1"/>
      <c r="O584" s="1"/>
      <c r="P584" s="68"/>
    </row>
    <row r="585">
      <c r="A585" s="100">
        <v>7.32996859675E11</v>
      </c>
      <c r="B585" s="186" t="s">
        <v>859</v>
      </c>
      <c r="C585" s="100" t="s">
        <v>97</v>
      </c>
      <c r="D585" s="100">
        <v>1.0</v>
      </c>
      <c r="E585" s="119">
        <v>89.5</v>
      </c>
      <c r="F585" s="118">
        <f t="shared" si="78"/>
        <v>89.5</v>
      </c>
      <c r="G585" s="118">
        <f t="shared" si="79"/>
        <v>27.12121212</v>
      </c>
      <c r="H585" s="100" t="s">
        <v>193</v>
      </c>
      <c r="I585" s="1"/>
      <c r="J585" s="104" t="s">
        <v>852</v>
      </c>
      <c r="K585" s="133"/>
      <c r="L585" s="105"/>
      <c r="M585" s="105"/>
      <c r="N585" s="1"/>
      <c r="O585" s="1"/>
      <c r="P585" s="68"/>
    </row>
    <row r="586">
      <c r="A586" s="100">
        <v>7.32997428542E11</v>
      </c>
      <c r="B586" s="186" t="s">
        <v>860</v>
      </c>
      <c r="C586" s="100" t="s">
        <v>97</v>
      </c>
      <c r="D586" s="100">
        <v>1.0</v>
      </c>
      <c r="E586" s="119">
        <v>139.5</v>
      </c>
      <c r="F586" s="118">
        <f t="shared" si="78"/>
        <v>139.5</v>
      </c>
      <c r="G586" s="118">
        <f t="shared" si="79"/>
        <v>42.27272727</v>
      </c>
      <c r="H586" s="132" t="s">
        <v>839</v>
      </c>
      <c r="I586" s="1"/>
      <c r="J586" s="104" t="s">
        <v>852</v>
      </c>
      <c r="K586" s="133"/>
      <c r="L586" s="105"/>
      <c r="M586" s="105"/>
      <c r="N586" s="1"/>
      <c r="O586" s="1"/>
      <c r="P586" s="68"/>
    </row>
    <row r="587">
      <c r="A587" s="100">
        <v>7.68363511648E11</v>
      </c>
      <c r="B587" s="131" t="s">
        <v>806</v>
      </c>
      <c r="C587" s="100" t="s">
        <v>97</v>
      </c>
      <c r="D587" s="100">
        <v>1.0</v>
      </c>
      <c r="E587" s="119">
        <v>89.0</v>
      </c>
      <c r="F587" s="118">
        <f t="shared" si="78"/>
        <v>89</v>
      </c>
      <c r="G587" s="118">
        <f t="shared" si="79"/>
        <v>26.96969697</v>
      </c>
      <c r="H587" s="132" t="s">
        <v>783</v>
      </c>
      <c r="I587" s="1"/>
      <c r="J587" s="104" t="s">
        <v>852</v>
      </c>
      <c r="K587" s="133"/>
      <c r="L587" s="105"/>
      <c r="M587" s="105"/>
      <c r="N587" s="1"/>
      <c r="O587" s="1"/>
      <c r="P587" s="68"/>
    </row>
    <row r="588">
      <c r="A588" s="100">
        <v>7.68363517749E11</v>
      </c>
      <c r="B588" s="131" t="s">
        <v>807</v>
      </c>
      <c r="C588" s="100" t="s">
        <v>97</v>
      </c>
      <c r="D588" s="100">
        <v>1.0</v>
      </c>
      <c r="E588" s="119">
        <v>99.0</v>
      </c>
      <c r="F588" s="118">
        <f t="shared" si="78"/>
        <v>99</v>
      </c>
      <c r="G588" s="118">
        <f t="shared" si="79"/>
        <v>30</v>
      </c>
      <c r="H588" s="132" t="s">
        <v>783</v>
      </c>
      <c r="I588" s="1"/>
      <c r="J588" s="104" t="s">
        <v>852</v>
      </c>
      <c r="K588" s="133"/>
      <c r="L588" s="105"/>
      <c r="M588" s="105"/>
      <c r="N588" s="1"/>
      <c r="O588" s="1"/>
      <c r="P588" s="68"/>
    </row>
    <row r="589">
      <c r="A589" s="100">
        <v>7.68363517756E11</v>
      </c>
      <c r="B589" s="131" t="s">
        <v>808</v>
      </c>
      <c r="C589" s="100" t="s">
        <v>97</v>
      </c>
      <c r="D589" s="100">
        <v>1.0</v>
      </c>
      <c r="E589" s="119">
        <v>99.0</v>
      </c>
      <c r="F589" s="118">
        <f t="shared" si="78"/>
        <v>99</v>
      </c>
      <c r="G589" s="118">
        <f t="shared" si="79"/>
        <v>30</v>
      </c>
      <c r="H589" s="132" t="s">
        <v>783</v>
      </c>
      <c r="I589" s="1"/>
      <c r="J589" s="104" t="s">
        <v>852</v>
      </c>
      <c r="K589" s="133"/>
      <c r="L589" s="105"/>
      <c r="M589" s="105"/>
      <c r="N589" s="1"/>
      <c r="O589" s="1"/>
      <c r="P589" s="68"/>
    </row>
    <row r="590">
      <c r="A590" s="100">
        <v>7.68363517855E11</v>
      </c>
      <c r="B590" s="186" t="s">
        <v>861</v>
      </c>
      <c r="C590" s="100" t="s">
        <v>97</v>
      </c>
      <c r="D590" s="100">
        <v>1.0</v>
      </c>
      <c r="E590" s="119">
        <v>99.0</v>
      </c>
      <c r="F590" s="118">
        <f t="shared" si="78"/>
        <v>99</v>
      </c>
      <c r="G590" s="118">
        <f t="shared" si="79"/>
        <v>30</v>
      </c>
      <c r="H590" s="132" t="s">
        <v>783</v>
      </c>
      <c r="I590" s="1"/>
      <c r="J590" s="104" t="s">
        <v>852</v>
      </c>
      <c r="K590" s="133"/>
      <c r="L590" s="105"/>
      <c r="M590" s="105"/>
      <c r="N590" s="1"/>
      <c r="O590" s="1"/>
      <c r="P590" s="68"/>
    </row>
    <row r="591">
      <c r="A591" s="100">
        <v>7.68363517879E11</v>
      </c>
      <c r="B591" s="131" t="s">
        <v>862</v>
      </c>
      <c r="C591" s="100" t="s">
        <v>97</v>
      </c>
      <c r="D591" s="100">
        <v>1.0</v>
      </c>
      <c r="E591" s="119">
        <v>99.0</v>
      </c>
      <c r="F591" s="118">
        <f t="shared" si="78"/>
        <v>99</v>
      </c>
      <c r="G591" s="118">
        <f t="shared" si="79"/>
        <v>30</v>
      </c>
      <c r="H591" s="132" t="s">
        <v>783</v>
      </c>
      <c r="I591" s="1"/>
      <c r="J591" s="104" t="s">
        <v>852</v>
      </c>
      <c r="K591" s="133"/>
      <c r="L591" s="105"/>
      <c r="M591" s="105"/>
      <c r="N591" s="1"/>
      <c r="O591" s="1"/>
      <c r="P591" s="68"/>
    </row>
    <row r="592">
      <c r="A592" s="100">
        <v>7.68363517886E11</v>
      </c>
      <c r="B592" s="131" t="s">
        <v>863</v>
      </c>
      <c r="C592" s="100" t="s">
        <v>97</v>
      </c>
      <c r="D592" s="100">
        <v>1.0</v>
      </c>
      <c r="E592" s="119">
        <v>99.0</v>
      </c>
      <c r="F592" s="118">
        <f t="shared" si="78"/>
        <v>99</v>
      </c>
      <c r="G592" s="118">
        <f t="shared" si="79"/>
        <v>30</v>
      </c>
      <c r="H592" s="132" t="s">
        <v>783</v>
      </c>
      <c r="I592" s="1"/>
      <c r="J592" s="104" t="s">
        <v>852</v>
      </c>
      <c r="K592" s="133"/>
      <c r="L592" s="105"/>
      <c r="M592" s="105"/>
      <c r="N592" s="1"/>
      <c r="O592" s="1"/>
      <c r="P592" s="68"/>
    </row>
    <row r="593">
      <c r="A593" s="100">
        <v>8.85481661021E11</v>
      </c>
      <c r="B593" s="186" t="s">
        <v>864</v>
      </c>
      <c r="C593" s="100" t="s">
        <v>97</v>
      </c>
      <c r="D593" s="100">
        <v>1.0</v>
      </c>
      <c r="E593" s="119">
        <v>79.0</v>
      </c>
      <c r="F593" s="118">
        <f t="shared" si="78"/>
        <v>79</v>
      </c>
      <c r="G593" s="118">
        <f t="shared" si="79"/>
        <v>23.93939394</v>
      </c>
      <c r="H593" s="132" t="s">
        <v>785</v>
      </c>
      <c r="I593" s="1"/>
      <c r="J593" s="104" t="s">
        <v>852</v>
      </c>
      <c r="K593" s="133"/>
      <c r="L593" s="105"/>
      <c r="M593" s="105"/>
      <c r="N593" s="1"/>
      <c r="O593" s="1"/>
      <c r="P593" s="68"/>
    </row>
    <row r="594">
      <c r="A594" s="135" t="s">
        <v>865</v>
      </c>
      <c r="B594" s="103" t="s">
        <v>866</v>
      </c>
      <c r="C594" s="100"/>
      <c r="D594" s="100"/>
      <c r="E594" s="119"/>
      <c r="F594" s="118"/>
      <c r="G594" s="118"/>
      <c r="H594" s="100"/>
      <c r="I594" s="1"/>
      <c r="J594" s="104"/>
      <c r="K594" s="133"/>
      <c r="L594" s="105"/>
      <c r="M594" s="105"/>
      <c r="N594" s="1"/>
      <c r="O594" s="1"/>
      <c r="P594" s="68"/>
    </row>
    <row r="595">
      <c r="A595" s="134">
        <v>7.329978591E11</v>
      </c>
      <c r="B595" s="186" t="s">
        <v>867</v>
      </c>
      <c r="C595" s="100" t="s">
        <v>97</v>
      </c>
      <c r="D595" s="100">
        <v>1.0</v>
      </c>
      <c r="E595" s="119">
        <v>99.5</v>
      </c>
      <c r="F595" s="118">
        <f>E595*D595</f>
        <v>99.5</v>
      </c>
      <c r="G595" s="118">
        <f>F595/3.3</f>
        <v>30.15151515</v>
      </c>
      <c r="H595" s="132" t="s">
        <v>856</v>
      </c>
      <c r="I595" s="1"/>
      <c r="J595" s="104" t="s">
        <v>852</v>
      </c>
      <c r="K595" s="133"/>
      <c r="L595" s="105"/>
      <c r="M595" s="105"/>
      <c r="N595" s="1"/>
      <c r="O595" s="1"/>
      <c r="P595" s="68"/>
    </row>
    <row r="596">
      <c r="A596" s="135" t="s">
        <v>868</v>
      </c>
      <c r="B596" s="103" t="s">
        <v>869</v>
      </c>
      <c r="C596" s="100"/>
      <c r="D596" s="100"/>
      <c r="E596" s="119"/>
      <c r="F596" s="118"/>
      <c r="G596" s="118"/>
      <c r="H596" s="100"/>
      <c r="I596" s="1"/>
      <c r="J596" s="104"/>
      <c r="K596" s="133"/>
      <c r="L596" s="105"/>
      <c r="M596" s="105"/>
      <c r="N596" s="1"/>
      <c r="O596" s="1"/>
      <c r="P596" s="68"/>
    </row>
    <row r="597">
      <c r="A597" s="112" t="s">
        <v>153</v>
      </c>
      <c r="B597" s="112" t="s">
        <v>870</v>
      </c>
      <c r="C597" s="112" t="str">
        <f>MID($B597,6,7)</f>
        <v>GR18248</v>
      </c>
      <c r="D597" s="112"/>
      <c r="E597" s="138"/>
      <c r="F597" s="124"/>
      <c r="G597" s="124"/>
      <c r="H597" s="127">
        <v>44557.0</v>
      </c>
      <c r="I597" s="1"/>
      <c r="J597" s="104" t="str">
        <f>IF(LEFT(B597,3)="Box","BOX","COUNT")</f>
        <v>BOX</v>
      </c>
      <c r="K597" s="139">
        <f>SUMIF($J$4:$J$8671,$C597,$D$4:$D$8671)</f>
        <v>15</v>
      </c>
      <c r="L597" s="32">
        <f>SUMIF($J$4:$J$8671,$C597,$F$4:$F$8671)</f>
        <v>1508.5</v>
      </c>
      <c r="M597" s="32">
        <f>SUMIF($J$4:$J$8671,$C597,$G$4:$G$8671)</f>
        <v>457.1212121</v>
      </c>
      <c r="N597" s="1" t="str">
        <f>C597</f>
        <v>GR18248</v>
      </c>
      <c r="O597" s="1" t="str">
        <f>J598</f>
        <v>SHIP</v>
      </c>
      <c r="P597" s="68">
        <f>M597</f>
        <v>457.1212121</v>
      </c>
      <c r="Q597" s="114">
        <v>44490.0</v>
      </c>
      <c r="R597" s="37" t="s">
        <v>767</v>
      </c>
      <c r="S597" s="37" t="s">
        <v>768</v>
      </c>
    </row>
    <row r="598">
      <c r="A598" s="150"/>
      <c r="B598" s="140" t="s">
        <v>871</v>
      </c>
      <c r="C598" s="141"/>
      <c r="D598" s="141"/>
      <c r="E598" s="142"/>
      <c r="F598" s="142"/>
      <c r="G598" s="142"/>
      <c r="H598" s="141"/>
      <c r="I598" s="1"/>
      <c r="J598" s="104" t="str">
        <f>IF(B598="","NSHIP","SHIP")</f>
        <v>SHIP</v>
      </c>
      <c r="K598" s="139">
        <f>IF($J598="NSHIP",0,-SUMIF($J$4:$J$8671,$C597,$D$4:$D$8671))</f>
        <v>-15</v>
      </c>
      <c r="L598" s="32">
        <f>IF($J598="NSHIP",0,-SUMIF($J$4:$J$8669,$C597,$F$4:$F$8669))</f>
        <v>-1508.5</v>
      </c>
      <c r="M598" s="32">
        <f>IF($J598="NSHIP",0,-SUMIF($J$4:$J$8669,$C597,$G$4:$G$8669))</f>
        <v>-457.1212121</v>
      </c>
      <c r="N598" s="1"/>
      <c r="O598" s="1"/>
      <c r="P598" s="68"/>
    </row>
    <row r="599">
      <c r="A599" s="100">
        <v>1.90047566994E11</v>
      </c>
      <c r="B599" s="131" t="s">
        <v>872</v>
      </c>
      <c r="C599" s="100" t="s">
        <v>97</v>
      </c>
      <c r="D599" s="100">
        <v>1.0</v>
      </c>
      <c r="E599" s="119">
        <v>59.0</v>
      </c>
      <c r="F599" s="118">
        <f t="shared" ref="F599:F614" si="80">E599*D599</f>
        <v>59</v>
      </c>
      <c r="G599" s="118">
        <f t="shared" ref="G599:G614" si="81">F599/3.3</f>
        <v>17.87878788</v>
      </c>
      <c r="H599" s="100" t="s">
        <v>873</v>
      </c>
      <c r="I599" s="1"/>
      <c r="J599" s="120" t="s">
        <v>874</v>
      </c>
      <c r="K599" s="99"/>
      <c r="L599" s="50"/>
      <c r="M599" s="50"/>
      <c r="P599" s="68"/>
    </row>
    <row r="600">
      <c r="A600" s="100">
        <v>1.90748500488E11</v>
      </c>
      <c r="B600" s="131" t="s">
        <v>875</v>
      </c>
      <c r="C600" s="100" t="s">
        <v>97</v>
      </c>
      <c r="D600" s="100">
        <v>1.0</v>
      </c>
      <c r="E600" s="119">
        <v>69.0</v>
      </c>
      <c r="F600" s="118">
        <f t="shared" si="80"/>
        <v>69</v>
      </c>
      <c r="G600" s="118">
        <f t="shared" si="81"/>
        <v>20.90909091</v>
      </c>
      <c r="H600" s="100" t="s">
        <v>876</v>
      </c>
      <c r="I600" s="1"/>
      <c r="J600" s="120" t="s">
        <v>874</v>
      </c>
      <c r="K600" s="99"/>
      <c r="L600" s="50"/>
      <c r="M600" s="50"/>
      <c r="P600" s="68"/>
    </row>
    <row r="601">
      <c r="A601" s="100">
        <v>1.90937735851E11</v>
      </c>
      <c r="B601" s="131" t="s">
        <v>877</v>
      </c>
      <c r="C601" s="100" t="s">
        <v>97</v>
      </c>
      <c r="D601" s="100">
        <v>1.0</v>
      </c>
      <c r="E601" s="119">
        <v>99.0</v>
      </c>
      <c r="F601" s="118">
        <f t="shared" si="80"/>
        <v>99</v>
      </c>
      <c r="G601" s="118">
        <f t="shared" si="81"/>
        <v>30</v>
      </c>
      <c r="H601" s="100" t="s">
        <v>774</v>
      </c>
      <c r="I601" s="1"/>
      <c r="J601" s="120" t="s">
        <v>874</v>
      </c>
      <c r="K601" s="99"/>
      <c r="L601" s="50"/>
      <c r="M601" s="50"/>
      <c r="P601" s="68"/>
    </row>
    <row r="602">
      <c r="A602" s="100">
        <v>1.91609231503E11</v>
      </c>
      <c r="B602" s="131" t="s">
        <v>878</v>
      </c>
      <c r="C602" s="100" t="s">
        <v>97</v>
      </c>
      <c r="D602" s="100">
        <v>1.0</v>
      </c>
      <c r="E602" s="119">
        <v>69.0</v>
      </c>
      <c r="F602" s="118">
        <f t="shared" si="80"/>
        <v>69</v>
      </c>
      <c r="G602" s="118">
        <f t="shared" si="81"/>
        <v>20.90909091</v>
      </c>
      <c r="H602" s="100" t="s">
        <v>879</v>
      </c>
      <c r="I602" s="1"/>
      <c r="J602" s="120" t="s">
        <v>874</v>
      </c>
      <c r="K602" s="99"/>
      <c r="L602" s="50"/>
      <c r="M602" s="50"/>
      <c r="P602" s="68"/>
    </row>
    <row r="603">
      <c r="A603" s="100">
        <v>1.93408659878E11</v>
      </c>
      <c r="B603" s="131" t="s">
        <v>880</v>
      </c>
      <c r="C603" s="100" t="s">
        <v>97</v>
      </c>
      <c r="D603" s="100">
        <v>1.0</v>
      </c>
      <c r="E603" s="119">
        <v>99.0</v>
      </c>
      <c r="F603" s="118">
        <f t="shared" si="80"/>
        <v>99</v>
      </c>
      <c r="G603" s="118">
        <f t="shared" si="81"/>
        <v>30</v>
      </c>
      <c r="H603" s="100" t="s">
        <v>881</v>
      </c>
      <c r="I603" s="1"/>
      <c r="J603" s="120" t="s">
        <v>874</v>
      </c>
      <c r="K603" s="99"/>
      <c r="L603" s="50"/>
      <c r="M603" s="50"/>
      <c r="P603" s="68"/>
    </row>
    <row r="604">
      <c r="A604" s="100">
        <v>1.94072038532E11</v>
      </c>
      <c r="B604" s="131" t="s">
        <v>882</v>
      </c>
      <c r="C604" s="100" t="s">
        <v>97</v>
      </c>
      <c r="D604" s="100">
        <v>1.0</v>
      </c>
      <c r="E604" s="119">
        <v>89.0</v>
      </c>
      <c r="F604" s="118">
        <f t="shared" si="80"/>
        <v>89</v>
      </c>
      <c r="G604" s="118">
        <f t="shared" si="81"/>
        <v>26.96969697</v>
      </c>
      <c r="H604" s="100" t="s">
        <v>883</v>
      </c>
      <c r="I604" s="1"/>
      <c r="J604" s="120" t="s">
        <v>874</v>
      </c>
      <c r="K604" s="99"/>
      <c r="L604" s="50"/>
      <c r="M604" s="50"/>
      <c r="P604" s="68"/>
    </row>
    <row r="605">
      <c r="A605" s="100">
        <v>6.08356121228E11</v>
      </c>
      <c r="B605" s="131" t="s">
        <v>884</v>
      </c>
      <c r="C605" s="100" t="s">
        <v>97</v>
      </c>
      <c r="D605" s="100">
        <v>1.0</v>
      </c>
      <c r="E605" s="119">
        <v>79.5</v>
      </c>
      <c r="F605" s="118">
        <f t="shared" si="80"/>
        <v>79.5</v>
      </c>
      <c r="G605" s="118">
        <f t="shared" si="81"/>
        <v>24.09090909</v>
      </c>
      <c r="H605" s="100" t="s">
        <v>885</v>
      </c>
      <c r="I605" s="1"/>
      <c r="J605" s="120" t="s">
        <v>874</v>
      </c>
      <c r="K605" s="99"/>
      <c r="L605" s="50"/>
      <c r="M605" s="50"/>
      <c r="P605" s="68"/>
    </row>
    <row r="606">
      <c r="A606" s="100">
        <v>6.08381153355E11</v>
      </c>
      <c r="B606" s="131" t="s">
        <v>886</v>
      </c>
      <c r="C606" s="100" t="s">
        <v>97</v>
      </c>
      <c r="D606" s="100">
        <v>1.0</v>
      </c>
      <c r="E606" s="119">
        <v>55.5</v>
      </c>
      <c r="F606" s="118">
        <f t="shared" si="80"/>
        <v>55.5</v>
      </c>
      <c r="G606" s="118">
        <f t="shared" si="81"/>
        <v>16.81818182</v>
      </c>
      <c r="H606" s="100" t="s">
        <v>887</v>
      </c>
      <c r="I606" s="1"/>
      <c r="J606" s="120" t="s">
        <v>874</v>
      </c>
      <c r="K606" s="99"/>
      <c r="L606" s="50"/>
      <c r="M606" s="50"/>
      <c r="P606" s="68"/>
    </row>
    <row r="607">
      <c r="A607" s="100">
        <v>6.08381160216E11</v>
      </c>
      <c r="B607" s="131" t="s">
        <v>888</v>
      </c>
      <c r="C607" s="100" t="s">
        <v>97</v>
      </c>
      <c r="D607" s="100">
        <v>1.0</v>
      </c>
      <c r="E607" s="119">
        <v>55.5</v>
      </c>
      <c r="F607" s="118">
        <f t="shared" si="80"/>
        <v>55.5</v>
      </c>
      <c r="G607" s="118">
        <f t="shared" si="81"/>
        <v>16.81818182</v>
      </c>
      <c r="H607" s="100" t="s">
        <v>887</v>
      </c>
      <c r="I607" s="1"/>
      <c r="J607" s="120" t="s">
        <v>874</v>
      </c>
      <c r="K607" s="99"/>
      <c r="L607" s="50"/>
      <c r="M607" s="50"/>
      <c r="P607" s="68"/>
    </row>
    <row r="608">
      <c r="A608" s="100">
        <v>6.36189224458E11</v>
      </c>
      <c r="B608" s="131" t="s">
        <v>889</v>
      </c>
      <c r="C608" s="100" t="s">
        <v>97</v>
      </c>
      <c r="D608" s="100">
        <v>1.0</v>
      </c>
      <c r="E608" s="119">
        <v>69.5</v>
      </c>
      <c r="F608" s="118">
        <f t="shared" si="80"/>
        <v>69.5</v>
      </c>
      <c r="G608" s="118">
        <f t="shared" si="81"/>
        <v>21.06060606</v>
      </c>
      <c r="H608" s="100" t="s">
        <v>193</v>
      </c>
      <c r="I608" s="1"/>
      <c r="J608" s="120" t="s">
        <v>874</v>
      </c>
      <c r="K608" s="99"/>
      <c r="L608" s="50"/>
      <c r="M608" s="50"/>
      <c r="P608" s="68"/>
    </row>
    <row r="609">
      <c r="A609" s="100">
        <v>6.36193874847E11</v>
      </c>
      <c r="B609" s="131" t="s">
        <v>890</v>
      </c>
      <c r="C609" s="100" t="s">
        <v>97</v>
      </c>
      <c r="D609" s="100">
        <v>1.0</v>
      </c>
      <c r="E609" s="119">
        <v>99.5</v>
      </c>
      <c r="F609" s="118">
        <f t="shared" si="80"/>
        <v>99.5</v>
      </c>
      <c r="G609" s="118">
        <f t="shared" si="81"/>
        <v>30.15151515</v>
      </c>
      <c r="H609" s="100" t="s">
        <v>400</v>
      </c>
      <c r="I609" s="1"/>
      <c r="J609" s="120" t="s">
        <v>874</v>
      </c>
      <c r="K609" s="99"/>
      <c r="L609" s="50"/>
      <c r="M609" s="50"/>
      <c r="P609" s="68"/>
    </row>
    <row r="610">
      <c r="A610" s="100">
        <v>7.32994520652E11</v>
      </c>
      <c r="B610" s="131" t="s">
        <v>891</v>
      </c>
      <c r="C610" s="100" t="s">
        <v>97</v>
      </c>
      <c r="D610" s="100">
        <v>1.0</v>
      </c>
      <c r="E610" s="119">
        <v>59.5</v>
      </c>
      <c r="F610" s="118">
        <f t="shared" si="80"/>
        <v>59.5</v>
      </c>
      <c r="G610" s="118">
        <f t="shared" si="81"/>
        <v>18.03030303</v>
      </c>
      <c r="H610" s="100" t="s">
        <v>892</v>
      </c>
      <c r="I610" s="1"/>
      <c r="J610" s="120" t="s">
        <v>874</v>
      </c>
      <c r="K610" s="99"/>
      <c r="L610" s="50"/>
      <c r="M610" s="50"/>
      <c r="P610" s="68"/>
    </row>
    <row r="611">
      <c r="A611" s="100">
        <v>7.32997429426E11</v>
      </c>
      <c r="B611" s="131" t="s">
        <v>893</v>
      </c>
      <c r="C611" s="100" t="s">
        <v>97</v>
      </c>
      <c r="D611" s="100">
        <v>1.0</v>
      </c>
      <c r="E611" s="119">
        <v>79.5</v>
      </c>
      <c r="F611" s="118">
        <f t="shared" si="80"/>
        <v>79.5</v>
      </c>
      <c r="G611" s="118">
        <f t="shared" si="81"/>
        <v>24.09090909</v>
      </c>
      <c r="H611" s="100" t="s">
        <v>839</v>
      </c>
      <c r="I611" s="1"/>
      <c r="J611" s="120" t="s">
        <v>874</v>
      </c>
      <c r="K611" s="99"/>
      <c r="L611" s="50"/>
      <c r="M611" s="50"/>
      <c r="P611" s="68"/>
    </row>
    <row r="612">
      <c r="A612" s="100">
        <v>8.25443091862E11</v>
      </c>
      <c r="B612" s="131" t="s">
        <v>894</v>
      </c>
      <c r="C612" s="100" t="s">
        <v>97</v>
      </c>
      <c r="D612" s="100">
        <v>1.0</v>
      </c>
      <c r="E612" s="119">
        <v>59.0</v>
      </c>
      <c r="F612" s="118">
        <f t="shared" si="80"/>
        <v>59</v>
      </c>
      <c r="G612" s="118">
        <f t="shared" si="81"/>
        <v>17.87878788</v>
      </c>
      <c r="H612" s="100" t="s">
        <v>883</v>
      </c>
      <c r="I612" s="1"/>
      <c r="J612" s="120" t="s">
        <v>874</v>
      </c>
      <c r="K612" s="99"/>
      <c r="L612" s="50"/>
      <c r="M612" s="50"/>
      <c r="P612" s="68"/>
    </row>
    <row r="613">
      <c r="A613" s="100">
        <v>8.86063508185E11</v>
      </c>
      <c r="B613" s="131" t="s">
        <v>895</v>
      </c>
      <c r="C613" s="100" t="s">
        <v>97</v>
      </c>
      <c r="D613" s="100">
        <v>1.0</v>
      </c>
      <c r="E613" s="119">
        <v>129.0</v>
      </c>
      <c r="F613" s="118">
        <f t="shared" si="80"/>
        <v>129</v>
      </c>
      <c r="G613" s="118">
        <f t="shared" si="81"/>
        <v>39.09090909</v>
      </c>
      <c r="H613" s="100" t="s">
        <v>896</v>
      </c>
      <c r="I613" s="1"/>
      <c r="J613" s="120" t="s">
        <v>874</v>
      </c>
      <c r="K613" s="99"/>
      <c r="L613" s="50"/>
      <c r="M613" s="50"/>
      <c r="P613" s="68"/>
    </row>
    <row r="614">
      <c r="A614" s="100">
        <v>8.86063508215E11</v>
      </c>
      <c r="B614" s="131" t="s">
        <v>897</v>
      </c>
      <c r="C614" s="100" t="s">
        <v>97</v>
      </c>
      <c r="D614" s="100">
        <v>1.0</v>
      </c>
      <c r="E614" s="119">
        <v>129.0</v>
      </c>
      <c r="F614" s="118">
        <f t="shared" si="80"/>
        <v>129</v>
      </c>
      <c r="G614" s="118">
        <f t="shared" si="81"/>
        <v>39.09090909</v>
      </c>
      <c r="H614" s="100" t="s">
        <v>896</v>
      </c>
      <c r="I614" s="1"/>
      <c r="J614" s="120" t="s">
        <v>874</v>
      </c>
      <c r="K614" s="99"/>
      <c r="L614" s="50"/>
      <c r="M614" s="50"/>
      <c r="P614" s="68"/>
    </row>
    <row r="615">
      <c r="A615" s="144" t="s">
        <v>898</v>
      </c>
      <c r="B615" s="145" t="s">
        <v>899</v>
      </c>
      <c r="C615" s="146"/>
      <c r="D615" s="146"/>
      <c r="E615" s="147"/>
      <c r="F615" s="177"/>
      <c r="G615" s="177"/>
      <c r="H615" s="148"/>
      <c r="I615" s="1"/>
      <c r="J615" s="120"/>
      <c r="K615" s="99"/>
      <c r="L615" s="50"/>
      <c r="M615" s="50"/>
      <c r="P615" s="68"/>
    </row>
    <row r="616">
      <c r="A616" s="134">
        <v>7.27679223294E11</v>
      </c>
      <c r="B616" s="131" t="s">
        <v>900</v>
      </c>
      <c r="C616" s="100" t="s">
        <v>97</v>
      </c>
      <c r="D616" s="100">
        <v>1.0</v>
      </c>
      <c r="E616" s="119">
        <v>115.0</v>
      </c>
      <c r="F616" s="118">
        <f>E616*D616</f>
        <v>115</v>
      </c>
      <c r="G616" s="118">
        <f>F616/3.3</f>
        <v>34.84848485</v>
      </c>
      <c r="H616" s="143" t="s">
        <v>901</v>
      </c>
      <c r="I616" s="1"/>
      <c r="J616" s="120" t="s">
        <v>874</v>
      </c>
      <c r="K616" s="99"/>
      <c r="L616" s="50"/>
      <c r="M616" s="50"/>
      <c r="P616" s="68"/>
    </row>
    <row r="617">
      <c r="A617" s="144" t="s">
        <v>429</v>
      </c>
      <c r="B617" s="145" t="s">
        <v>902</v>
      </c>
      <c r="C617" s="100"/>
      <c r="D617" s="100"/>
      <c r="E617" s="119"/>
      <c r="F617" s="118"/>
      <c r="G617" s="118"/>
      <c r="H617" s="143"/>
      <c r="I617" s="1"/>
      <c r="J617" s="120"/>
      <c r="K617" s="99"/>
      <c r="L617" s="50"/>
      <c r="M617" s="50"/>
      <c r="P617" s="68"/>
    </row>
    <row r="618">
      <c r="A618" s="149">
        <v>1.91902682682E11</v>
      </c>
      <c r="B618" s="131" t="s">
        <v>903</v>
      </c>
      <c r="C618" s="100" t="s">
        <v>97</v>
      </c>
      <c r="D618" s="100">
        <v>1.0</v>
      </c>
      <c r="E618" s="119">
        <v>109.95</v>
      </c>
      <c r="F618" s="118">
        <f t="shared" ref="F618:F619" si="82">E618*D618</f>
        <v>109.95</v>
      </c>
      <c r="G618" s="118">
        <f t="shared" ref="G618:G619" si="83">F618/3.3</f>
        <v>33.31818182</v>
      </c>
      <c r="H618" s="143" t="s">
        <v>792</v>
      </c>
      <c r="I618" s="1" t="s">
        <v>149</v>
      </c>
      <c r="J618" s="120" t="s">
        <v>874</v>
      </c>
      <c r="K618" s="99"/>
      <c r="L618" s="50"/>
      <c r="M618" s="50"/>
      <c r="P618" s="68"/>
    </row>
    <row r="619">
      <c r="A619" s="149">
        <v>1.93569146132E11</v>
      </c>
      <c r="B619" s="131" t="s">
        <v>904</v>
      </c>
      <c r="C619" s="100" t="s">
        <v>97</v>
      </c>
      <c r="D619" s="100">
        <v>1.0</v>
      </c>
      <c r="E619" s="119">
        <v>49.0</v>
      </c>
      <c r="F619" s="118">
        <f t="shared" si="82"/>
        <v>49</v>
      </c>
      <c r="G619" s="118">
        <f t="shared" si="83"/>
        <v>14.84848485</v>
      </c>
      <c r="H619" s="143" t="s">
        <v>905</v>
      </c>
      <c r="I619" s="1" t="s">
        <v>149</v>
      </c>
      <c r="J619" s="120" t="s">
        <v>874</v>
      </c>
      <c r="K619" s="99"/>
      <c r="L619" s="50"/>
      <c r="M619" s="50"/>
      <c r="P619" s="68"/>
    </row>
    <row r="620">
      <c r="A620" s="112" t="s">
        <v>224</v>
      </c>
      <c r="B620" s="112" t="s">
        <v>906</v>
      </c>
      <c r="C620" s="112" t="str">
        <f>MID($B620,6,7)</f>
        <v>GR18249</v>
      </c>
      <c r="D620" s="112"/>
      <c r="E620" s="112"/>
      <c r="F620" s="112"/>
      <c r="G620" s="112"/>
      <c r="H620" s="127">
        <v>44557.0</v>
      </c>
      <c r="I620" s="1"/>
      <c r="J620" s="108" t="str">
        <f>IF(LEFT(B620,3)="Box","BOX","COUNT")</f>
        <v>BOX</v>
      </c>
      <c r="K620" s="99">
        <f>SUMIF($J$4:$J$8712,$C620,$D$4:$D$8712)</f>
        <v>19</v>
      </c>
      <c r="L620" s="50">
        <f>SUMIF($J$4:$J$8712,$C620,$F$4:$F$8712)</f>
        <v>1573.45</v>
      </c>
      <c r="M620" s="50">
        <f>SUMIF($J$4:$J$8712,$C620,$G$4:$G$8712)</f>
        <v>476.8030303</v>
      </c>
      <c r="N620" s="70" t="str">
        <f>C620</f>
        <v>GR18249</v>
      </c>
      <c r="O620" s="70" t="str">
        <f>J621</f>
        <v>SHIP</v>
      </c>
      <c r="P620" s="68">
        <f>M620</f>
        <v>476.8030303</v>
      </c>
      <c r="Q620" s="114">
        <v>44490.0</v>
      </c>
      <c r="R620" s="37" t="s">
        <v>767</v>
      </c>
      <c r="S620" s="37" t="s">
        <v>768</v>
      </c>
    </row>
    <row r="621">
      <c r="A621" s="150"/>
      <c r="B621" s="112" t="s">
        <v>907</v>
      </c>
      <c r="C621" s="141"/>
      <c r="D621" s="141"/>
      <c r="E621" s="142"/>
      <c r="F621" s="142"/>
      <c r="G621" s="142"/>
      <c r="H621" s="141"/>
      <c r="I621" s="1"/>
      <c r="J621" s="108" t="str">
        <f>IF(B621="","NSHIP","SHIP")</f>
        <v>SHIP</v>
      </c>
      <c r="K621" s="99">
        <f>IF($J621="NSHIP",0,-SUMIF($J$4:$J$8712,$C620,$D$4:$D$8712))</f>
        <v>-19</v>
      </c>
      <c r="L621" s="50">
        <f>IF($J621="NSHIP",0,-SUMIF($J$4:$J$8710,$C620,$F$4:$F$8710))</f>
        <v>-1573.45</v>
      </c>
      <c r="M621" s="50">
        <f>IF($J621="NSHIP",0,-SUMIF($J$4:$J$8710,$C620,$G$4:$G$8710))</f>
        <v>-476.8030303</v>
      </c>
      <c r="P621" s="68"/>
    </row>
    <row r="622">
      <c r="A622" s="109">
        <v>1.90748215559E11</v>
      </c>
      <c r="B622" s="151" t="s">
        <v>908</v>
      </c>
      <c r="C622" s="95" t="s">
        <v>97</v>
      </c>
      <c r="D622" s="95">
        <v>1.0</v>
      </c>
      <c r="E622" s="101">
        <v>69.0</v>
      </c>
      <c r="F622" s="97">
        <f t="shared" ref="F622:F637" si="84">E622*D622</f>
        <v>69</v>
      </c>
      <c r="G622" s="97">
        <f t="shared" ref="G622:G637" si="85">F622/3.3</f>
        <v>20.90909091</v>
      </c>
      <c r="H622" s="95" t="s">
        <v>876</v>
      </c>
      <c r="J622" s="120" t="s">
        <v>909</v>
      </c>
      <c r="K622" s="99"/>
      <c r="L622" s="50"/>
      <c r="M622" s="50"/>
      <c r="P622" s="68"/>
    </row>
    <row r="623">
      <c r="A623" s="109">
        <v>1.90748500488E11</v>
      </c>
      <c r="B623" s="151" t="s">
        <v>910</v>
      </c>
      <c r="C623" s="95" t="s">
        <v>97</v>
      </c>
      <c r="D623" s="95">
        <v>1.0</v>
      </c>
      <c r="E623" s="101">
        <v>69.0</v>
      </c>
      <c r="F623" s="97">
        <f t="shared" si="84"/>
        <v>69</v>
      </c>
      <c r="G623" s="97">
        <f t="shared" si="85"/>
        <v>20.90909091</v>
      </c>
      <c r="H623" s="95" t="s">
        <v>876</v>
      </c>
      <c r="J623" s="120" t="s">
        <v>909</v>
      </c>
      <c r="K623" s="99"/>
      <c r="L623" s="50"/>
      <c r="M623" s="50"/>
      <c r="P623" s="68"/>
    </row>
    <row r="624">
      <c r="A624" s="109">
        <v>1.90748667693E11</v>
      </c>
      <c r="B624" s="151" t="s">
        <v>911</v>
      </c>
      <c r="C624" s="95" t="s">
        <v>97</v>
      </c>
      <c r="D624" s="95">
        <v>1.0</v>
      </c>
      <c r="E624" s="101">
        <v>59.0</v>
      </c>
      <c r="F624" s="97">
        <f t="shared" si="84"/>
        <v>59</v>
      </c>
      <c r="G624" s="97">
        <f t="shared" si="85"/>
        <v>17.87878788</v>
      </c>
      <c r="H624" s="95" t="s">
        <v>912</v>
      </c>
      <c r="J624" s="120" t="s">
        <v>909</v>
      </c>
      <c r="K624" s="99"/>
      <c r="L624" s="50"/>
      <c r="M624" s="50"/>
      <c r="P624" s="68"/>
    </row>
    <row r="625">
      <c r="A625" s="109">
        <v>6.08381133968E11</v>
      </c>
      <c r="B625" s="151" t="s">
        <v>913</v>
      </c>
      <c r="C625" s="95" t="s">
        <v>97</v>
      </c>
      <c r="D625" s="95">
        <v>1.0</v>
      </c>
      <c r="E625" s="101">
        <v>55.5</v>
      </c>
      <c r="F625" s="97">
        <f t="shared" si="84"/>
        <v>55.5</v>
      </c>
      <c r="G625" s="97">
        <f t="shared" si="85"/>
        <v>16.81818182</v>
      </c>
      <c r="H625" s="95" t="s">
        <v>887</v>
      </c>
      <c r="J625" s="120" t="s">
        <v>909</v>
      </c>
      <c r="K625" s="99"/>
      <c r="L625" s="50"/>
      <c r="M625" s="50"/>
      <c r="P625" s="68"/>
    </row>
    <row r="626">
      <c r="A626" s="109">
        <v>6.08381161343E11</v>
      </c>
      <c r="B626" s="151" t="s">
        <v>914</v>
      </c>
      <c r="C626" s="95" t="s">
        <v>97</v>
      </c>
      <c r="D626" s="95">
        <v>1.0</v>
      </c>
      <c r="E626" s="101">
        <v>55.5</v>
      </c>
      <c r="F626" s="97">
        <f t="shared" si="84"/>
        <v>55.5</v>
      </c>
      <c r="G626" s="97">
        <f t="shared" si="85"/>
        <v>16.81818182</v>
      </c>
      <c r="H626" s="95" t="s">
        <v>887</v>
      </c>
      <c r="J626" s="120" t="s">
        <v>909</v>
      </c>
      <c r="K626" s="99"/>
      <c r="L626" s="50"/>
      <c r="M626" s="50"/>
      <c r="P626" s="68"/>
    </row>
    <row r="627">
      <c r="A627" s="109">
        <v>6.36189875445E11</v>
      </c>
      <c r="B627" s="151" t="s">
        <v>915</v>
      </c>
      <c r="C627" s="95" t="s">
        <v>97</v>
      </c>
      <c r="D627" s="95">
        <v>1.0</v>
      </c>
      <c r="E627" s="101">
        <v>69.5</v>
      </c>
      <c r="F627" s="97">
        <f t="shared" si="84"/>
        <v>69.5</v>
      </c>
      <c r="G627" s="97">
        <f t="shared" si="85"/>
        <v>21.06060606</v>
      </c>
      <c r="H627" s="95" t="s">
        <v>916</v>
      </c>
      <c r="J627" s="120" t="s">
        <v>909</v>
      </c>
      <c r="K627" s="99"/>
      <c r="L627" s="50"/>
      <c r="M627" s="50"/>
      <c r="P627" s="68"/>
    </row>
    <row r="628">
      <c r="A628" s="109">
        <v>6.3619387483E11</v>
      </c>
      <c r="B628" s="151" t="s">
        <v>917</v>
      </c>
      <c r="C628" s="95" t="s">
        <v>97</v>
      </c>
      <c r="D628" s="95">
        <v>1.0</v>
      </c>
      <c r="E628" s="101">
        <v>99.5</v>
      </c>
      <c r="F628" s="97">
        <f t="shared" si="84"/>
        <v>99.5</v>
      </c>
      <c r="G628" s="97">
        <f t="shared" si="85"/>
        <v>30.15151515</v>
      </c>
      <c r="H628" s="95" t="s">
        <v>400</v>
      </c>
      <c r="J628" s="120" t="s">
        <v>909</v>
      </c>
      <c r="K628" s="99"/>
      <c r="L628" s="50"/>
      <c r="M628" s="50"/>
      <c r="P628" s="68"/>
    </row>
    <row r="629">
      <c r="A629" s="109">
        <v>6.36193974875E11</v>
      </c>
      <c r="B629" s="151" t="s">
        <v>918</v>
      </c>
      <c r="C629" s="95" t="s">
        <v>97</v>
      </c>
      <c r="D629" s="95">
        <v>1.0</v>
      </c>
      <c r="E629" s="101">
        <v>129.5</v>
      </c>
      <c r="F629" s="97">
        <f t="shared" si="84"/>
        <v>129.5</v>
      </c>
      <c r="G629" s="97">
        <f t="shared" si="85"/>
        <v>39.24242424</v>
      </c>
      <c r="H629" s="95" t="s">
        <v>856</v>
      </c>
      <c r="J629" s="120" t="s">
        <v>909</v>
      </c>
      <c r="K629" s="99"/>
      <c r="L629" s="50"/>
      <c r="M629" s="50"/>
      <c r="P629" s="68"/>
    </row>
    <row r="630">
      <c r="A630" s="109">
        <v>6.36202394625E11</v>
      </c>
      <c r="B630" s="151" t="s">
        <v>919</v>
      </c>
      <c r="C630" s="95" t="s">
        <v>97</v>
      </c>
      <c r="D630" s="95">
        <v>1.0</v>
      </c>
      <c r="E630" s="101">
        <v>59.5</v>
      </c>
      <c r="F630" s="97">
        <f t="shared" si="84"/>
        <v>59.5</v>
      </c>
      <c r="G630" s="97">
        <f t="shared" si="85"/>
        <v>18.03030303</v>
      </c>
      <c r="H630" s="95" t="s">
        <v>776</v>
      </c>
      <c r="J630" s="120" t="s">
        <v>909</v>
      </c>
      <c r="K630" s="99"/>
      <c r="L630" s="50"/>
      <c r="M630" s="50"/>
      <c r="P630" s="68"/>
    </row>
    <row r="631">
      <c r="A631" s="109">
        <v>6.3620239467E11</v>
      </c>
      <c r="B631" s="151" t="s">
        <v>919</v>
      </c>
      <c r="C631" s="95" t="s">
        <v>97</v>
      </c>
      <c r="D631" s="95">
        <v>1.0</v>
      </c>
      <c r="E631" s="101">
        <v>59.5</v>
      </c>
      <c r="F631" s="97">
        <f t="shared" si="84"/>
        <v>59.5</v>
      </c>
      <c r="G631" s="97">
        <f t="shared" si="85"/>
        <v>18.03030303</v>
      </c>
      <c r="H631" s="95" t="s">
        <v>776</v>
      </c>
      <c r="J631" s="120" t="s">
        <v>909</v>
      </c>
      <c r="K631" s="99"/>
      <c r="L631" s="50"/>
      <c r="M631" s="50"/>
      <c r="P631" s="68"/>
    </row>
    <row r="632">
      <c r="A632" s="109">
        <v>7.06258082613E11</v>
      </c>
      <c r="B632" s="151" t="s">
        <v>920</v>
      </c>
      <c r="C632" s="95" t="s">
        <v>97</v>
      </c>
      <c r="D632" s="95">
        <v>1.0</v>
      </c>
      <c r="E632" s="101">
        <v>89.5</v>
      </c>
      <c r="F632" s="97">
        <f t="shared" si="84"/>
        <v>89.5</v>
      </c>
      <c r="G632" s="97">
        <f t="shared" si="85"/>
        <v>27.12121212</v>
      </c>
      <c r="H632" s="95" t="s">
        <v>193</v>
      </c>
      <c r="J632" s="120" t="s">
        <v>909</v>
      </c>
      <c r="K632" s="99"/>
      <c r="L632" s="50"/>
      <c r="M632" s="50"/>
      <c r="P632" s="68"/>
    </row>
    <row r="633">
      <c r="A633" s="109">
        <v>7.32994699921E11</v>
      </c>
      <c r="B633" s="151" t="s">
        <v>921</v>
      </c>
      <c r="C633" s="95" t="s">
        <v>97</v>
      </c>
      <c r="D633" s="95">
        <v>1.0</v>
      </c>
      <c r="E633" s="101">
        <v>79.5</v>
      </c>
      <c r="F633" s="97">
        <f t="shared" si="84"/>
        <v>79.5</v>
      </c>
      <c r="G633" s="97">
        <f t="shared" si="85"/>
        <v>24.09090909</v>
      </c>
      <c r="H633" s="95" t="s">
        <v>916</v>
      </c>
      <c r="J633" s="120" t="s">
        <v>909</v>
      </c>
      <c r="K633" s="99"/>
      <c r="L633" s="50"/>
      <c r="M633" s="50"/>
      <c r="P633" s="68"/>
    </row>
    <row r="634">
      <c r="A634" s="109">
        <v>7.3299940126E11</v>
      </c>
      <c r="B634" s="151" t="s">
        <v>922</v>
      </c>
      <c r="C634" s="95" t="s">
        <v>97</v>
      </c>
      <c r="D634" s="95">
        <v>1.0</v>
      </c>
      <c r="E634" s="101">
        <v>69.5</v>
      </c>
      <c r="F634" s="97">
        <f t="shared" si="84"/>
        <v>69.5</v>
      </c>
      <c r="G634" s="97">
        <f t="shared" si="85"/>
        <v>21.06060606</v>
      </c>
      <c r="H634" s="95" t="s">
        <v>193</v>
      </c>
      <c r="J634" s="120" t="s">
        <v>909</v>
      </c>
      <c r="K634" s="99"/>
      <c r="L634" s="50"/>
      <c r="M634" s="50"/>
      <c r="P634" s="68"/>
    </row>
    <row r="635">
      <c r="A635" s="109">
        <v>8.00554740762E11</v>
      </c>
      <c r="B635" s="151" t="s">
        <v>923</v>
      </c>
      <c r="C635" s="95" t="s">
        <v>97</v>
      </c>
      <c r="D635" s="95">
        <v>1.0</v>
      </c>
      <c r="E635" s="101">
        <v>99.0</v>
      </c>
      <c r="F635" s="97">
        <f t="shared" si="84"/>
        <v>99</v>
      </c>
      <c r="G635" s="97">
        <f t="shared" si="85"/>
        <v>30</v>
      </c>
      <c r="H635" s="95" t="s">
        <v>924</v>
      </c>
      <c r="J635" s="120" t="s">
        <v>909</v>
      </c>
      <c r="K635" s="99"/>
      <c r="L635" s="50"/>
      <c r="M635" s="50"/>
      <c r="P635" s="68"/>
    </row>
    <row r="636">
      <c r="A636" s="109">
        <v>8.00554879547E11</v>
      </c>
      <c r="B636" s="151" t="s">
        <v>925</v>
      </c>
      <c r="C636" s="95" t="s">
        <v>97</v>
      </c>
      <c r="D636" s="95">
        <v>1.0</v>
      </c>
      <c r="E636" s="101">
        <v>89.0</v>
      </c>
      <c r="F636" s="97">
        <f t="shared" si="84"/>
        <v>89</v>
      </c>
      <c r="G636" s="97">
        <f t="shared" si="85"/>
        <v>26.96969697</v>
      </c>
      <c r="H636" s="95" t="s">
        <v>924</v>
      </c>
      <c r="J636" s="120" t="s">
        <v>909</v>
      </c>
      <c r="K636" s="99"/>
      <c r="L636" s="50"/>
      <c r="M636" s="50"/>
      <c r="P636" s="68"/>
    </row>
    <row r="637">
      <c r="A637" s="109">
        <v>8.87986229058E11</v>
      </c>
      <c r="B637" s="151" t="s">
        <v>926</v>
      </c>
      <c r="C637" s="95" t="s">
        <v>97</v>
      </c>
      <c r="D637" s="95">
        <v>1.0</v>
      </c>
      <c r="E637" s="101">
        <v>99.0</v>
      </c>
      <c r="F637" s="97">
        <f t="shared" si="84"/>
        <v>99</v>
      </c>
      <c r="G637" s="97">
        <f t="shared" si="85"/>
        <v>30</v>
      </c>
      <c r="H637" s="95" t="s">
        <v>927</v>
      </c>
      <c r="J637" s="120" t="s">
        <v>909</v>
      </c>
      <c r="K637" s="99"/>
      <c r="L637" s="50"/>
      <c r="M637" s="50"/>
      <c r="P637" s="68"/>
    </row>
    <row r="638">
      <c r="A638" s="152" t="s">
        <v>898</v>
      </c>
      <c r="B638" s="103" t="s">
        <v>928</v>
      </c>
      <c r="C638" s="95"/>
      <c r="D638" s="95"/>
      <c r="E638" s="101"/>
      <c r="F638" s="97"/>
      <c r="G638" s="97"/>
      <c r="H638" s="95"/>
      <c r="J638" s="120"/>
      <c r="K638" s="99"/>
      <c r="L638" s="50"/>
      <c r="M638" s="50"/>
      <c r="P638" s="68"/>
    </row>
    <row r="639">
      <c r="A639" s="109">
        <v>6.36202394625E11</v>
      </c>
      <c r="B639" s="151" t="s">
        <v>919</v>
      </c>
      <c r="C639" s="95" t="s">
        <v>97</v>
      </c>
      <c r="D639" s="95">
        <v>1.0</v>
      </c>
      <c r="E639" s="101">
        <v>59.5</v>
      </c>
      <c r="F639" s="97">
        <f>E639*D639</f>
        <v>59.5</v>
      </c>
      <c r="G639" s="97">
        <f>F639/3.3</f>
        <v>18.03030303</v>
      </c>
      <c r="H639" s="95" t="s">
        <v>776</v>
      </c>
      <c r="J639" s="120" t="s">
        <v>909</v>
      </c>
      <c r="K639" s="99"/>
      <c r="L639" s="50"/>
      <c r="M639" s="50"/>
      <c r="P639" s="68"/>
    </row>
    <row r="640">
      <c r="A640" s="144" t="s">
        <v>429</v>
      </c>
      <c r="B640" s="103" t="s">
        <v>929</v>
      </c>
      <c r="C640" s="95"/>
      <c r="D640" s="95"/>
      <c r="E640" s="101"/>
      <c r="F640" s="97"/>
      <c r="G640" s="97"/>
      <c r="H640" s="95"/>
      <c r="I640" s="196"/>
      <c r="J640" s="187"/>
      <c r="K640" s="157"/>
      <c r="L640" s="158"/>
      <c r="M640" s="158"/>
      <c r="N640" s="98"/>
      <c r="O640" s="98"/>
      <c r="P640" s="6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5">
        <v>4.42099679E10</v>
      </c>
      <c r="B641" s="151" t="s">
        <v>930</v>
      </c>
      <c r="C641" s="95" t="s">
        <v>97</v>
      </c>
      <c r="D641" s="95">
        <v>1.0</v>
      </c>
      <c r="E641" s="101">
        <v>75.0</v>
      </c>
      <c r="F641" s="97">
        <f t="shared" ref="F641:F642" si="86">E641*D641</f>
        <v>75</v>
      </c>
      <c r="G641" s="97">
        <f t="shared" ref="G641:G642" si="87">F641/3.3</f>
        <v>22.72727273</v>
      </c>
      <c r="H641" s="95" t="s">
        <v>816</v>
      </c>
      <c r="I641" s="37" t="s">
        <v>760</v>
      </c>
      <c r="J641" s="120" t="s">
        <v>909</v>
      </c>
      <c r="K641" s="99"/>
      <c r="L641" s="50"/>
      <c r="M641" s="50"/>
      <c r="P641" s="68"/>
    </row>
    <row r="642">
      <c r="A642" s="115">
        <v>8.89305869914E11</v>
      </c>
      <c r="B642" s="151" t="s">
        <v>931</v>
      </c>
      <c r="C642" s="95" t="s">
        <v>97</v>
      </c>
      <c r="D642" s="95">
        <v>1.0</v>
      </c>
      <c r="E642" s="101">
        <v>85.0</v>
      </c>
      <c r="F642" s="97">
        <f t="shared" si="86"/>
        <v>85</v>
      </c>
      <c r="G642" s="97">
        <f t="shared" si="87"/>
        <v>25.75757576</v>
      </c>
      <c r="H642" s="95" t="s">
        <v>797</v>
      </c>
      <c r="I642" s="37" t="s">
        <v>760</v>
      </c>
      <c r="J642" s="120" t="s">
        <v>909</v>
      </c>
      <c r="K642" s="99"/>
      <c r="L642" s="50"/>
      <c r="M642" s="50"/>
      <c r="P642" s="68"/>
    </row>
    <row r="643">
      <c r="A643" s="111" t="s">
        <v>267</v>
      </c>
      <c r="B643" s="111" t="s">
        <v>932</v>
      </c>
      <c r="C643" s="112" t="str">
        <f>MID($B643,6,7)</f>
        <v>GR18250</v>
      </c>
      <c r="D643" s="111"/>
      <c r="E643" s="111"/>
      <c r="F643" s="111"/>
      <c r="G643" s="111"/>
      <c r="H643" s="113">
        <v>44557.0</v>
      </c>
      <c r="I643" s="159"/>
      <c r="J643" s="160" t="str">
        <f>IF(LEFT(B643,3)="Box","BOX","COUNT")</f>
        <v>BOX</v>
      </c>
      <c r="K643" s="161">
        <f>SUMIF($J$4:$J$8712,$C643,$D$4:$D$8712)</f>
        <v>19</v>
      </c>
      <c r="L643" s="162">
        <f>SUMIF($J$4:$J$8712,$C643,$F$4:$F$8712)</f>
        <v>1470.5</v>
      </c>
      <c r="M643" s="162">
        <f>SUMIF($J$4:$J$8712,$C643,$G$4:$G$8712)</f>
        <v>445.6060606</v>
      </c>
      <c r="N643" s="159" t="str">
        <f>C643</f>
        <v>GR18250</v>
      </c>
      <c r="O643" s="159" t="str">
        <f>J644</f>
        <v>SHIP</v>
      </c>
      <c r="P643" s="68">
        <f>M643</f>
        <v>445.6060606</v>
      </c>
      <c r="Q643" s="114">
        <v>44490.0</v>
      </c>
      <c r="R643" s="37" t="s">
        <v>767</v>
      </c>
      <c r="S643" s="37" t="s">
        <v>768</v>
      </c>
      <c r="T643" s="159"/>
      <c r="U643" s="159"/>
      <c r="V643" s="159"/>
      <c r="W643" s="159"/>
      <c r="X643" s="159"/>
      <c r="Y643" s="159"/>
      <c r="Z643" s="159"/>
    </row>
    <row r="644">
      <c r="A644" s="115" t="s">
        <v>119</v>
      </c>
      <c r="B644" s="111" t="s">
        <v>933</v>
      </c>
      <c r="C644" s="109"/>
      <c r="D644" s="109"/>
      <c r="E644" s="116"/>
      <c r="F644" s="116"/>
      <c r="G644" s="116"/>
      <c r="H644" s="109"/>
      <c r="J644" s="108" t="str">
        <f>IF(B644="","NSHIP","SHIP")</f>
        <v>SHIP</v>
      </c>
      <c r="K644" s="99">
        <f>IF($J644="NSHIP",0,-SUMIF($J$4:$J$8712,$C643,$D$4:$D$8712))</f>
        <v>-19</v>
      </c>
      <c r="L644" s="50">
        <f>IF($J644="NSHIP",0,-SUMIF($J$4:$J$8710,$C643,$F$4:$F$8710))</f>
        <v>-1470.5</v>
      </c>
      <c r="M644" s="50">
        <f>IF($J644="NSHIP",0,-SUMIF($J$4:$J$8710,$C643,$G$4:$G$8710))</f>
        <v>-445.6060606</v>
      </c>
      <c r="P644" s="68"/>
    </row>
    <row r="645">
      <c r="A645" s="95">
        <v>1.92466080211E11</v>
      </c>
      <c r="B645" s="164" t="s">
        <v>934</v>
      </c>
      <c r="C645" s="95" t="s">
        <v>97</v>
      </c>
      <c r="D645" s="95">
        <v>1.0</v>
      </c>
      <c r="E645" s="101">
        <v>75.0</v>
      </c>
      <c r="F645" s="97">
        <f t="shared" ref="F645:F660" si="88">E645*D645</f>
        <v>75</v>
      </c>
      <c r="G645" s="97">
        <f t="shared" ref="G645:G660" si="89">F645/3.3</f>
        <v>22.72727273</v>
      </c>
      <c r="H645" s="95" t="s">
        <v>935</v>
      </c>
      <c r="J645" s="120" t="s">
        <v>936</v>
      </c>
      <c r="K645" s="99"/>
      <c r="L645" s="50"/>
      <c r="M645" s="50"/>
      <c r="P645" s="68"/>
    </row>
    <row r="646">
      <c r="A646" s="95">
        <v>1.94835564254E11</v>
      </c>
      <c r="B646" s="131" t="s">
        <v>851</v>
      </c>
      <c r="C646" s="95" t="s">
        <v>97</v>
      </c>
      <c r="D646" s="95">
        <v>1.0</v>
      </c>
      <c r="E646" s="101">
        <v>269.0</v>
      </c>
      <c r="F646" s="97">
        <f t="shared" si="88"/>
        <v>269</v>
      </c>
      <c r="G646" s="97">
        <f t="shared" si="89"/>
        <v>81.51515152</v>
      </c>
      <c r="H646" s="95" t="s">
        <v>828</v>
      </c>
      <c r="J646" s="120" t="s">
        <v>936</v>
      </c>
      <c r="K646" s="99"/>
      <c r="L646" s="50"/>
      <c r="M646" s="50"/>
      <c r="P646" s="68"/>
    </row>
    <row r="647">
      <c r="A647" s="95">
        <v>6.083561209E11</v>
      </c>
      <c r="B647" s="131" t="s">
        <v>937</v>
      </c>
      <c r="C647" s="95" t="s">
        <v>97</v>
      </c>
      <c r="D647" s="95">
        <v>1.0</v>
      </c>
      <c r="E647" s="101">
        <v>79.5</v>
      </c>
      <c r="F647" s="97">
        <f t="shared" si="88"/>
        <v>79.5</v>
      </c>
      <c r="G647" s="97">
        <f t="shared" si="89"/>
        <v>24.09090909</v>
      </c>
      <c r="H647" s="95" t="s">
        <v>885</v>
      </c>
      <c r="J647" s="120" t="s">
        <v>936</v>
      </c>
      <c r="K647" s="99"/>
      <c r="L647" s="50"/>
      <c r="M647" s="50"/>
      <c r="P647" s="68"/>
    </row>
    <row r="648">
      <c r="A648" s="95">
        <v>6.083811311E11</v>
      </c>
      <c r="B648" s="131" t="s">
        <v>938</v>
      </c>
      <c r="C648" s="95" t="s">
        <v>97</v>
      </c>
      <c r="D648" s="95">
        <v>1.0</v>
      </c>
      <c r="E648" s="101">
        <v>55.5</v>
      </c>
      <c r="F648" s="97">
        <f t="shared" si="88"/>
        <v>55.5</v>
      </c>
      <c r="G648" s="97">
        <f t="shared" si="89"/>
        <v>16.81818182</v>
      </c>
      <c r="H648" s="95" t="s">
        <v>887</v>
      </c>
      <c r="J648" s="120" t="s">
        <v>936</v>
      </c>
      <c r="K648" s="99"/>
      <c r="L648" s="50"/>
      <c r="M648" s="50"/>
      <c r="P648" s="68"/>
    </row>
    <row r="649">
      <c r="A649" s="95">
        <v>6.08381134095E11</v>
      </c>
      <c r="B649" s="131" t="s">
        <v>939</v>
      </c>
      <c r="C649" s="95" t="s">
        <v>97</v>
      </c>
      <c r="D649" s="95">
        <v>1.0</v>
      </c>
      <c r="E649" s="101">
        <v>55.5</v>
      </c>
      <c r="F649" s="97">
        <f t="shared" si="88"/>
        <v>55.5</v>
      </c>
      <c r="G649" s="97">
        <f t="shared" si="89"/>
        <v>16.81818182</v>
      </c>
      <c r="H649" s="95" t="s">
        <v>887</v>
      </c>
      <c r="J649" s="120" t="s">
        <v>936</v>
      </c>
      <c r="K649" s="99"/>
      <c r="L649" s="50"/>
      <c r="M649" s="50"/>
      <c r="P649" s="68"/>
    </row>
    <row r="650">
      <c r="A650" s="95">
        <v>6.08381134101E11</v>
      </c>
      <c r="B650" s="131" t="s">
        <v>940</v>
      </c>
      <c r="C650" s="95" t="s">
        <v>97</v>
      </c>
      <c r="D650" s="95">
        <v>1.0</v>
      </c>
      <c r="E650" s="101">
        <v>55.5</v>
      </c>
      <c r="F650" s="97">
        <f t="shared" si="88"/>
        <v>55.5</v>
      </c>
      <c r="G650" s="97">
        <f t="shared" si="89"/>
        <v>16.81818182</v>
      </c>
      <c r="H650" s="95" t="s">
        <v>887</v>
      </c>
      <c r="J650" s="120" t="s">
        <v>936</v>
      </c>
      <c r="K650" s="99"/>
      <c r="L650" s="50"/>
      <c r="M650" s="50"/>
      <c r="P650" s="68"/>
    </row>
    <row r="651">
      <c r="A651" s="95">
        <v>6.36193874892E11</v>
      </c>
      <c r="B651" s="131" t="s">
        <v>941</v>
      </c>
      <c r="C651" s="95" t="s">
        <v>97</v>
      </c>
      <c r="D651" s="95">
        <v>1.0</v>
      </c>
      <c r="E651" s="101">
        <v>99.5</v>
      </c>
      <c r="F651" s="97">
        <f t="shared" si="88"/>
        <v>99.5</v>
      </c>
      <c r="G651" s="97">
        <f t="shared" si="89"/>
        <v>30.15151515</v>
      </c>
      <c r="H651" s="95" t="s">
        <v>400</v>
      </c>
      <c r="J651" s="120" t="s">
        <v>936</v>
      </c>
      <c r="K651" s="99"/>
      <c r="L651" s="50"/>
      <c r="M651" s="50"/>
      <c r="P651" s="68"/>
    </row>
    <row r="652">
      <c r="A652" s="95">
        <v>7.06254927703E11</v>
      </c>
      <c r="B652" s="131" t="s">
        <v>942</v>
      </c>
      <c r="C652" s="95" t="s">
        <v>97</v>
      </c>
      <c r="D652" s="95">
        <v>1.0</v>
      </c>
      <c r="E652" s="101">
        <v>45.5</v>
      </c>
      <c r="F652" s="97">
        <f t="shared" si="88"/>
        <v>45.5</v>
      </c>
      <c r="G652" s="97">
        <f t="shared" si="89"/>
        <v>13.78787879</v>
      </c>
      <c r="H652" s="95" t="s">
        <v>776</v>
      </c>
      <c r="J652" s="120" t="s">
        <v>936</v>
      </c>
      <c r="K652" s="99"/>
      <c r="L652" s="50"/>
      <c r="M652" s="50"/>
      <c r="P652" s="68"/>
    </row>
    <row r="653">
      <c r="A653" s="95">
        <v>7.27684602961E11</v>
      </c>
      <c r="B653" s="131" t="s">
        <v>943</v>
      </c>
      <c r="C653" s="95" t="s">
        <v>97</v>
      </c>
      <c r="D653" s="95">
        <v>1.0</v>
      </c>
      <c r="E653" s="101">
        <v>50.0</v>
      </c>
      <c r="F653" s="97">
        <f t="shared" si="88"/>
        <v>50</v>
      </c>
      <c r="G653" s="97">
        <f t="shared" si="89"/>
        <v>15.15151515</v>
      </c>
      <c r="H653" s="95" t="s">
        <v>901</v>
      </c>
      <c r="J653" s="120" t="s">
        <v>936</v>
      </c>
      <c r="K653" s="99"/>
      <c r="L653" s="50"/>
      <c r="M653" s="50"/>
      <c r="P653" s="68"/>
    </row>
    <row r="654">
      <c r="A654" s="95">
        <v>7.32997429471E11</v>
      </c>
      <c r="B654" s="131" t="s">
        <v>842</v>
      </c>
      <c r="C654" s="95" t="s">
        <v>97</v>
      </c>
      <c r="D654" s="95">
        <v>1.0</v>
      </c>
      <c r="E654" s="101">
        <v>79.5</v>
      </c>
      <c r="F654" s="97">
        <f t="shared" si="88"/>
        <v>79.5</v>
      </c>
      <c r="G654" s="97">
        <f t="shared" si="89"/>
        <v>24.09090909</v>
      </c>
      <c r="H654" s="95" t="s">
        <v>839</v>
      </c>
      <c r="J654" s="120" t="s">
        <v>936</v>
      </c>
      <c r="K654" s="99"/>
      <c r="L654" s="50"/>
      <c r="M654" s="50"/>
      <c r="P654" s="68"/>
    </row>
    <row r="655">
      <c r="A655" s="95">
        <v>7.68363511488E11</v>
      </c>
      <c r="B655" s="131" t="s">
        <v>944</v>
      </c>
      <c r="C655" s="95" t="s">
        <v>97</v>
      </c>
      <c r="D655" s="95">
        <v>1.0</v>
      </c>
      <c r="E655" s="101">
        <v>89.0</v>
      </c>
      <c r="F655" s="97">
        <f t="shared" si="88"/>
        <v>89</v>
      </c>
      <c r="G655" s="97">
        <f t="shared" si="89"/>
        <v>26.96969697</v>
      </c>
      <c r="H655" s="95" t="s">
        <v>783</v>
      </c>
      <c r="J655" s="120" t="s">
        <v>936</v>
      </c>
      <c r="K655" s="99"/>
      <c r="L655" s="50"/>
      <c r="M655" s="50"/>
      <c r="P655" s="68"/>
    </row>
    <row r="656">
      <c r="A656" s="95">
        <v>7.683635116E11</v>
      </c>
      <c r="B656" s="131" t="s">
        <v>945</v>
      </c>
      <c r="C656" s="95" t="s">
        <v>97</v>
      </c>
      <c r="D656" s="95">
        <v>1.0</v>
      </c>
      <c r="E656" s="101">
        <v>89.0</v>
      </c>
      <c r="F656" s="97">
        <f t="shared" si="88"/>
        <v>89</v>
      </c>
      <c r="G656" s="97">
        <f t="shared" si="89"/>
        <v>26.96969697</v>
      </c>
      <c r="H656" s="95" t="s">
        <v>783</v>
      </c>
      <c r="J656" s="120" t="s">
        <v>936</v>
      </c>
      <c r="K656" s="99"/>
      <c r="L656" s="50"/>
      <c r="M656" s="50"/>
      <c r="P656" s="68"/>
    </row>
    <row r="657">
      <c r="A657" s="95">
        <v>7.68363511624E11</v>
      </c>
      <c r="B657" s="131" t="s">
        <v>946</v>
      </c>
      <c r="C657" s="95" t="s">
        <v>97</v>
      </c>
      <c r="D657" s="95">
        <v>1.0</v>
      </c>
      <c r="E657" s="101">
        <v>89.0</v>
      </c>
      <c r="F657" s="97">
        <f t="shared" si="88"/>
        <v>89</v>
      </c>
      <c r="G657" s="97">
        <f t="shared" si="89"/>
        <v>26.96969697</v>
      </c>
      <c r="H657" s="95" t="s">
        <v>783</v>
      </c>
      <c r="J657" s="120" t="s">
        <v>936</v>
      </c>
      <c r="K657" s="99"/>
      <c r="L657" s="50"/>
      <c r="M657" s="50"/>
      <c r="P657" s="68"/>
    </row>
    <row r="658">
      <c r="A658" s="95">
        <v>7.68363511631E11</v>
      </c>
      <c r="B658" s="131" t="s">
        <v>947</v>
      </c>
      <c r="C658" s="95" t="s">
        <v>97</v>
      </c>
      <c r="D658" s="95">
        <v>1.0</v>
      </c>
      <c r="E658" s="101">
        <v>89.0</v>
      </c>
      <c r="F658" s="97">
        <f t="shared" si="88"/>
        <v>89</v>
      </c>
      <c r="G658" s="97">
        <f t="shared" si="89"/>
        <v>26.96969697</v>
      </c>
      <c r="H658" s="95" t="s">
        <v>783</v>
      </c>
      <c r="J658" s="120" t="s">
        <v>936</v>
      </c>
      <c r="K658" s="99"/>
      <c r="L658" s="50"/>
      <c r="M658" s="50"/>
      <c r="P658" s="68"/>
    </row>
    <row r="659">
      <c r="A659" s="95">
        <v>7.68363517787E11</v>
      </c>
      <c r="B659" s="131" t="s">
        <v>948</v>
      </c>
      <c r="C659" s="95" t="s">
        <v>97</v>
      </c>
      <c r="D659" s="95">
        <v>1.0</v>
      </c>
      <c r="E659" s="101">
        <v>99.0</v>
      </c>
      <c r="F659" s="97">
        <f t="shared" si="88"/>
        <v>99</v>
      </c>
      <c r="G659" s="97">
        <f t="shared" si="89"/>
        <v>30</v>
      </c>
      <c r="H659" s="95" t="s">
        <v>783</v>
      </c>
      <c r="J659" s="120" t="s">
        <v>936</v>
      </c>
      <c r="K659" s="99"/>
      <c r="L659" s="50"/>
      <c r="M659" s="50"/>
      <c r="P659" s="68"/>
    </row>
    <row r="660">
      <c r="A660" s="95">
        <v>7.68363518029E11</v>
      </c>
      <c r="B660" s="131" t="s">
        <v>949</v>
      </c>
      <c r="C660" s="95" t="s">
        <v>97</v>
      </c>
      <c r="D660" s="95">
        <v>1.0</v>
      </c>
      <c r="E660" s="101">
        <v>99.0</v>
      </c>
      <c r="F660" s="97">
        <f t="shared" si="88"/>
        <v>99</v>
      </c>
      <c r="G660" s="97">
        <f t="shared" si="89"/>
        <v>30</v>
      </c>
      <c r="H660" s="95" t="s">
        <v>783</v>
      </c>
      <c r="J660" s="120" t="s">
        <v>936</v>
      </c>
      <c r="K660" s="99"/>
      <c r="L660" s="50"/>
      <c r="M660" s="50"/>
      <c r="P660" s="68"/>
    </row>
    <row r="661">
      <c r="A661" s="102" t="s">
        <v>950</v>
      </c>
      <c r="B661" s="103" t="s">
        <v>951</v>
      </c>
      <c r="C661" s="104"/>
      <c r="D661" s="104"/>
      <c r="E661" s="105"/>
      <c r="F661" s="106"/>
      <c r="G661" s="106"/>
      <c r="H661" s="107"/>
      <c r="J661" s="108"/>
      <c r="K661" s="99"/>
      <c r="L661" s="50"/>
      <c r="M661" s="50"/>
      <c r="P661" s="68"/>
    </row>
    <row r="662">
      <c r="A662" s="109">
        <v>7.68363511631E11</v>
      </c>
      <c r="B662" s="192" t="s">
        <v>947</v>
      </c>
      <c r="C662" s="95" t="s">
        <v>97</v>
      </c>
      <c r="D662" s="95">
        <v>1.0</v>
      </c>
      <c r="E662" s="101">
        <v>89.0</v>
      </c>
      <c r="F662" s="97">
        <f>E662*D662</f>
        <v>89</v>
      </c>
      <c r="G662" s="97">
        <f>F662/3.3</f>
        <v>26.96969697</v>
      </c>
      <c r="H662" s="95" t="s">
        <v>783</v>
      </c>
      <c r="J662" s="120" t="s">
        <v>936</v>
      </c>
      <c r="K662" s="99"/>
      <c r="L662" s="50"/>
      <c r="M662" s="50"/>
      <c r="P662" s="68"/>
    </row>
    <row r="663">
      <c r="A663" s="102" t="s">
        <v>113</v>
      </c>
      <c r="B663" s="103" t="s">
        <v>952</v>
      </c>
      <c r="C663" s="104"/>
      <c r="D663" s="104"/>
      <c r="E663" s="105"/>
      <c r="F663" s="106"/>
      <c r="G663" s="106"/>
      <c r="H663" s="107"/>
      <c r="J663" s="108"/>
      <c r="K663" s="99"/>
      <c r="L663" s="50"/>
      <c r="M663" s="50"/>
      <c r="P663" s="68"/>
    </row>
    <row r="664">
      <c r="A664" s="111" t="s">
        <v>115</v>
      </c>
      <c r="B664" s="111" t="s">
        <v>953</v>
      </c>
      <c r="C664" s="112" t="str">
        <f>MID($B664,6,7)</f>
        <v>GR18251</v>
      </c>
      <c r="D664" s="111"/>
      <c r="E664" s="111"/>
      <c r="F664" s="111"/>
      <c r="G664" s="111"/>
      <c r="H664" s="113">
        <v>44557.0</v>
      </c>
      <c r="J664" s="108" t="str">
        <f>IF(LEFT(B664,3)="Box","BOX","COUNT")</f>
        <v>BOX</v>
      </c>
      <c r="K664" s="99">
        <f>SUMIF($J$4:$J$8712,$C664,$D$4:$D$8712)</f>
        <v>17</v>
      </c>
      <c r="L664" s="50">
        <f>SUMIF($J$4:$J$8712,$C664,$F$4:$F$8712)</f>
        <v>1507.5</v>
      </c>
      <c r="M664" s="50">
        <f>SUMIF($J$4:$J$8712,$C664,$G$4:$G$8712)</f>
        <v>456.8181818</v>
      </c>
      <c r="N664" s="70" t="str">
        <f>C664</f>
        <v>GR18251</v>
      </c>
      <c r="O664" s="70" t="str">
        <f>J665</f>
        <v>SHIP</v>
      </c>
      <c r="P664" s="68">
        <f>M664</f>
        <v>456.8181818</v>
      </c>
      <c r="Q664" s="114">
        <v>44490.0</v>
      </c>
      <c r="R664" s="37" t="s">
        <v>767</v>
      </c>
      <c r="S664" s="37" t="s">
        <v>768</v>
      </c>
    </row>
    <row r="665">
      <c r="A665" s="163"/>
      <c r="B665" s="111" t="s">
        <v>954</v>
      </c>
      <c r="C665" s="109"/>
      <c r="D665" s="109"/>
      <c r="E665" s="116"/>
      <c r="F665" s="116"/>
      <c r="G665" s="116"/>
      <c r="H665" s="109"/>
      <c r="J665" s="108" t="str">
        <f>IF(B665="","NSHIP","SHIP")</f>
        <v>SHIP</v>
      </c>
      <c r="K665" s="99">
        <f>IF($J665="NSHIP",0,-SUMIF($J$4:$J$8712,$C664,$D$4:$D$8712))</f>
        <v>-17</v>
      </c>
      <c r="L665" s="50">
        <f>IF($J665="NSHIP",0,-SUMIF($J$4:$J$8710,$C664,$F$4:$F$8710))</f>
        <v>-1507.5</v>
      </c>
      <c r="M665" s="50">
        <f>IF($J665="NSHIP",0,-SUMIF($J$4:$J$8710,$C664,$G$4:$G$8710))</f>
        <v>-456.8181818</v>
      </c>
      <c r="P665" s="68"/>
    </row>
    <row r="666">
      <c r="A666" s="182">
        <v>1.92681083622E11</v>
      </c>
      <c r="B666" s="100" t="s">
        <v>955</v>
      </c>
      <c r="C666" s="118" t="s">
        <v>97</v>
      </c>
      <c r="D666" s="100">
        <v>1.0</v>
      </c>
      <c r="E666" s="119">
        <v>99.95</v>
      </c>
      <c r="F666" s="118">
        <f t="shared" ref="F666:F677" si="90">E666*D666</f>
        <v>99.95</v>
      </c>
      <c r="G666" s="118">
        <f t="shared" ref="G666:G677" si="91">F666/3.3</f>
        <v>30.28787879</v>
      </c>
      <c r="H666" s="100" t="s">
        <v>956</v>
      </c>
      <c r="I666" s="1"/>
      <c r="J666" s="120" t="s">
        <v>957</v>
      </c>
      <c r="K666" s="99"/>
      <c r="L666" s="50"/>
      <c r="M666" s="50"/>
      <c r="P666" s="68"/>
    </row>
    <row r="667">
      <c r="A667" s="182">
        <v>6.08381134101E11</v>
      </c>
      <c r="B667" s="100" t="s">
        <v>940</v>
      </c>
      <c r="C667" s="118" t="s">
        <v>97</v>
      </c>
      <c r="D667" s="100">
        <v>1.0</v>
      </c>
      <c r="E667" s="119">
        <v>55.5</v>
      </c>
      <c r="F667" s="118">
        <f t="shared" si="90"/>
        <v>55.5</v>
      </c>
      <c r="G667" s="118">
        <f t="shared" si="91"/>
        <v>16.81818182</v>
      </c>
      <c r="H667" s="100" t="s">
        <v>887</v>
      </c>
      <c r="I667" s="1"/>
      <c r="J667" s="120" t="s">
        <v>957</v>
      </c>
      <c r="K667" s="99"/>
      <c r="L667" s="50"/>
      <c r="M667" s="50"/>
      <c r="P667" s="68"/>
    </row>
    <row r="668">
      <c r="A668" s="182">
        <v>6.36193874885E11</v>
      </c>
      <c r="B668" s="100" t="s">
        <v>958</v>
      </c>
      <c r="C668" s="118" t="s">
        <v>97</v>
      </c>
      <c r="D668" s="100">
        <v>1.0</v>
      </c>
      <c r="E668" s="119">
        <v>99.5</v>
      </c>
      <c r="F668" s="118">
        <f t="shared" si="90"/>
        <v>99.5</v>
      </c>
      <c r="G668" s="118">
        <f t="shared" si="91"/>
        <v>30.15151515</v>
      </c>
      <c r="H668" s="100" t="s">
        <v>400</v>
      </c>
      <c r="I668" s="1"/>
      <c r="J668" s="120" t="s">
        <v>957</v>
      </c>
      <c r="K668" s="99"/>
      <c r="L668" s="50"/>
      <c r="M668" s="50"/>
      <c r="P668" s="68"/>
    </row>
    <row r="669">
      <c r="A669" s="182">
        <v>7.16142078431E11</v>
      </c>
      <c r="B669" s="100" t="s">
        <v>959</v>
      </c>
      <c r="C669" s="118" t="s">
        <v>97</v>
      </c>
      <c r="D669" s="100">
        <v>1.0</v>
      </c>
      <c r="E669" s="119">
        <v>79.0</v>
      </c>
      <c r="F669" s="118">
        <f t="shared" si="90"/>
        <v>79</v>
      </c>
      <c r="G669" s="118">
        <f t="shared" si="91"/>
        <v>23.93939394</v>
      </c>
      <c r="H669" s="100" t="s">
        <v>960</v>
      </c>
      <c r="I669" s="1"/>
      <c r="J669" s="120" t="s">
        <v>957</v>
      </c>
      <c r="K669" s="99"/>
      <c r="L669" s="50"/>
      <c r="M669" s="50"/>
      <c r="P669" s="68"/>
    </row>
    <row r="670">
      <c r="A670" s="182">
        <v>7.32994396769E11</v>
      </c>
      <c r="B670" s="100" t="s">
        <v>961</v>
      </c>
      <c r="C670" s="118" t="s">
        <v>97</v>
      </c>
      <c r="D670" s="100">
        <v>1.0</v>
      </c>
      <c r="E670" s="119">
        <v>59.5</v>
      </c>
      <c r="F670" s="118">
        <f t="shared" si="90"/>
        <v>59.5</v>
      </c>
      <c r="G670" s="118">
        <f t="shared" si="91"/>
        <v>18.03030303</v>
      </c>
      <c r="H670" s="100" t="s">
        <v>962</v>
      </c>
      <c r="I670" s="1"/>
      <c r="J670" s="120" t="s">
        <v>957</v>
      </c>
      <c r="K670" s="99"/>
      <c r="L670" s="50"/>
      <c r="M670" s="50"/>
      <c r="P670" s="68"/>
    </row>
    <row r="671">
      <c r="A671" s="182">
        <v>7.32996532752E11</v>
      </c>
      <c r="B671" s="100" t="s">
        <v>963</v>
      </c>
      <c r="C671" s="118" t="s">
        <v>97</v>
      </c>
      <c r="D671" s="100">
        <v>1.0</v>
      </c>
      <c r="E671" s="119">
        <v>79.5</v>
      </c>
      <c r="F671" s="118">
        <f t="shared" si="90"/>
        <v>79.5</v>
      </c>
      <c r="G671" s="118">
        <f t="shared" si="91"/>
        <v>24.09090909</v>
      </c>
      <c r="H671" s="100" t="s">
        <v>858</v>
      </c>
      <c r="I671" s="1"/>
      <c r="J671" s="120" t="s">
        <v>957</v>
      </c>
      <c r="K671" s="99"/>
      <c r="L671" s="50"/>
      <c r="M671" s="50"/>
      <c r="P671" s="68"/>
    </row>
    <row r="672">
      <c r="A672" s="182">
        <v>7.42976979453E11</v>
      </c>
      <c r="B672" s="100" t="s">
        <v>964</v>
      </c>
      <c r="C672" s="118" t="s">
        <v>97</v>
      </c>
      <c r="D672" s="100">
        <v>1.0</v>
      </c>
      <c r="E672" s="119">
        <v>69.95</v>
      </c>
      <c r="F672" s="118">
        <f t="shared" si="90"/>
        <v>69.95</v>
      </c>
      <c r="G672" s="118">
        <f t="shared" si="91"/>
        <v>21.1969697</v>
      </c>
      <c r="H672" s="100" t="s">
        <v>965</v>
      </c>
      <c r="I672" s="1"/>
      <c r="J672" s="120" t="s">
        <v>957</v>
      </c>
      <c r="K672" s="99"/>
      <c r="L672" s="50"/>
      <c r="M672" s="50"/>
      <c r="P672" s="68"/>
    </row>
    <row r="673">
      <c r="A673" s="182">
        <v>8.85481661069E11</v>
      </c>
      <c r="B673" s="100" t="s">
        <v>966</v>
      </c>
      <c r="C673" s="118" t="s">
        <v>97</v>
      </c>
      <c r="D673" s="100">
        <v>1.0</v>
      </c>
      <c r="E673" s="119">
        <v>79.0</v>
      </c>
      <c r="F673" s="118">
        <f t="shared" si="90"/>
        <v>79</v>
      </c>
      <c r="G673" s="118">
        <f t="shared" si="91"/>
        <v>23.93939394</v>
      </c>
      <c r="H673" s="100" t="s">
        <v>785</v>
      </c>
      <c r="I673" s="1"/>
      <c r="J673" s="120" t="s">
        <v>957</v>
      </c>
      <c r="K673" s="99"/>
      <c r="L673" s="50"/>
      <c r="M673" s="50"/>
      <c r="P673" s="68"/>
    </row>
    <row r="674">
      <c r="A674" s="182">
        <v>8.8930554868E11</v>
      </c>
      <c r="B674" s="100" t="s">
        <v>967</v>
      </c>
      <c r="C674" s="118" t="s">
        <v>97</v>
      </c>
      <c r="D674" s="100">
        <v>1.0</v>
      </c>
      <c r="E674" s="119">
        <v>85.0</v>
      </c>
      <c r="F674" s="118">
        <f t="shared" si="90"/>
        <v>85</v>
      </c>
      <c r="G674" s="118">
        <f t="shared" si="91"/>
        <v>25.75757576</v>
      </c>
      <c r="H674" s="100" t="s">
        <v>797</v>
      </c>
      <c r="I674" s="1"/>
      <c r="J674" s="120" t="s">
        <v>957</v>
      </c>
      <c r="K674" s="99"/>
      <c r="L674" s="50"/>
      <c r="M674" s="50"/>
      <c r="P674" s="68"/>
    </row>
    <row r="675">
      <c r="A675" s="182">
        <v>8.89308530392E11</v>
      </c>
      <c r="B675" s="100" t="s">
        <v>968</v>
      </c>
      <c r="C675" s="118" t="s">
        <v>97</v>
      </c>
      <c r="D675" s="100">
        <v>1.0</v>
      </c>
      <c r="E675" s="119">
        <v>120.0</v>
      </c>
      <c r="F675" s="118">
        <f t="shared" si="90"/>
        <v>120</v>
      </c>
      <c r="G675" s="118">
        <f t="shared" si="91"/>
        <v>36.36363636</v>
      </c>
      <c r="H675" s="100" t="s">
        <v>797</v>
      </c>
      <c r="I675" s="1"/>
      <c r="J675" s="120" t="s">
        <v>957</v>
      </c>
      <c r="K675" s="99"/>
      <c r="L675" s="50"/>
      <c r="M675" s="50"/>
      <c r="P675" s="68"/>
    </row>
    <row r="676">
      <c r="A676" s="182">
        <v>5.050409054284E12</v>
      </c>
      <c r="B676" s="100" t="s">
        <v>969</v>
      </c>
      <c r="C676" s="118" t="s">
        <v>97</v>
      </c>
      <c r="D676" s="100">
        <v>1.0</v>
      </c>
      <c r="E676" s="119">
        <v>85.0</v>
      </c>
      <c r="F676" s="118">
        <f t="shared" si="90"/>
        <v>85</v>
      </c>
      <c r="G676" s="118">
        <f t="shared" si="91"/>
        <v>25.75757576</v>
      </c>
      <c r="H676" s="100" t="s">
        <v>970</v>
      </c>
      <c r="I676" s="1"/>
      <c r="J676" s="120" t="s">
        <v>957</v>
      </c>
      <c r="K676" s="99"/>
      <c r="L676" s="50"/>
      <c r="M676" s="50"/>
      <c r="P676" s="68"/>
    </row>
    <row r="677">
      <c r="A677" s="182">
        <v>6.36193874892E11</v>
      </c>
      <c r="B677" s="100" t="s">
        <v>941</v>
      </c>
      <c r="C677" s="118" t="s">
        <v>97</v>
      </c>
      <c r="D677" s="110">
        <v>1.0</v>
      </c>
      <c r="E677" s="119">
        <v>99.5</v>
      </c>
      <c r="F677" s="118">
        <f t="shared" si="90"/>
        <v>99.5</v>
      </c>
      <c r="G677" s="118">
        <f t="shared" si="91"/>
        <v>30.15151515</v>
      </c>
      <c r="H677" s="100" t="s">
        <v>400</v>
      </c>
      <c r="I677" s="1"/>
      <c r="J677" s="120" t="s">
        <v>957</v>
      </c>
      <c r="K677" s="99"/>
      <c r="L677" s="50"/>
      <c r="M677" s="50"/>
      <c r="P677" s="68"/>
    </row>
    <row r="678">
      <c r="A678" s="121" t="s">
        <v>971</v>
      </c>
      <c r="B678" s="122" t="s">
        <v>972</v>
      </c>
      <c r="C678" s="118"/>
      <c r="D678" s="100"/>
      <c r="E678" s="119"/>
      <c r="F678" s="118"/>
      <c r="G678" s="118"/>
      <c r="H678" s="100"/>
      <c r="I678" s="1"/>
      <c r="J678" s="120"/>
      <c r="K678" s="99"/>
      <c r="L678" s="50"/>
      <c r="M678" s="50"/>
      <c r="P678" s="68"/>
    </row>
    <row r="679">
      <c r="A679" s="182">
        <v>6.36193874892E11</v>
      </c>
      <c r="B679" s="100" t="s">
        <v>941</v>
      </c>
      <c r="C679" s="118" t="s">
        <v>97</v>
      </c>
      <c r="D679" s="110">
        <v>1.0</v>
      </c>
      <c r="E679" s="119">
        <v>99.5</v>
      </c>
      <c r="F679" s="118">
        <f t="shared" ref="F679:F680" si="92">E679*D679</f>
        <v>99.5</v>
      </c>
      <c r="G679" s="118">
        <f t="shared" ref="G679:G680" si="93">F679/3.3</f>
        <v>30.15151515</v>
      </c>
      <c r="H679" s="100" t="s">
        <v>400</v>
      </c>
      <c r="I679" s="1"/>
      <c r="J679" s="120" t="s">
        <v>957</v>
      </c>
      <c r="K679" s="99"/>
      <c r="L679" s="50"/>
      <c r="M679" s="50"/>
      <c r="P679" s="68"/>
    </row>
    <row r="680">
      <c r="A680" s="182">
        <v>1.90748099968E11</v>
      </c>
      <c r="B680" s="100" t="s">
        <v>973</v>
      </c>
      <c r="C680" s="118" t="s">
        <v>97</v>
      </c>
      <c r="D680" s="100">
        <v>1.0</v>
      </c>
      <c r="E680" s="119">
        <v>79.0</v>
      </c>
      <c r="F680" s="118">
        <f t="shared" si="92"/>
        <v>79</v>
      </c>
      <c r="G680" s="118">
        <f t="shared" si="93"/>
        <v>23.93939394</v>
      </c>
      <c r="H680" s="100" t="s">
        <v>876</v>
      </c>
      <c r="I680" s="197"/>
      <c r="J680" s="120" t="s">
        <v>957</v>
      </c>
      <c r="K680" s="99"/>
      <c r="L680" s="50"/>
      <c r="M680" s="50"/>
      <c r="P680" s="68"/>
    </row>
    <row r="681">
      <c r="A681" s="121" t="s">
        <v>974</v>
      </c>
      <c r="B681" s="122" t="s">
        <v>975</v>
      </c>
      <c r="C681" s="118"/>
      <c r="D681" s="100"/>
      <c r="E681" s="119"/>
      <c r="F681" s="118"/>
      <c r="G681" s="118"/>
      <c r="H681" s="100"/>
      <c r="I681" s="1"/>
      <c r="J681" s="120"/>
      <c r="K681" s="99"/>
      <c r="L681" s="50"/>
      <c r="M681" s="50"/>
      <c r="P681" s="68"/>
    </row>
    <row r="682">
      <c r="A682" s="193">
        <v>8.87474061139E11</v>
      </c>
      <c r="B682" s="100" t="s">
        <v>976</v>
      </c>
      <c r="C682" s="118" t="s">
        <v>97</v>
      </c>
      <c r="D682" s="100">
        <v>1.0</v>
      </c>
      <c r="E682" s="119">
        <v>99.0</v>
      </c>
      <c r="F682" s="118">
        <f t="shared" ref="F682:F683" si="94">E682*D682</f>
        <v>99</v>
      </c>
      <c r="G682" s="118">
        <f t="shared" ref="G682:G683" si="95">F682/3.3</f>
        <v>30</v>
      </c>
      <c r="H682" s="100" t="s">
        <v>977</v>
      </c>
      <c r="I682" s="176" t="s">
        <v>436</v>
      </c>
      <c r="J682" s="120" t="s">
        <v>957</v>
      </c>
      <c r="K682" s="99"/>
      <c r="L682" s="50"/>
      <c r="M682" s="50"/>
      <c r="P682" s="68"/>
    </row>
    <row r="683">
      <c r="A683" s="137">
        <v>1.90919460085E11</v>
      </c>
      <c r="B683" s="100" t="s">
        <v>978</v>
      </c>
      <c r="C683" s="118" t="s">
        <v>97</v>
      </c>
      <c r="D683" s="100">
        <v>1.0</v>
      </c>
      <c r="E683" s="119">
        <v>139.0</v>
      </c>
      <c r="F683" s="118">
        <f t="shared" si="94"/>
        <v>139</v>
      </c>
      <c r="G683" s="118">
        <f t="shared" si="95"/>
        <v>42.12121212</v>
      </c>
      <c r="H683" s="100" t="s">
        <v>979</v>
      </c>
      <c r="I683" s="198" t="s">
        <v>980</v>
      </c>
      <c r="J683" s="120" t="s">
        <v>957</v>
      </c>
      <c r="K683" s="99"/>
      <c r="L683" s="50"/>
      <c r="M683" s="50"/>
      <c r="P683" s="68"/>
    </row>
    <row r="684">
      <c r="A684" s="123" t="s">
        <v>132</v>
      </c>
      <c r="B684" s="112" t="s">
        <v>981</v>
      </c>
      <c r="C684" s="124" t="str">
        <f>MID($B684,6,7)</f>
        <v>GR18252</v>
      </c>
      <c r="D684" s="125"/>
      <c r="E684" s="126"/>
      <c r="F684" s="126"/>
      <c r="G684" s="126"/>
      <c r="H684" s="127">
        <v>44558.0</v>
      </c>
      <c r="I684" s="1"/>
      <c r="J684" s="108" t="str">
        <f>IF(LEFT(B684,3)="Box","BOX","COUNT")</f>
        <v>BOX</v>
      </c>
      <c r="K684" s="99">
        <f>SUMIF($J$4:$J$8712,$C684,$D$4:$D$8712)</f>
        <v>16</v>
      </c>
      <c r="L684" s="50">
        <f>SUMIF($J$4:$J$8712,$C684,$F$4:$F$8712)</f>
        <v>1427.9</v>
      </c>
      <c r="M684" s="50">
        <f>SUMIF($J$4:$J$8712,$C684,$G$4:$G$8712)</f>
        <v>432.6969697</v>
      </c>
      <c r="N684" s="36" t="str">
        <f>C684</f>
        <v>GR18252</v>
      </c>
      <c r="O684" s="70" t="str">
        <f>J685</f>
        <v>SHIP</v>
      </c>
      <c r="P684" s="68">
        <f>M684</f>
        <v>432.6969697</v>
      </c>
      <c r="Q684" s="114">
        <v>44540.0</v>
      </c>
      <c r="R684" s="37" t="s">
        <v>982</v>
      </c>
      <c r="S684" s="37" t="s">
        <v>983</v>
      </c>
    </row>
    <row r="685">
      <c r="A685" s="199"/>
      <c r="B685" s="111" t="s">
        <v>984</v>
      </c>
      <c r="C685" s="129"/>
      <c r="D685" s="125"/>
      <c r="E685" s="126"/>
      <c r="F685" s="126"/>
      <c r="G685" s="126"/>
      <c r="H685" s="115" t="s">
        <v>119</v>
      </c>
      <c r="I685" s="1"/>
      <c r="J685" s="108" t="str">
        <f>IF(B685="","NSHIP","SHIP")</f>
        <v>SHIP</v>
      </c>
      <c r="K685" s="99">
        <f>IF($J685="NSHIP",0,-SUMIF($J$4:$J$8712,$C684,$D$4:$D$8712))</f>
        <v>-16</v>
      </c>
      <c r="L685" s="50">
        <f>IF($J685="NSHIP",0,-SUMIF($J$4:$J$8710,$C684,$F$4:$F$8710))</f>
        <v>-1427.9</v>
      </c>
      <c r="M685" s="50">
        <f>IF($J685="NSHIP",0,-SUMIF($J$4:$J$8710,$C684,$G$4:$G$8710))</f>
        <v>-432.6969697</v>
      </c>
      <c r="P685" s="68"/>
    </row>
    <row r="686">
      <c r="A686" s="96">
        <v>1.9160935127E11</v>
      </c>
      <c r="B686" s="131" t="s">
        <v>985</v>
      </c>
      <c r="C686" s="100" t="s">
        <v>97</v>
      </c>
      <c r="D686" s="100">
        <v>1.0</v>
      </c>
      <c r="E686" s="119">
        <v>129.0</v>
      </c>
      <c r="F686" s="118">
        <f t="shared" ref="F686:F699" si="96">E686*D686</f>
        <v>129</v>
      </c>
      <c r="G686" s="118">
        <f t="shared" ref="G686:G699" si="97">F686/3.3</f>
        <v>39.09090909</v>
      </c>
      <c r="H686" s="132" t="s">
        <v>986</v>
      </c>
      <c r="I686" s="1"/>
      <c r="J686" s="104" t="s">
        <v>987</v>
      </c>
      <c r="K686" s="133"/>
      <c r="L686" s="105"/>
      <c r="M686" s="105"/>
      <c r="N686" s="1"/>
      <c r="O686" s="1"/>
      <c r="P686" s="68"/>
    </row>
    <row r="687">
      <c r="A687" s="100">
        <v>6.08381228015E11</v>
      </c>
      <c r="B687" s="131" t="s">
        <v>988</v>
      </c>
      <c r="C687" s="100" t="s">
        <v>97</v>
      </c>
      <c r="D687" s="100">
        <v>1.0</v>
      </c>
      <c r="E687" s="119">
        <v>89.5</v>
      </c>
      <c r="F687" s="118">
        <f t="shared" si="96"/>
        <v>89.5</v>
      </c>
      <c r="G687" s="118">
        <f t="shared" si="97"/>
        <v>27.12121212</v>
      </c>
      <c r="H687" s="132" t="s">
        <v>776</v>
      </c>
      <c r="I687" s="1"/>
      <c r="J687" s="104" t="s">
        <v>987</v>
      </c>
      <c r="K687" s="133"/>
      <c r="L687" s="105"/>
      <c r="M687" s="105"/>
      <c r="N687" s="1"/>
      <c r="O687" s="1"/>
      <c r="P687" s="68"/>
    </row>
    <row r="688">
      <c r="A688" s="100">
        <v>6.08381448352E11</v>
      </c>
      <c r="B688" s="131" t="s">
        <v>989</v>
      </c>
      <c r="C688" s="100" t="s">
        <v>97</v>
      </c>
      <c r="D688" s="100">
        <v>1.0</v>
      </c>
      <c r="E688" s="119">
        <v>89.5</v>
      </c>
      <c r="F688" s="118">
        <f t="shared" si="96"/>
        <v>89.5</v>
      </c>
      <c r="G688" s="118">
        <f t="shared" si="97"/>
        <v>27.12121212</v>
      </c>
      <c r="H688" s="132" t="s">
        <v>858</v>
      </c>
      <c r="I688" s="1"/>
      <c r="J688" s="104" t="s">
        <v>987</v>
      </c>
      <c r="K688" s="133"/>
      <c r="L688" s="105"/>
      <c r="M688" s="105"/>
      <c r="N688" s="1"/>
      <c r="O688" s="1"/>
      <c r="P688" s="68"/>
    </row>
    <row r="689">
      <c r="A689" s="100">
        <v>6.36202394571E11</v>
      </c>
      <c r="B689" s="131" t="s">
        <v>919</v>
      </c>
      <c r="C689" s="100" t="s">
        <v>97</v>
      </c>
      <c r="D689" s="100">
        <v>1.0</v>
      </c>
      <c r="E689" s="119">
        <v>59.5</v>
      </c>
      <c r="F689" s="118">
        <f t="shared" si="96"/>
        <v>59.5</v>
      </c>
      <c r="G689" s="118">
        <f t="shared" si="97"/>
        <v>18.03030303</v>
      </c>
      <c r="H689" s="132" t="s">
        <v>776</v>
      </c>
      <c r="I689" s="1"/>
      <c r="J689" s="104" t="s">
        <v>987</v>
      </c>
      <c r="K689" s="133"/>
      <c r="L689" s="105"/>
      <c r="M689" s="105"/>
      <c r="N689" s="1"/>
      <c r="O689" s="1"/>
      <c r="P689" s="68"/>
    </row>
    <row r="690">
      <c r="A690" s="100">
        <v>7.32994536042E11</v>
      </c>
      <c r="B690" s="131" t="s">
        <v>990</v>
      </c>
      <c r="C690" s="100" t="s">
        <v>97</v>
      </c>
      <c r="D690" s="100">
        <v>1.0</v>
      </c>
      <c r="E690" s="119">
        <v>89.5</v>
      </c>
      <c r="F690" s="118">
        <f t="shared" si="96"/>
        <v>89.5</v>
      </c>
      <c r="G690" s="118">
        <f t="shared" si="97"/>
        <v>27.12121212</v>
      </c>
      <c r="H690" s="132" t="s">
        <v>776</v>
      </c>
      <c r="I690" s="1"/>
      <c r="J690" s="104" t="s">
        <v>987</v>
      </c>
      <c r="K690" s="133"/>
      <c r="L690" s="105"/>
      <c r="M690" s="105"/>
      <c r="N690" s="1"/>
      <c r="O690" s="1"/>
      <c r="P690" s="68"/>
    </row>
    <row r="691">
      <c r="A691" s="100">
        <v>7.32995362817E11</v>
      </c>
      <c r="B691" s="131" t="s">
        <v>991</v>
      </c>
      <c r="C691" s="100" t="s">
        <v>97</v>
      </c>
      <c r="D691" s="100">
        <v>1.0</v>
      </c>
      <c r="E691" s="119">
        <v>59.5</v>
      </c>
      <c r="F691" s="118">
        <f t="shared" si="96"/>
        <v>59.5</v>
      </c>
      <c r="G691" s="118">
        <f t="shared" si="97"/>
        <v>18.03030303</v>
      </c>
      <c r="H691" s="132" t="s">
        <v>856</v>
      </c>
      <c r="I691" s="1"/>
      <c r="J691" s="104" t="s">
        <v>987</v>
      </c>
      <c r="K691" s="133"/>
      <c r="L691" s="105"/>
      <c r="M691" s="105"/>
      <c r="N691" s="1"/>
      <c r="O691" s="1"/>
      <c r="P691" s="68"/>
    </row>
    <row r="692">
      <c r="A692" s="100">
        <v>7.32997528341E11</v>
      </c>
      <c r="B692" s="131" t="s">
        <v>992</v>
      </c>
      <c r="C692" s="100" t="s">
        <v>97</v>
      </c>
      <c r="D692" s="100">
        <v>1.0</v>
      </c>
      <c r="E692" s="119">
        <v>179.5</v>
      </c>
      <c r="F692" s="118">
        <f t="shared" si="96"/>
        <v>179.5</v>
      </c>
      <c r="G692" s="118">
        <f t="shared" si="97"/>
        <v>54.39393939</v>
      </c>
      <c r="H692" s="100" t="s">
        <v>885</v>
      </c>
      <c r="I692" s="1"/>
      <c r="J692" s="104" t="s">
        <v>987</v>
      </c>
      <c r="K692" s="133"/>
      <c r="L692" s="105"/>
      <c r="M692" s="105"/>
      <c r="N692" s="1"/>
      <c r="O692" s="1"/>
      <c r="P692" s="68"/>
    </row>
    <row r="693">
      <c r="A693" s="100">
        <v>7.32998110286E11</v>
      </c>
      <c r="B693" s="131" t="s">
        <v>993</v>
      </c>
      <c r="C693" s="100" t="s">
        <v>97</v>
      </c>
      <c r="D693" s="100">
        <v>1.0</v>
      </c>
      <c r="E693" s="119">
        <v>89.5</v>
      </c>
      <c r="F693" s="118">
        <f t="shared" si="96"/>
        <v>89.5</v>
      </c>
      <c r="G693" s="118">
        <f t="shared" si="97"/>
        <v>27.12121212</v>
      </c>
      <c r="H693" s="132" t="s">
        <v>776</v>
      </c>
      <c r="I693" s="1"/>
      <c r="J693" s="104" t="s">
        <v>987</v>
      </c>
      <c r="K693" s="133"/>
      <c r="L693" s="105"/>
      <c r="M693" s="105"/>
      <c r="N693" s="1"/>
      <c r="O693" s="1"/>
      <c r="P693" s="68"/>
    </row>
    <row r="694">
      <c r="A694" s="100">
        <v>7.68363517862E11</v>
      </c>
      <c r="B694" s="131" t="s">
        <v>994</v>
      </c>
      <c r="C694" s="100" t="s">
        <v>97</v>
      </c>
      <c r="D694" s="100">
        <v>1.0</v>
      </c>
      <c r="E694" s="119">
        <v>99.0</v>
      </c>
      <c r="F694" s="118">
        <f t="shared" si="96"/>
        <v>99</v>
      </c>
      <c r="G694" s="118">
        <f t="shared" si="97"/>
        <v>30</v>
      </c>
      <c r="H694" s="132" t="s">
        <v>783</v>
      </c>
      <c r="I694" s="1"/>
      <c r="J694" s="104" t="s">
        <v>987</v>
      </c>
      <c r="K694" s="133"/>
      <c r="L694" s="105"/>
      <c r="M694" s="105"/>
      <c r="N694" s="1"/>
      <c r="O694" s="1"/>
      <c r="P694" s="68"/>
    </row>
    <row r="695">
      <c r="A695" s="100">
        <v>7.68363518012E11</v>
      </c>
      <c r="B695" s="131" t="s">
        <v>995</v>
      </c>
      <c r="C695" s="100" t="s">
        <v>97</v>
      </c>
      <c r="D695" s="100">
        <v>1.0</v>
      </c>
      <c r="E695" s="119">
        <v>99.0</v>
      </c>
      <c r="F695" s="118">
        <f t="shared" si="96"/>
        <v>99</v>
      </c>
      <c r="G695" s="118">
        <f t="shared" si="97"/>
        <v>30</v>
      </c>
      <c r="H695" s="132" t="s">
        <v>783</v>
      </c>
      <c r="I695" s="1"/>
      <c r="J695" s="104" t="s">
        <v>987</v>
      </c>
      <c r="K695" s="133"/>
      <c r="L695" s="105"/>
      <c r="M695" s="105"/>
      <c r="N695" s="1"/>
      <c r="O695" s="1"/>
      <c r="P695" s="68"/>
    </row>
    <row r="696">
      <c r="A696" s="100">
        <v>8.2544370508E11</v>
      </c>
      <c r="B696" s="131" t="s">
        <v>996</v>
      </c>
      <c r="C696" s="100" t="s">
        <v>97</v>
      </c>
      <c r="D696" s="100">
        <v>1.0</v>
      </c>
      <c r="E696" s="119">
        <v>79.0</v>
      </c>
      <c r="F696" s="118">
        <f t="shared" si="96"/>
        <v>79</v>
      </c>
      <c r="G696" s="118">
        <f t="shared" si="97"/>
        <v>23.93939394</v>
      </c>
      <c r="H696" s="132" t="s">
        <v>997</v>
      </c>
      <c r="I696" s="1"/>
      <c r="J696" s="104" t="s">
        <v>987</v>
      </c>
      <c r="K696" s="133"/>
      <c r="L696" s="105"/>
      <c r="M696" s="105"/>
      <c r="N696" s="1"/>
      <c r="O696" s="1"/>
      <c r="P696" s="68"/>
    </row>
    <row r="697">
      <c r="A697" s="100">
        <v>8.25840965247E11</v>
      </c>
      <c r="B697" s="131" t="s">
        <v>998</v>
      </c>
      <c r="C697" s="100" t="s">
        <v>97</v>
      </c>
      <c r="D697" s="100">
        <v>1.0</v>
      </c>
      <c r="E697" s="119">
        <v>180.0</v>
      </c>
      <c r="F697" s="118">
        <f t="shared" si="96"/>
        <v>180</v>
      </c>
      <c r="G697" s="118">
        <f t="shared" si="97"/>
        <v>54.54545455</v>
      </c>
      <c r="H697" s="100" t="s">
        <v>999</v>
      </c>
      <c r="I697" s="1"/>
      <c r="J697" s="104" t="s">
        <v>987</v>
      </c>
      <c r="K697" s="133"/>
      <c r="L697" s="105"/>
      <c r="M697" s="105"/>
      <c r="N697" s="1"/>
      <c r="O697" s="1"/>
      <c r="P697" s="68"/>
    </row>
    <row r="698">
      <c r="A698" s="100">
        <v>8.85481661854E11</v>
      </c>
      <c r="B698" s="131" t="s">
        <v>1000</v>
      </c>
      <c r="C698" s="100" t="s">
        <v>97</v>
      </c>
      <c r="D698" s="100">
        <v>1.0</v>
      </c>
      <c r="E698" s="119">
        <v>89.0</v>
      </c>
      <c r="F698" s="118">
        <f t="shared" si="96"/>
        <v>89</v>
      </c>
      <c r="G698" s="118">
        <f t="shared" si="97"/>
        <v>26.96969697</v>
      </c>
      <c r="H698" s="132" t="s">
        <v>785</v>
      </c>
      <c r="I698" s="1"/>
      <c r="J698" s="104" t="s">
        <v>987</v>
      </c>
      <c r="K698" s="133"/>
      <c r="L698" s="105"/>
      <c r="M698" s="105"/>
      <c r="N698" s="1"/>
      <c r="O698" s="1"/>
      <c r="P698" s="68"/>
    </row>
    <row r="699">
      <c r="A699" s="100">
        <v>8.87721172625E11</v>
      </c>
      <c r="B699" s="131" t="s">
        <v>1001</v>
      </c>
      <c r="C699" s="100" t="s">
        <v>97</v>
      </c>
      <c r="D699" s="100">
        <v>1.0</v>
      </c>
      <c r="E699" s="119">
        <v>59.0</v>
      </c>
      <c r="F699" s="118">
        <f t="shared" si="96"/>
        <v>59</v>
      </c>
      <c r="G699" s="118">
        <f t="shared" si="97"/>
        <v>17.87878788</v>
      </c>
      <c r="H699" s="132" t="s">
        <v>873</v>
      </c>
      <c r="I699" s="1"/>
      <c r="J699" s="104" t="s">
        <v>987</v>
      </c>
      <c r="K699" s="133"/>
      <c r="L699" s="105"/>
      <c r="M699" s="105"/>
      <c r="N699" s="1"/>
      <c r="O699" s="1"/>
      <c r="P699" s="68"/>
    </row>
    <row r="700">
      <c r="A700" s="135" t="s">
        <v>865</v>
      </c>
      <c r="B700" s="103" t="s">
        <v>1002</v>
      </c>
      <c r="C700" s="100"/>
      <c r="D700" s="100"/>
      <c r="E700" s="119"/>
      <c r="F700" s="118"/>
      <c r="G700" s="118"/>
      <c r="H700" s="146"/>
      <c r="I700" s="1"/>
      <c r="J700" s="104"/>
      <c r="K700" s="133"/>
      <c r="L700" s="105"/>
      <c r="M700" s="105"/>
      <c r="N700" s="1"/>
      <c r="O700" s="1"/>
      <c r="P700" s="68"/>
    </row>
    <row r="701">
      <c r="A701" s="112" t="s">
        <v>153</v>
      </c>
      <c r="B701" s="112" t="s">
        <v>1003</v>
      </c>
      <c r="C701" s="112" t="str">
        <f>MID($B701,6,7)</f>
        <v>GR18253</v>
      </c>
      <c r="D701" s="112"/>
      <c r="E701" s="138"/>
      <c r="F701" s="124"/>
      <c r="G701" s="124"/>
      <c r="H701" s="127">
        <v>44558.0</v>
      </c>
      <c r="I701" s="1"/>
      <c r="J701" s="104" t="str">
        <f>IF(LEFT(B701,3)="Box","BOX","COUNT")</f>
        <v>BOX</v>
      </c>
      <c r="K701" s="139">
        <f>SUMIF($J$4:$J$8701,$C701,$D$4:$D$8701)</f>
        <v>14</v>
      </c>
      <c r="L701" s="32">
        <f>SUMIF($J$4:$J$8701,$C701,$F$4:$F$8701)</f>
        <v>1390.5</v>
      </c>
      <c r="M701" s="32">
        <f>SUMIF($J$4:$J$8701,$C701,$G$4:$G$8701)</f>
        <v>421.3636364</v>
      </c>
      <c r="N701" s="1" t="str">
        <f>C701</f>
        <v>GR18253</v>
      </c>
      <c r="O701" s="1" t="str">
        <f>J702</f>
        <v>SHIP</v>
      </c>
      <c r="P701" s="68">
        <f>M701</f>
        <v>421.3636364</v>
      </c>
      <c r="Q701" s="114">
        <v>44499.0</v>
      </c>
      <c r="R701" s="37" t="s">
        <v>982</v>
      </c>
      <c r="S701" s="37" t="s">
        <v>983</v>
      </c>
    </row>
    <row r="702">
      <c r="A702" s="150"/>
      <c r="B702" s="140" t="s">
        <v>1004</v>
      </c>
      <c r="C702" s="141"/>
      <c r="D702" s="141"/>
      <c r="E702" s="142"/>
      <c r="F702" s="142"/>
      <c r="G702" s="142"/>
      <c r="H702" s="141"/>
      <c r="I702" s="1"/>
      <c r="J702" s="104" t="str">
        <f>IF(B702="","NSHIP","SHIP")</f>
        <v>SHIP</v>
      </c>
      <c r="K702" s="139">
        <f>IF($J702="NSHIP",0,-SUMIF($J$4:$J$8701,$C701,$D$4:$D$8701))</f>
        <v>-14</v>
      </c>
      <c r="L702" s="32">
        <f>IF($J702="NSHIP",0,-SUMIF($J$4:$J$8699,$C701,$F$4:$F$8699))</f>
        <v>-1390.5</v>
      </c>
      <c r="M702" s="32">
        <f>IF($J702="NSHIP",0,-SUMIF($J$4:$J$8699,$C701,$G$4:$G$8699))</f>
        <v>-421.3636364</v>
      </c>
      <c r="N702" s="1"/>
      <c r="O702" s="1"/>
      <c r="P702" s="68"/>
    </row>
    <row r="703">
      <c r="A703" s="96">
        <v>1.9160923148E11</v>
      </c>
      <c r="B703" s="131" t="s">
        <v>1005</v>
      </c>
      <c r="C703" s="100" t="s">
        <v>97</v>
      </c>
      <c r="D703" s="100">
        <v>1.0</v>
      </c>
      <c r="E703" s="119">
        <v>69.0</v>
      </c>
      <c r="F703" s="118">
        <f t="shared" ref="F703:F709" si="98">E703*D703</f>
        <v>69</v>
      </c>
      <c r="G703" s="118">
        <f t="shared" ref="G703:G709" si="99">F703/3.3</f>
        <v>20.90909091</v>
      </c>
      <c r="H703" s="100" t="s">
        <v>879</v>
      </c>
      <c r="I703" s="1"/>
      <c r="J703" s="120" t="s">
        <v>1006</v>
      </c>
      <c r="K703" s="99"/>
      <c r="L703" s="50"/>
      <c r="M703" s="50"/>
      <c r="P703" s="68"/>
    </row>
    <row r="704">
      <c r="A704" s="100">
        <v>7.36711855249E11</v>
      </c>
      <c r="B704" s="131" t="s">
        <v>1007</v>
      </c>
      <c r="C704" s="100" t="s">
        <v>97</v>
      </c>
      <c r="D704" s="100">
        <v>1.0</v>
      </c>
      <c r="E704" s="119">
        <v>79.0</v>
      </c>
      <c r="F704" s="118">
        <f t="shared" si="98"/>
        <v>79</v>
      </c>
      <c r="G704" s="118">
        <f t="shared" si="99"/>
        <v>23.93939394</v>
      </c>
      <c r="H704" s="100" t="s">
        <v>783</v>
      </c>
      <c r="I704" s="1"/>
      <c r="J704" s="120" t="s">
        <v>1006</v>
      </c>
      <c r="K704" s="99"/>
      <c r="L704" s="50"/>
      <c r="M704" s="50"/>
      <c r="P704" s="68"/>
    </row>
    <row r="705">
      <c r="A705" s="100">
        <v>7.68363511617E11</v>
      </c>
      <c r="B705" s="131" t="s">
        <v>1008</v>
      </c>
      <c r="C705" s="100" t="s">
        <v>97</v>
      </c>
      <c r="D705" s="100">
        <v>1.0</v>
      </c>
      <c r="E705" s="119">
        <v>89.0</v>
      </c>
      <c r="F705" s="118">
        <f t="shared" si="98"/>
        <v>89</v>
      </c>
      <c r="G705" s="118">
        <f t="shared" si="99"/>
        <v>26.96969697</v>
      </c>
      <c r="H705" s="100" t="s">
        <v>783</v>
      </c>
      <c r="I705" s="1"/>
      <c r="J705" s="120" t="s">
        <v>1006</v>
      </c>
      <c r="K705" s="99"/>
      <c r="L705" s="50"/>
      <c r="M705" s="50"/>
      <c r="P705" s="68"/>
    </row>
    <row r="706">
      <c r="A706" s="100">
        <v>7.68363517787E11</v>
      </c>
      <c r="B706" s="131" t="s">
        <v>948</v>
      </c>
      <c r="C706" s="100" t="s">
        <v>97</v>
      </c>
      <c r="D706" s="100">
        <v>1.0</v>
      </c>
      <c r="E706" s="119">
        <v>99.0</v>
      </c>
      <c r="F706" s="118">
        <f t="shared" si="98"/>
        <v>99</v>
      </c>
      <c r="G706" s="118">
        <f t="shared" si="99"/>
        <v>30</v>
      </c>
      <c r="H706" s="100" t="s">
        <v>783</v>
      </c>
      <c r="I706" s="1"/>
      <c r="J706" s="120" t="s">
        <v>1006</v>
      </c>
      <c r="K706" s="99"/>
      <c r="L706" s="50"/>
      <c r="M706" s="50"/>
      <c r="P706" s="68"/>
    </row>
    <row r="707">
      <c r="A707" s="100">
        <v>8.00554879608E11</v>
      </c>
      <c r="B707" s="131" t="s">
        <v>1009</v>
      </c>
      <c r="C707" s="100" t="s">
        <v>97</v>
      </c>
      <c r="D707" s="100">
        <v>1.0</v>
      </c>
      <c r="E707" s="119">
        <v>89.0</v>
      </c>
      <c r="F707" s="118">
        <f t="shared" si="98"/>
        <v>89</v>
      </c>
      <c r="G707" s="118">
        <f t="shared" si="99"/>
        <v>26.96969697</v>
      </c>
      <c r="H707" s="100" t="s">
        <v>924</v>
      </c>
      <c r="I707" s="1"/>
      <c r="J707" s="120" t="s">
        <v>1006</v>
      </c>
      <c r="K707" s="99"/>
      <c r="L707" s="50"/>
      <c r="M707" s="50"/>
      <c r="P707" s="68"/>
    </row>
    <row r="708">
      <c r="A708" s="100">
        <v>8.25443093231E11</v>
      </c>
      <c r="B708" s="131" t="s">
        <v>1010</v>
      </c>
      <c r="C708" s="100" t="s">
        <v>97</v>
      </c>
      <c r="D708" s="100">
        <v>1.0</v>
      </c>
      <c r="E708" s="119">
        <v>89.0</v>
      </c>
      <c r="F708" s="118">
        <f t="shared" si="98"/>
        <v>89</v>
      </c>
      <c r="G708" s="118">
        <f t="shared" si="99"/>
        <v>26.96969697</v>
      </c>
      <c r="H708" s="100" t="s">
        <v>883</v>
      </c>
      <c r="I708" s="1"/>
      <c r="J708" s="120" t="s">
        <v>1006</v>
      </c>
      <c r="K708" s="99"/>
      <c r="L708" s="50"/>
      <c r="M708" s="50"/>
      <c r="P708" s="68"/>
    </row>
    <row r="709">
      <c r="A709" s="100">
        <v>8.89306991874E11</v>
      </c>
      <c r="B709" s="131" t="s">
        <v>1011</v>
      </c>
      <c r="C709" s="100" t="s">
        <v>97</v>
      </c>
      <c r="D709" s="100">
        <v>1.0</v>
      </c>
      <c r="E709" s="119">
        <v>95.0</v>
      </c>
      <c r="F709" s="118">
        <f t="shared" si="98"/>
        <v>95</v>
      </c>
      <c r="G709" s="118">
        <f t="shared" si="99"/>
        <v>28.78787879</v>
      </c>
      <c r="H709" s="100" t="s">
        <v>797</v>
      </c>
      <c r="I709" s="1"/>
      <c r="J709" s="120" t="s">
        <v>1006</v>
      </c>
      <c r="K709" s="99"/>
      <c r="L709" s="50"/>
      <c r="M709" s="50"/>
      <c r="P709" s="68"/>
    </row>
    <row r="710">
      <c r="A710" s="144" t="s">
        <v>1012</v>
      </c>
      <c r="B710" s="145" t="s">
        <v>1013</v>
      </c>
      <c r="C710" s="100"/>
      <c r="D710" s="100"/>
      <c r="E710" s="119"/>
      <c r="F710" s="118"/>
      <c r="G710" s="118"/>
      <c r="H710" s="143"/>
      <c r="I710" s="1"/>
      <c r="J710" s="120"/>
      <c r="K710" s="99"/>
      <c r="L710" s="50"/>
      <c r="M710" s="50"/>
      <c r="P710" s="68"/>
    </row>
    <row r="711">
      <c r="A711" s="134">
        <v>6.36193874861E11</v>
      </c>
      <c r="B711" s="131" t="s">
        <v>1014</v>
      </c>
      <c r="C711" s="100" t="s">
        <v>97</v>
      </c>
      <c r="D711" s="100">
        <v>1.0</v>
      </c>
      <c r="E711" s="119">
        <v>99.5</v>
      </c>
      <c r="F711" s="118">
        <f t="shared" ref="F711:F717" si="100">E711*D711</f>
        <v>99.5</v>
      </c>
      <c r="G711" s="118">
        <f t="shared" ref="G711:G717" si="101">F711/3.3</f>
        <v>30.15151515</v>
      </c>
      <c r="H711" s="143" t="s">
        <v>400</v>
      </c>
      <c r="I711" s="1"/>
      <c r="J711" s="120" t="s">
        <v>1006</v>
      </c>
      <c r="K711" s="99"/>
      <c r="L711" s="50"/>
      <c r="M711" s="50"/>
      <c r="P711" s="68"/>
    </row>
    <row r="712">
      <c r="A712" s="134">
        <v>6.36193874892E11</v>
      </c>
      <c r="B712" s="131" t="s">
        <v>941</v>
      </c>
      <c r="C712" s="100" t="s">
        <v>97</v>
      </c>
      <c r="D712" s="100">
        <v>1.0</v>
      </c>
      <c r="E712" s="119">
        <v>99.5</v>
      </c>
      <c r="F712" s="118">
        <f t="shared" si="100"/>
        <v>99.5</v>
      </c>
      <c r="G712" s="118">
        <f t="shared" si="101"/>
        <v>30.15151515</v>
      </c>
      <c r="H712" s="143" t="s">
        <v>400</v>
      </c>
      <c r="I712" s="1"/>
      <c r="J712" s="120" t="s">
        <v>1006</v>
      </c>
      <c r="K712" s="99"/>
      <c r="L712" s="50"/>
      <c r="M712" s="50"/>
      <c r="P712" s="68"/>
    </row>
    <row r="713">
      <c r="A713" s="134">
        <v>7.32994889322E11</v>
      </c>
      <c r="B713" s="131" t="s">
        <v>1015</v>
      </c>
      <c r="C713" s="100" t="s">
        <v>97</v>
      </c>
      <c r="D713" s="100">
        <v>1.0</v>
      </c>
      <c r="E713" s="119">
        <v>79.5</v>
      </c>
      <c r="F713" s="118">
        <f t="shared" si="100"/>
        <v>79.5</v>
      </c>
      <c r="G713" s="118">
        <f t="shared" si="101"/>
        <v>24.09090909</v>
      </c>
      <c r="H713" s="143" t="s">
        <v>916</v>
      </c>
      <c r="I713" s="1"/>
      <c r="J713" s="120" t="s">
        <v>1006</v>
      </c>
      <c r="K713" s="99"/>
      <c r="L713" s="50"/>
      <c r="M713" s="50"/>
      <c r="P713" s="68"/>
    </row>
    <row r="714">
      <c r="A714" s="134">
        <v>7.32995329056E11</v>
      </c>
      <c r="B714" s="131" t="s">
        <v>1016</v>
      </c>
      <c r="C714" s="100" t="s">
        <v>97</v>
      </c>
      <c r="D714" s="100">
        <v>1.0</v>
      </c>
      <c r="E714" s="119">
        <v>59.5</v>
      </c>
      <c r="F714" s="118">
        <f t="shared" si="100"/>
        <v>59.5</v>
      </c>
      <c r="G714" s="118">
        <f t="shared" si="101"/>
        <v>18.03030303</v>
      </c>
      <c r="H714" s="143" t="s">
        <v>962</v>
      </c>
      <c r="I714" s="1"/>
      <c r="J714" s="120" t="s">
        <v>1006</v>
      </c>
      <c r="K714" s="99"/>
      <c r="L714" s="50"/>
      <c r="M714" s="50"/>
      <c r="P714" s="68"/>
    </row>
    <row r="715">
      <c r="A715" s="134">
        <v>7.32995854701E11</v>
      </c>
      <c r="B715" s="131" t="s">
        <v>1017</v>
      </c>
      <c r="C715" s="100" t="s">
        <v>97</v>
      </c>
      <c r="D715" s="100">
        <v>1.0</v>
      </c>
      <c r="E715" s="119">
        <v>59.5</v>
      </c>
      <c r="F715" s="118">
        <f t="shared" si="100"/>
        <v>59.5</v>
      </c>
      <c r="G715" s="118">
        <f t="shared" si="101"/>
        <v>18.03030303</v>
      </c>
      <c r="H715" s="143" t="s">
        <v>776</v>
      </c>
      <c r="I715" s="1"/>
      <c r="J715" s="120" t="s">
        <v>1006</v>
      </c>
      <c r="K715" s="99"/>
      <c r="L715" s="50"/>
      <c r="M715" s="50"/>
      <c r="P715" s="68"/>
    </row>
    <row r="716">
      <c r="A716" s="134">
        <v>7.32997859346E11</v>
      </c>
      <c r="B716" s="131" t="s">
        <v>1018</v>
      </c>
      <c r="C716" s="100" t="s">
        <v>97</v>
      </c>
      <c r="D716" s="100">
        <v>1.0</v>
      </c>
      <c r="E716" s="119">
        <v>79.5</v>
      </c>
      <c r="F716" s="118">
        <f t="shared" si="100"/>
        <v>79.5</v>
      </c>
      <c r="G716" s="118">
        <f t="shared" si="101"/>
        <v>24.09090909</v>
      </c>
      <c r="H716" s="143" t="s">
        <v>856</v>
      </c>
      <c r="I716" s="1"/>
      <c r="J716" s="120" t="s">
        <v>1006</v>
      </c>
      <c r="K716" s="99"/>
      <c r="L716" s="50"/>
      <c r="M716" s="50"/>
      <c r="P716" s="68"/>
    </row>
    <row r="717">
      <c r="A717" s="134">
        <v>7.68363511617E11</v>
      </c>
      <c r="B717" s="131" t="s">
        <v>1008</v>
      </c>
      <c r="C717" s="100" t="s">
        <v>97</v>
      </c>
      <c r="D717" s="100">
        <v>1.0</v>
      </c>
      <c r="E717" s="119">
        <v>89.0</v>
      </c>
      <c r="F717" s="118">
        <f t="shared" si="100"/>
        <v>89</v>
      </c>
      <c r="G717" s="118">
        <f t="shared" si="101"/>
        <v>26.96969697</v>
      </c>
      <c r="H717" s="143" t="s">
        <v>783</v>
      </c>
      <c r="I717" s="1"/>
      <c r="J717" s="120" t="s">
        <v>1006</v>
      </c>
      <c r="K717" s="99"/>
      <c r="L717" s="50"/>
      <c r="M717" s="50"/>
      <c r="P717" s="68"/>
    </row>
    <row r="718">
      <c r="A718" s="144" t="s">
        <v>1012</v>
      </c>
      <c r="B718" s="145" t="s">
        <v>1019</v>
      </c>
      <c r="C718" s="100"/>
      <c r="D718" s="100"/>
      <c r="E718" s="119"/>
      <c r="F718" s="118"/>
      <c r="G718" s="118"/>
      <c r="H718" s="143"/>
      <c r="I718" s="1"/>
      <c r="J718" s="108"/>
      <c r="K718" s="99"/>
      <c r="L718" s="50"/>
      <c r="M718" s="50"/>
      <c r="P718" s="68"/>
    </row>
    <row r="719">
      <c r="A719" s="134">
        <v>6.36193874892E11</v>
      </c>
      <c r="B719" s="131" t="s">
        <v>941</v>
      </c>
      <c r="C719" s="100" t="s">
        <v>97</v>
      </c>
      <c r="D719" s="100">
        <v>1.0</v>
      </c>
      <c r="E719" s="119">
        <v>99.5</v>
      </c>
      <c r="F719" s="118">
        <f>E719*D719</f>
        <v>99.5</v>
      </c>
      <c r="G719" s="118">
        <f>F719/3.3</f>
        <v>30.15151515</v>
      </c>
      <c r="H719" s="143" t="s">
        <v>400</v>
      </c>
      <c r="I719" s="1"/>
      <c r="J719" s="120" t="s">
        <v>1006</v>
      </c>
      <c r="K719" s="99"/>
      <c r="L719" s="50"/>
      <c r="M719" s="50"/>
      <c r="P719" s="68"/>
    </row>
    <row r="720">
      <c r="A720" s="144" t="s">
        <v>429</v>
      </c>
      <c r="B720" s="145" t="s">
        <v>1020</v>
      </c>
      <c r="C720" s="100"/>
      <c r="D720" s="100"/>
      <c r="E720" s="119"/>
      <c r="F720" s="118"/>
      <c r="G720" s="118"/>
      <c r="H720" s="143"/>
      <c r="I720" s="1"/>
      <c r="J720" s="108"/>
      <c r="K720" s="99"/>
      <c r="L720" s="50"/>
      <c r="M720" s="50"/>
      <c r="P720" s="68"/>
    </row>
    <row r="721">
      <c r="A721" s="149">
        <v>1.90047616316E11</v>
      </c>
      <c r="B721" s="131" t="s">
        <v>1021</v>
      </c>
      <c r="C721" s="100" t="s">
        <v>97</v>
      </c>
      <c r="D721" s="100">
        <v>1.0</v>
      </c>
      <c r="E721" s="119">
        <v>69.0</v>
      </c>
      <c r="F721" s="118">
        <f>E721*D721</f>
        <v>69</v>
      </c>
      <c r="G721" s="118">
        <f>F721/3.3</f>
        <v>20.90909091</v>
      </c>
      <c r="H721" s="143" t="s">
        <v>873</v>
      </c>
      <c r="I721" s="178" t="s">
        <v>703</v>
      </c>
      <c r="J721" s="120" t="s">
        <v>1006</v>
      </c>
      <c r="K721" s="99"/>
      <c r="L721" s="50"/>
      <c r="M721" s="50"/>
      <c r="P721" s="68"/>
    </row>
    <row r="722">
      <c r="A722" s="112" t="s">
        <v>224</v>
      </c>
      <c r="B722" s="112" t="s">
        <v>1022</v>
      </c>
      <c r="C722" s="112" t="str">
        <f>MID($B722,6,7)</f>
        <v>GR18254</v>
      </c>
      <c r="D722" s="112"/>
      <c r="E722" s="112"/>
      <c r="F722" s="112"/>
      <c r="G722" s="112"/>
      <c r="H722" s="127">
        <v>44558.0</v>
      </c>
      <c r="I722" s="1"/>
      <c r="J722" s="108" t="str">
        <f>IF(LEFT(B722,3)="Box","BOX","COUNT")</f>
        <v>BOX</v>
      </c>
      <c r="K722" s="99">
        <f>SUMIF($J$4:$J$8712,$C722,$D$4:$D$8712)</f>
        <v>16</v>
      </c>
      <c r="L722" s="50">
        <f>SUMIF($J$4:$J$8712,$C722,$F$4:$F$8712)</f>
        <v>1343.5</v>
      </c>
      <c r="M722" s="50">
        <f>SUMIF($J$4:$J$8712,$C722,$G$4:$G$8712)</f>
        <v>407.1212121</v>
      </c>
      <c r="N722" s="70" t="str">
        <f>C722</f>
        <v>GR18254</v>
      </c>
      <c r="O722" s="70" t="str">
        <f>J723</f>
        <v>SHIP</v>
      </c>
      <c r="P722" s="68">
        <f>M722</f>
        <v>407.1212121</v>
      </c>
      <c r="Q722" s="114">
        <v>44499.0</v>
      </c>
      <c r="R722" s="37" t="s">
        <v>982</v>
      </c>
      <c r="S722" s="37" t="s">
        <v>983</v>
      </c>
    </row>
    <row r="723">
      <c r="A723" s="200">
        <v>44561.0</v>
      </c>
      <c r="B723" s="112" t="s">
        <v>1023</v>
      </c>
      <c r="C723" s="134"/>
      <c r="D723" s="134"/>
      <c r="E723" s="201"/>
      <c r="F723" s="201"/>
      <c r="G723" s="201"/>
      <c r="H723" s="149"/>
      <c r="I723" s="1"/>
      <c r="J723" s="108" t="str">
        <f>IF(B723="","NSHIP","SHIP")</f>
        <v>SHIP</v>
      </c>
      <c r="K723" s="99">
        <f>IF($J723="NSHIP",0,-SUMIF($J$4:$J$8712,$C722,$D$4:$D$8712))</f>
        <v>-16</v>
      </c>
      <c r="L723" s="50">
        <f>IF($J723="NSHIP",0,-SUMIF($J$4:$J$8710,$C722,$F$4:$F$8710))</f>
        <v>-1343.5</v>
      </c>
      <c r="M723" s="50">
        <f>IF($J723="NSHIP",0,-SUMIF($J$4:$J$8710,$C722,$G$4:$G$8710))</f>
        <v>-407.1212121</v>
      </c>
      <c r="P723" s="68"/>
    </row>
    <row r="724">
      <c r="A724" s="109">
        <v>1.90047888027E11</v>
      </c>
      <c r="B724" s="151" t="s">
        <v>1024</v>
      </c>
      <c r="C724" s="95" t="s">
        <v>97</v>
      </c>
      <c r="D724" s="95">
        <v>1.0</v>
      </c>
      <c r="E724" s="101">
        <v>89.0</v>
      </c>
      <c r="F724" s="97">
        <f t="shared" ref="F724:F734" si="102">E724*D724</f>
        <v>89</v>
      </c>
      <c r="G724" s="97">
        <f t="shared" ref="G724:G734" si="103">F724/3.3</f>
        <v>26.96969697</v>
      </c>
      <c r="H724" s="95" t="s">
        <v>873</v>
      </c>
      <c r="J724" s="120" t="s">
        <v>1025</v>
      </c>
      <c r="K724" s="99"/>
      <c r="L724" s="50"/>
      <c r="M724" s="50"/>
      <c r="P724" s="68"/>
    </row>
    <row r="725">
      <c r="A725" s="109">
        <v>1.90047901672E11</v>
      </c>
      <c r="B725" s="151" t="s">
        <v>1026</v>
      </c>
      <c r="C725" s="95" t="s">
        <v>97</v>
      </c>
      <c r="D725" s="95">
        <v>1.0</v>
      </c>
      <c r="E725" s="101">
        <v>89.0</v>
      </c>
      <c r="F725" s="97">
        <f t="shared" si="102"/>
        <v>89</v>
      </c>
      <c r="G725" s="97">
        <f t="shared" si="103"/>
        <v>26.96969697</v>
      </c>
      <c r="H725" s="95" t="s">
        <v>873</v>
      </c>
      <c r="J725" s="120" t="s">
        <v>1025</v>
      </c>
      <c r="K725" s="99"/>
      <c r="L725" s="50"/>
      <c r="M725" s="50"/>
      <c r="P725" s="68"/>
    </row>
    <row r="726">
      <c r="A726" s="109">
        <v>1.90748761421E11</v>
      </c>
      <c r="B726" s="151" t="s">
        <v>1027</v>
      </c>
      <c r="C726" s="95" t="s">
        <v>97</v>
      </c>
      <c r="D726" s="95">
        <v>1.0</v>
      </c>
      <c r="E726" s="101">
        <v>59.0</v>
      </c>
      <c r="F726" s="97">
        <f t="shared" si="102"/>
        <v>59</v>
      </c>
      <c r="G726" s="97">
        <f t="shared" si="103"/>
        <v>17.87878788</v>
      </c>
      <c r="H726" s="95" t="s">
        <v>876</v>
      </c>
      <c r="J726" s="120" t="s">
        <v>1025</v>
      </c>
      <c r="K726" s="99"/>
      <c r="L726" s="50"/>
      <c r="M726" s="50"/>
      <c r="P726" s="68"/>
    </row>
    <row r="727">
      <c r="A727" s="109">
        <v>6.36189231289E11</v>
      </c>
      <c r="B727" s="151" t="s">
        <v>1028</v>
      </c>
      <c r="C727" s="95" t="s">
        <v>97</v>
      </c>
      <c r="D727" s="95">
        <v>1.0</v>
      </c>
      <c r="E727" s="101">
        <v>99.5</v>
      </c>
      <c r="F727" s="97">
        <f t="shared" si="102"/>
        <v>99.5</v>
      </c>
      <c r="G727" s="97">
        <f t="shared" si="103"/>
        <v>30.15151515</v>
      </c>
      <c r="H727" s="95" t="s">
        <v>193</v>
      </c>
      <c r="J727" s="120" t="s">
        <v>1025</v>
      </c>
      <c r="K727" s="99"/>
      <c r="L727" s="50"/>
      <c r="M727" s="50"/>
      <c r="P727" s="68"/>
    </row>
    <row r="728">
      <c r="A728" s="109">
        <v>6.57476423477E11</v>
      </c>
      <c r="B728" s="151" t="s">
        <v>1029</v>
      </c>
      <c r="C728" s="95" t="s">
        <v>97</v>
      </c>
      <c r="D728" s="95">
        <v>1.0</v>
      </c>
      <c r="E728" s="101">
        <v>100.0</v>
      </c>
      <c r="F728" s="97">
        <f t="shared" si="102"/>
        <v>100</v>
      </c>
      <c r="G728" s="97">
        <f t="shared" si="103"/>
        <v>30.3030303</v>
      </c>
      <c r="H728" s="95" t="s">
        <v>1030</v>
      </c>
      <c r="J728" s="120" t="s">
        <v>1025</v>
      </c>
      <c r="K728" s="99"/>
      <c r="L728" s="50"/>
      <c r="M728" s="50"/>
      <c r="P728" s="68"/>
    </row>
    <row r="729">
      <c r="A729" s="109">
        <v>6.89439136766E11</v>
      </c>
      <c r="B729" s="151" t="s">
        <v>1031</v>
      </c>
      <c r="C729" s="95" t="s">
        <v>97</v>
      </c>
      <c r="D729" s="95">
        <v>1.0</v>
      </c>
      <c r="E729" s="101">
        <v>129.5</v>
      </c>
      <c r="F729" s="97">
        <f t="shared" si="102"/>
        <v>129.5</v>
      </c>
      <c r="G729" s="97">
        <f t="shared" si="103"/>
        <v>39.24242424</v>
      </c>
      <c r="H729" s="95" t="s">
        <v>858</v>
      </c>
      <c r="J729" s="120" t="s">
        <v>1025</v>
      </c>
      <c r="K729" s="99"/>
      <c r="L729" s="50"/>
      <c r="M729" s="50"/>
      <c r="P729" s="68"/>
    </row>
    <row r="730">
      <c r="A730" s="109">
        <v>7.16142097401E11</v>
      </c>
      <c r="B730" s="151" t="s">
        <v>1032</v>
      </c>
      <c r="C730" s="95" t="s">
        <v>97</v>
      </c>
      <c r="D730" s="95">
        <v>1.0</v>
      </c>
      <c r="E730" s="101">
        <v>79.0</v>
      </c>
      <c r="F730" s="97">
        <f t="shared" si="102"/>
        <v>79</v>
      </c>
      <c r="G730" s="97">
        <f t="shared" si="103"/>
        <v>23.93939394</v>
      </c>
      <c r="H730" s="95" t="s">
        <v>960</v>
      </c>
      <c r="J730" s="120" t="s">
        <v>1025</v>
      </c>
      <c r="K730" s="99"/>
      <c r="L730" s="50"/>
      <c r="M730" s="50"/>
      <c r="P730" s="68"/>
    </row>
    <row r="731">
      <c r="A731" s="109">
        <v>7.32996469218E11</v>
      </c>
      <c r="B731" s="151" t="s">
        <v>1033</v>
      </c>
      <c r="C731" s="95" t="s">
        <v>97</v>
      </c>
      <c r="D731" s="95">
        <v>1.0</v>
      </c>
      <c r="E731" s="101">
        <v>28.93</v>
      </c>
      <c r="F731" s="97">
        <f t="shared" si="102"/>
        <v>28.93</v>
      </c>
      <c r="G731" s="97">
        <f t="shared" si="103"/>
        <v>8.766666667</v>
      </c>
      <c r="H731" s="95" t="s">
        <v>1034</v>
      </c>
      <c r="J731" s="120" t="s">
        <v>1025</v>
      </c>
      <c r="K731" s="99"/>
      <c r="L731" s="50"/>
      <c r="M731" s="50"/>
      <c r="P731" s="68"/>
    </row>
    <row r="732">
      <c r="A732" s="109">
        <v>7.32999371013E11</v>
      </c>
      <c r="B732" s="151" t="s">
        <v>1035</v>
      </c>
      <c r="C732" s="95" t="s">
        <v>97</v>
      </c>
      <c r="D732" s="95">
        <v>1.0</v>
      </c>
      <c r="E732" s="101">
        <v>49.5</v>
      </c>
      <c r="F732" s="97">
        <f t="shared" si="102"/>
        <v>49.5</v>
      </c>
      <c r="G732" s="97">
        <f t="shared" si="103"/>
        <v>15</v>
      </c>
      <c r="H732" s="95" t="s">
        <v>887</v>
      </c>
      <c r="J732" s="120" t="s">
        <v>1025</v>
      </c>
      <c r="K732" s="99"/>
      <c r="L732" s="50"/>
      <c r="M732" s="50"/>
      <c r="P732" s="68"/>
    </row>
    <row r="733">
      <c r="A733" s="109">
        <v>8.01100626165E11</v>
      </c>
      <c r="B733" s="151" t="s">
        <v>1036</v>
      </c>
      <c r="C733" s="95" t="s">
        <v>97</v>
      </c>
      <c r="D733" s="95">
        <v>1.0</v>
      </c>
      <c r="E733" s="101">
        <v>100.0</v>
      </c>
      <c r="F733" s="97">
        <f t="shared" si="102"/>
        <v>100</v>
      </c>
      <c r="G733" s="97">
        <f t="shared" si="103"/>
        <v>30.3030303</v>
      </c>
      <c r="H733" s="95" t="s">
        <v>822</v>
      </c>
      <c r="J733" s="120" t="s">
        <v>1025</v>
      </c>
      <c r="K733" s="99"/>
      <c r="L733" s="50"/>
      <c r="M733" s="50"/>
      <c r="P733" s="68"/>
    </row>
    <row r="734">
      <c r="A734" s="109">
        <v>8.25443093231E11</v>
      </c>
      <c r="B734" s="151" t="s">
        <v>1010</v>
      </c>
      <c r="C734" s="95" t="s">
        <v>97</v>
      </c>
      <c r="D734" s="95">
        <v>1.0</v>
      </c>
      <c r="E734" s="101">
        <v>89.0</v>
      </c>
      <c r="F734" s="97">
        <f t="shared" si="102"/>
        <v>89</v>
      </c>
      <c r="G734" s="97">
        <f t="shared" si="103"/>
        <v>26.96969697</v>
      </c>
      <c r="H734" s="95" t="s">
        <v>883</v>
      </c>
      <c r="J734" s="120" t="s">
        <v>1025</v>
      </c>
      <c r="K734" s="99"/>
      <c r="L734" s="50"/>
      <c r="M734" s="50"/>
      <c r="P734" s="68"/>
    </row>
    <row r="735">
      <c r="A735" s="152" t="s">
        <v>1037</v>
      </c>
      <c r="B735" s="122" t="s">
        <v>1038</v>
      </c>
      <c r="C735" s="153"/>
      <c r="D735" s="154"/>
      <c r="E735" s="154"/>
      <c r="F735" s="154"/>
      <c r="G735" s="154"/>
      <c r="H735" s="155"/>
      <c r="I735" s="98"/>
      <c r="J735" s="156"/>
      <c r="K735" s="157"/>
      <c r="L735" s="158"/>
      <c r="M735" s="158"/>
      <c r="N735" s="98"/>
      <c r="O735" s="98"/>
      <c r="P735" s="6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09">
        <v>7.36712976073E11</v>
      </c>
      <c r="B736" s="151" t="s">
        <v>1039</v>
      </c>
      <c r="C736" s="95" t="s">
        <v>97</v>
      </c>
      <c r="D736" s="95">
        <v>1.0</v>
      </c>
      <c r="E736" s="101">
        <v>79.99</v>
      </c>
      <c r="F736" s="97">
        <f t="shared" ref="F736:F739" si="104">E736*D736</f>
        <v>79.99</v>
      </c>
      <c r="G736" s="97">
        <f t="shared" ref="G736:G739" si="105">F736/3.3</f>
        <v>24.23939394</v>
      </c>
      <c r="H736" s="95" t="s">
        <v>901</v>
      </c>
      <c r="J736" s="120" t="s">
        <v>1025</v>
      </c>
      <c r="K736" s="99"/>
      <c r="L736" s="50"/>
      <c r="M736" s="50"/>
      <c r="P736" s="68"/>
    </row>
    <row r="737">
      <c r="A737" s="109">
        <v>7.36705158721E11</v>
      </c>
      <c r="B737" s="151" t="s">
        <v>1040</v>
      </c>
      <c r="C737" s="95" t="s">
        <v>97</v>
      </c>
      <c r="D737" s="95">
        <v>1.0</v>
      </c>
      <c r="E737" s="101">
        <v>90.0</v>
      </c>
      <c r="F737" s="97">
        <f t="shared" si="104"/>
        <v>90</v>
      </c>
      <c r="G737" s="97">
        <f t="shared" si="105"/>
        <v>27.27272727</v>
      </c>
      <c r="H737" s="95" t="s">
        <v>901</v>
      </c>
      <c r="J737" s="120" t="s">
        <v>1025</v>
      </c>
      <c r="K737" s="99"/>
      <c r="L737" s="50"/>
      <c r="M737" s="50"/>
      <c r="P737" s="68"/>
    </row>
    <row r="738">
      <c r="A738" s="109">
        <v>7.32998719656E11</v>
      </c>
      <c r="B738" s="151" t="s">
        <v>1041</v>
      </c>
      <c r="C738" s="95" t="s">
        <v>97</v>
      </c>
      <c r="D738" s="95">
        <v>1.0</v>
      </c>
      <c r="E738" s="101">
        <v>59.5</v>
      </c>
      <c r="F738" s="97">
        <f t="shared" si="104"/>
        <v>59.5</v>
      </c>
      <c r="G738" s="97">
        <f t="shared" si="105"/>
        <v>18.03030303</v>
      </c>
      <c r="H738" s="95" t="s">
        <v>1042</v>
      </c>
      <c r="J738" s="120" t="s">
        <v>1025</v>
      </c>
      <c r="K738" s="99"/>
      <c r="L738" s="50"/>
      <c r="M738" s="50"/>
      <c r="P738" s="68"/>
    </row>
    <row r="739">
      <c r="A739" s="109">
        <v>7.27682820039E11</v>
      </c>
      <c r="B739" s="151" t="s">
        <v>1043</v>
      </c>
      <c r="C739" s="95" t="s">
        <v>97</v>
      </c>
      <c r="D739" s="95">
        <v>1.0</v>
      </c>
      <c r="E739" s="101">
        <v>55.0</v>
      </c>
      <c r="F739" s="97">
        <f t="shared" si="104"/>
        <v>55</v>
      </c>
      <c r="G739" s="97">
        <f t="shared" si="105"/>
        <v>16.66666667</v>
      </c>
      <c r="H739" s="95" t="s">
        <v>901</v>
      </c>
      <c r="J739" s="120" t="s">
        <v>1025</v>
      </c>
      <c r="K739" s="99"/>
      <c r="L739" s="50"/>
      <c r="M739" s="50"/>
      <c r="P739" s="68"/>
    </row>
    <row r="740">
      <c r="A740" s="152" t="s">
        <v>494</v>
      </c>
      <c r="B740" s="122" t="s">
        <v>1044</v>
      </c>
      <c r="C740" s="153"/>
      <c r="D740" s="154"/>
      <c r="E740" s="154"/>
      <c r="F740" s="154"/>
      <c r="G740" s="154"/>
      <c r="H740" s="155"/>
      <c r="I740" s="98"/>
      <c r="J740" s="156"/>
      <c r="K740" s="157"/>
      <c r="L740" s="158"/>
      <c r="M740" s="158"/>
      <c r="N740" s="98"/>
      <c r="O740" s="98"/>
      <c r="P740" s="6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5">
        <v>1.9232926509E11</v>
      </c>
      <c r="B741" s="151" t="s">
        <v>1045</v>
      </c>
      <c r="C741" s="95" t="s">
        <v>97</v>
      </c>
      <c r="D741" s="95">
        <v>1.0</v>
      </c>
      <c r="E741" s="101">
        <v>129.95</v>
      </c>
      <c r="F741" s="97">
        <f t="shared" ref="F741:F743" si="106">E741*D741</f>
        <v>129.95</v>
      </c>
      <c r="G741" s="97">
        <f t="shared" ref="G741:G743" si="107">F741/3.3</f>
        <v>39.37878788</v>
      </c>
      <c r="H741" s="95" t="s">
        <v>794</v>
      </c>
      <c r="I741" s="37" t="s">
        <v>1046</v>
      </c>
      <c r="J741" s="120" t="s">
        <v>1025</v>
      </c>
      <c r="K741" s="99"/>
      <c r="L741" s="50"/>
      <c r="M741" s="50"/>
      <c r="P741" s="68"/>
    </row>
    <row r="742">
      <c r="A742" s="115">
        <v>1.92912417165E11</v>
      </c>
      <c r="B742" s="151" t="s">
        <v>1047</v>
      </c>
      <c r="C742" s="95" t="s">
        <v>97</v>
      </c>
      <c r="D742" s="95">
        <v>1.0</v>
      </c>
      <c r="E742" s="101">
        <v>60.0</v>
      </c>
      <c r="F742" s="97">
        <f t="shared" si="106"/>
        <v>60</v>
      </c>
      <c r="G742" s="97">
        <f t="shared" si="107"/>
        <v>18.18181818</v>
      </c>
      <c r="H742" s="95" t="s">
        <v>1048</v>
      </c>
      <c r="I742" s="37" t="s">
        <v>1046</v>
      </c>
      <c r="J742" s="120" t="s">
        <v>1025</v>
      </c>
      <c r="K742" s="99"/>
      <c r="L742" s="50"/>
      <c r="M742" s="50"/>
      <c r="P742" s="68"/>
    </row>
    <row r="743">
      <c r="A743" s="115">
        <v>7.32999387502E11</v>
      </c>
      <c r="B743" s="151" t="s">
        <v>1049</v>
      </c>
      <c r="C743" s="95" t="s">
        <v>97</v>
      </c>
      <c r="D743" s="95">
        <v>1.0</v>
      </c>
      <c r="E743" s="101">
        <v>59.5</v>
      </c>
      <c r="F743" s="97">
        <f t="shared" si="106"/>
        <v>59.5</v>
      </c>
      <c r="G743" s="97">
        <f t="shared" si="107"/>
        <v>18.03030303</v>
      </c>
      <c r="H743" s="95" t="s">
        <v>916</v>
      </c>
      <c r="I743" s="37" t="s">
        <v>1050</v>
      </c>
      <c r="J743" s="120" t="s">
        <v>1025</v>
      </c>
      <c r="K743" s="99"/>
      <c r="L743" s="50"/>
      <c r="M743" s="50"/>
      <c r="P743" s="68"/>
    </row>
    <row r="744">
      <c r="A744" s="111" t="s">
        <v>267</v>
      </c>
      <c r="B744" s="111" t="s">
        <v>1051</v>
      </c>
      <c r="C744" s="112" t="str">
        <f>MID($B744,6,7)</f>
        <v>GR18255</v>
      </c>
      <c r="D744" s="111"/>
      <c r="E744" s="111"/>
      <c r="F744" s="111"/>
      <c r="G744" s="111"/>
      <c r="H744" s="113">
        <v>44558.0</v>
      </c>
      <c r="I744" s="159"/>
      <c r="J744" s="160" t="str">
        <f>IF(LEFT(B744,3)="Box","BOX","COUNT")</f>
        <v>BOX</v>
      </c>
      <c r="K744" s="161">
        <f>SUMIF($J$4:$J$8712,$C744,$D$4:$D$8712)</f>
        <v>18</v>
      </c>
      <c r="L744" s="162">
        <f>SUMIF($J$4:$J$8712,$C744,$F$4:$F$8712)</f>
        <v>1446.37</v>
      </c>
      <c r="M744" s="162">
        <f>SUMIF($J$4:$J$8712,$C744,$G$4:$G$8712)</f>
        <v>438.2939394</v>
      </c>
      <c r="N744" s="159" t="str">
        <f>C744</f>
        <v>GR18255</v>
      </c>
      <c r="O744" s="159" t="str">
        <f>J745</f>
        <v>SHIP</v>
      </c>
      <c r="P744" s="68">
        <f>M744</f>
        <v>438.2939394</v>
      </c>
      <c r="Q744" s="114">
        <v>44499.0</v>
      </c>
      <c r="R744" s="37" t="s">
        <v>982</v>
      </c>
      <c r="S744" s="37" t="s">
        <v>983</v>
      </c>
      <c r="T744" s="159"/>
      <c r="U744" s="159"/>
      <c r="V744" s="159"/>
      <c r="W744" s="159"/>
      <c r="X744" s="159"/>
      <c r="Y744" s="159"/>
      <c r="Z744" s="159"/>
    </row>
    <row r="745">
      <c r="A745" s="109"/>
      <c r="B745" s="111" t="s">
        <v>1052</v>
      </c>
      <c r="C745" s="109"/>
      <c r="D745" s="109"/>
      <c r="E745" s="116"/>
      <c r="F745" s="116"/>
      <c r="G745" s="116"/>
      <c r="H745" s="115" t="s">
        <v>119</v>
      </c>
      <c r="J745" s="108" t="str">
        <f>IF(B745="","NSHIP","SHIP")</f>
        <v>SHIP</v>
      </c>
      <c r="K745" s="99">
        <f>IF($J745="NSHIP",0,-SUMIF($J$4:$J$8712,$C744,$D$4:$D$8712))</f>
        <v>-18</v>
      </c>
      <c r="L745" s="50">
        <f>IF($J745="NSHIP",0,-SUMIF($J$4:$J$8710,$C744,$F$4:$F$8710))</f>
        <v>-1446.37</v>
      </c>
      <c r="M745" s="50">
        <f>IF($J745="NSHIP",0,-SUMIF($J$4:$J$8710,$C744,$G$4:$G$8710))</f>
        <v>-438.2939394</v>
      </c>
      <c r="P745" s="68"/>
    </row>
    <row r="746">
      <c r="A746" s="95">
        <v>9.4352037418E10</v>
      </c>
      <c r="B746" s="164" t="s">
        <v>1053</v>
      </c>
      <c r="C746" s="95" t="s">
        <v>97</v>
      </c>
      <c r="D746" s="95">
        <v>1.0</v>
      </c>
      <c r="E746" s="101">
        <v>95.0</v>
      </c>
      <c r="F746" s="97">
        <f t="shared" ref="F746:F761" si="108">E746*D746</f>
        <v>95</v>
      </c>
      <c r="G746" s="97">
        <f t="shared" ref="G746:G761" si="109">F746/3.3</f>
        <v>28.78787879</v>
      </c>
      <c r="H746" s="95" t="s">
        <v>1054</v>
      </c>
      <c r="J746" s="120" t="s">
        <v>1055</v>
      </c>
      <c r="K746" s="99"/>
      <c r="L746" s="50"/>
      <c r="M746" s="50"/>
      <c r="P746" s="68"/>
    </row>
    <row r="747">
      <c r="A747" s="95">
        <v>9.4352378351E10</v>
      </c>
      <c r="B747" s="131" t="s">
        <v>1056</v>
      </c>
      <c r="C747" s="95" t="s">
        <v>97</v>
      </c>
      <c r="D747" s="95">
        <v>1.0</v>
      </c>
      <c r="E747" s="101">
        <v>90.0</v>
      </c>
      <c r="F747" s="97">
        <f t="shared" si="108"/>
        <v>90</v>
      </c>
      <c r="G747" s="97">
        <f t="shared" si="109"/>
        <v>27.27272727</v>
      </c>
      <c r="H747" s="95" t="s">
        <v>1054</v>
      </c>
      <c r="J747" s="120" t="s">
        <v>1055</v>
      </c>
      <c r="K747" s="99"/>
      <c r="L747" s="50"/>
      <c r="M747" s="50"/>
      <c r="P747" s="68"/>
    </row>
    <row r="748">
      <c r="A748" s="95">
        <v>9.435241341E10</v>
      </c>
      <c r="B748" s="131" t="s">
        <v>1057</v>
      </c>
      <c r="C748" s="95" t="s">
        <v>97</v>
      </c>
      <c r="D748" s="95">
        <v>1.0</v>
      </c>
      <c r="E748" s="101">
        <v>75.0</v>
      </c>
      <c r="F748" s="97">
        <f t="shared" si="108"/>
        <v>75</v>
      </c>
      <c r="G748" s="97">
        <f t="shared" si="109"/>
        <v>22.72727273</v>
      </c>
      <c r="H748" s="95" t="s">
        <v>1054</v>
      </c>
      <c r="J748" s="120" t="s">
        <v>1055</v>
      </c>
      <c r="K748" s="99"/>
      <c r="L748" s="50"/>
      <c r="M748" s="50"/>
      <c r="P748" s="68"/>
    </row>
    <row r="749">
      <c r="A749" s="95">
        <v>1.90748578968E11</v>
      </c>
      <c r="B749" s="131" t="s">
        <v>1058</v>
      </c>
      <c r="C749" s="95" t="s">
        <v>97</v>
      </c>
      <c r="D749" s="95">
        <v>1.0</v>
      </c>
      <c r="E749" s="101">
        <v>79.0</v>
      </c>
      <c r="F749" s="97">
        <f t="shared" si="108"/>
        <v>79</v>
      </c>
      <c r="G749" s="97">
        <f t="shared" si="109"/>
        <v>23.93939394</v>
      </c>
      <c r="H749" s="95" t="s">
        <v>876</v>
      </c>
      <c r="J749" s="120" t="s">
        <v>1055</v>
      </c>
      <c r="K749" s="99"/>
      <c r="L749" s="50"/>
      <c r="M749" s="50"/>
      <c r="P749" s="68"/>
    </row>
    <row r="750">
      <c r="A750" s="95">
        <v>1.90748579002E11</v>
      </c>
      <c r="B750" s="131" t="s">
        <v>1059</v>
      </c>
      <c r="C750" s="95" t="s">
        <v>97</v>
      </c>
      <c r="D750" s="95">
        <v>1.0</v>
      </c>
      <c r="E750" s="101">
        <v>79.0</v>
      </c>
      <c r="F750" s="97">
        <f t="shared" si="108"/>
        <v>79</v>
      </c>
      <c r="G750" s="97">
        <f t="shared" si="109"/>
        <v>23.93939394</v>
      </c>
      <c r="H750" s="95" t="s">
        <v>876</v>
      </c>
      <c r="J750" s="120" t="s">
        <v>1055</v>
      </c>
      <c r="K750" s="99"/>
      <c r="L750" s="50"/>
      <c r="M750" s="50"/>
      <c r="P750" s="68"/>
    </row>
    <row r="751">
      <c r="A751" s="95">
        <v>1.90748621541E11</v>
      </c>
      <c r="B751" s="131" t="s">
        <v>1060</v>
      </c>
      <c r="C751" s="95" t="s">
        <v>97</v>
      </c>
      <c r="D751" s="95">
        <v>1.0</v>
      </c>
      <c r="E751" s="101">
        <v>79.0</v>
      </c>
      <c r="F751" s="97">
        <f t="shared" si="108"/>
        <v>79</v>
      </c>
      <c r="G751" s="97">
        <f t="shared" si="109"/>
        <v>23.93939394</v>
      </c>
      <c r="H751" s="95" t="s">
        <v>876</v>
      </c>
      <c r="J751" s="120" t="s">
        <v>1055</v>
      </c>
      <c r="K751" s="99"/>
      <c r="L751" s="50"/>
      <c r="M751" s="50"/>
      <c r="P751" s="68"/>
    </row>
    <row r="752">
      <c r="A752" s="95">
        <v>1.90748833036E11</v>
      </c>
      <c r="B752" s="131" t="s">
        <v>1061</v>
      </c>
      <c r="C752" s="95" t="s">
        <v>97</v>
      </c>
      <c r="D752" s="95">
        <v>1.0</v>
      </c>
      <c r="E752" s="101">
        <v>59.0</v>
      </c>
      <c r="F752" s="97">
        <f t="shared" si="108"/>
        <v>59</v>
      </c>
      <c r="G752" s="97">
        <f t="shared" si="109"/>
        <v>17.87878788</v>
      </c>
      <c r="H752" s="95" t="s">
        <v>912</v>
      </c>
      <c r="J752" s="120" t="s">
        <v>1055</v>
      </c>
      <c r="K752" s="99"/>
      <c r="L752" s="50"/>
      <c r="M752" s="50"/>
      <c r="P752" s="68"/>
    </row>
    <row r="753">
      <c r="A753" s="95">
        <v>1.92170430081E11</v>
      </c>
      <c r="B753" s="131" t="s">
        <v>1062</v>
      </c>
      <c r="C753" s="95" t="s">
        <v>97</v>
      </c>
      <c r="D753" s="95">
        <v>1.0</v>
      </c>
      <c r="E753" s="101">
        <v>59.0</v>
      </c>
      <c r="F753" s="97">
        <f t="shared" si="108"/>
        <v>59</v>
      </c>
      <c r="G753" s="97">
        <f t="shared" si="109"/>
        <v>17.87878788</v>
      </c>
      <c r="H753" s="95" t="s">
        <v>1063</v>
      </c>
      <c r="J753" s="120" t="s">
        <v>1055</v>
      </c>
      <c r="K753" s="99"/>
      <c r="L753" s="50"/>
      <c r="M753" s="50"/>
      <c r="P753" s="68"/>
    </row>
    <row r="754">
      <c r="A754" s="95">
        <v>1.94835564261E11</v>
      </c>
      <c r="B754" s="131" t="s">
        <v>1064</v>
      </c>
      <c r="C754" s="95" t="s">
        <v>97</v>
      </c>
      <c r="D754" s="95">
        <v>1.0</v>
      </c>
      <c r="E754" s="101">
        <v>269.0</v>
      </c>
      <c r="F754" s="97">
        <f t="shared" si="108"/>
        <v>269</v>
      </c>
      <c r="G754" s="97">
        <f t="shared" si="109"/>
        <v>81.51515152</v>
      </c>
      <c r="H754" s="95" t="s">
        <v>828</v>
      </c>
      <c r="J754" s="120" t="s">
        <v>1055</v>
      </c>
      <c r="K754" s="99"/>
      <c r="L754" s="50"/>
      <c r="M754" s="50"/>
      <c r="P754" s="68"/>
    </row>
    <row r="755">
      <c r="A755" s="95">
        <v>6.56487462741E11</v>
      </c>
      <c r="B755" s="131" t="s">
        <v>1065</v>
      </c>
      <c r="C755" s="95" t="s">
        <v>97</v>
      </c>
      <c r="D755" s="95">
        <v>1.0</v>
      </c>
      <c r="E755" s="101">
        <v>85.0</v>
      </c>
      <c r="F755" s="97">
        <f t="shared" si="108"/>
        <v>85</v>
      </c>
      <c r="G755" s="97">
        <f t="shared" si="109"/>
        <v>25.75757576</v>
      </c>
      <c r="H755" s="95" t="s">
        <v>1066</v>
      </c>
      <c r="J755" s="120" t="s">
        <v>1055</v>
      </c>
      <c r="K755" s="99"/>
      <c r="L755" s="50"/>
      <c r="M755" s="50"/>
      <c r="P755" s="68"/>
    </row>
    <row r="756">
      <c r="A756" s="95">
        <v>7.26895426168E11</v>
      </c>
      <c r="B756" s="131" t="s">
        <v>1067</v>
      </c>
      <c r="C756" s="95" t="s">
        <v>97</v>
      </c>
      <c r="D756" s="95">
        <v>1.0</v>
      </c>
      <c r="E756" s="101">
        <v>79.5</v>
      </c>
      <c r="F756" s="97">
        <f t="shared" si="108"/>
        <v>79.5</v>
      </c>
      <c r="G756" s="97">
        <f t="shared" si="109"/>
        <v>24.09090909</v>
      </c>
      <c r="H756" s="95" t="s">
        <v>1068</v>
      </c>
      <c r="J756" s="120" t="s">
        <v>1055</v>
      </c>
      <c r="K756" s="99"/>
      <c r="L756" s="50"/>
      <c r="M756" s="50"/>
      <c r="P756" s="68"/>
    </row>
    <row r="757">
      <c r="A757" s="95">
        <v>7.32995289473E11</v>
      </c>
      <c r="B757" s="131" t="s">
        <v>1069</v>
      </c>
      <c r="C757" s="95" t="s">
        <v>97</v>
      </c>
      <c r="D757" s="95">
        <v>1.0</v>
      </c>
      <c r="E757" s="101">
        <v>79.5</v>
      </c>
      <c r="F757" s="97">
        <f t="shared" si="108"/>
        <v>79.5</v>
      </c>
      <c r="G757" s="97">
        <f t="shared" si="109"/>
        <v>24.09090909</v>
      </c>
      <c r="H757" s="95" t="s">
        <v>193</v>
      </c>
      <c r="J757" s="120" t="s">
        <v>1055</v>
      </c>
      <c r="K757" s="99"/>
      <c r="L757" s="50"/>
      <c r="M757" s="50"/>
      <c r="P757" s="68"/>
    </row>
    <row r="758">
      <c r="A758" s="95">
        <v>7.32995436006E11</v>
      </c>
      <c r="B758" s="131" t="s">
        <v>1070</v>
      </c>
      <c r="C758" s="95" t="s">
        <v>97</v>
      </c>
      <c r="D758" s="95">
        <v>1.0</v>
      </c>
      <c r="E758" s="101">
        <v>99.5</v>
      </c>
      <c r="F758" s="97">
        <f t="shared" si="108"/>
        <v>99.5</v>
      </c>
      <c r="G758" s="97">
        <f t="shared" si="109"/>
        <v>30.15151515</v>
      </c>
      <c r="H758" s="95" t="s">
        <v>193</v>
      </c>
      <c r="J758" s="120" t="s">
        <v>1055</v>
      </c>
      <c r="K758" s="99"/>
      <c r="L758" s="50"/>
      <c r="M758" s="50"/>
      <c r="P758" s="68"/>
    </row>
    <row r="759">
      <c r="A759" s="95">
        <v>7.32997859117E11</v>
      </c>
      <c r="B759" s="131" t="s">
        <v>1071</v>
      </c>
      <c r="C759" s="95" t="s">
        <v>97</v>
      </c>
      <c r="D759" s="95">
        <v>1.0</v>
      </c>
      <c r="E759" s="101">
        <v>99.5</v>
      </c>
      <c r="F759" s="97">
        <f t="shared" si="108"/>
        <v>99.5</v>
      </c>
      <c r="G759" s="97">
        <f t="shared" si="109"/>
        <v>30.15151515</v>
      </c>
      <c r="H759" s="95" t="s">
        <v>856</v>
      </c>
      <c r="J759" s="120" t="s">
        <v>1055</v>
      </c>
      <c r="K759" s="99"/>
      <c r="L759" s="50"/>
      <c r="M759" s="50"/>
      <c r="P759" s="68"/>
    </row>
    <row r="760">
      <c r="A760" s="95">
        <v>7.32998719878E11</v>
      </c>
      <c r="B760" s="131" t="s">
        <v>1072</v>
      </c>
      <c r="C760" s="95" t="s">
        <v>97</v>
      </c>
      <c r="D760" s="95">
        <v>1.0</v>
      </c>
      <c r="E760" s="101">
        <v>59.5</v>
      </c>
      <c r="F760" s="97">
        <f t="shared" si="108"/>
        <v>59.5</v>
      </c>
      <c r="G760" s="97">
        <f t="shared" si="109"/>
        <v>18.03030303</v>
      </c>
      <c r="H760" s="95" t="s">
        <v>1042</v>
      </c>
      <c r="J760" s="120" t="s">
        <v>1055</v>
      </c>
      <c r="K760" s="99"/>
      <c r="L760" s="50"/>
      <c r="M760" s="50"/>
      <c r="P760" s="68"/>
    </row>
    <row r="761">
      <c r="A761" s="95">
        <v>8.00554897855E11</v>
      </c>
      <c r="B761" s="131" t="s">
        <v>1073</v>
      </c>
      <c r="C761" s="95" t="s">
        <v>97</v>
      </c>
      <c r="D761" s="95">
        <v>1.0</v>
      </c>
      <c r="E761" s="101">
        <v>99.0</v>
      </c>
      <c r="F761" s="97">
        <f t="shared" si="108"/>
        <v>99</v>
      </c>
      <c r="G761" s="97">
        <f t="shared" si="109"/>
        <v>30</v>
      </c>
      <c r="H761" s="95" t="s">
        <v>1074</v>
      </c>
      <c r="J761" s="120" t="s">
        <v>1055</v>
      </c>
      <c r="K761" s="99"/>
      <c r="L761" s="50"/>
      <c r="M761" s="50"/>
      <c r="P761" s="68"/>
    </row>
    <row r="762">
      <c r="A762" s="102" t="s">
        <v>950</v>
      </c>
      <c r="B762" s="103" t="s">
        <v>1075</v>
      </c>
      <c r="C762" s="104"/>
      <c r="D762" s="104"/>
      <c r="E762" s="105"/>
      <c r="F762" s="106"/>
      <c r="G762" s="106"/>
      <c r="H762" s="107"/>
      <c r="J762" s="108"/>
      <c r="K762" s="99"/>
      <c r="L762" s="50"/>
      <c r="M762" s="50"/>
      <c r="P762" s="68"/>
    </row>
    <row r="763">
      <c r="A763" s="109">
        <v>7.26895063059E11</v>
      </c>
      <c r="B763" s="192" t="s">
        <v>1076</v>
      </c>
      <c r="C763" s="95" t="s">
        <v>97</v>
      </c>
      <c r="D763" s="95">
        <v>1.0</v>
      </c>
      <c r="E763" s="101">
        <v>99.5</v>
      </c>
      <c r="F763" s="97">
        <f>E763*D763</f>
        <v>99.5</v>
      </c>
      <c r="G763" s="97">
        <f>F763/3.3</f>
        <v>30.15151515</v>
      </c>
      <c r="H763" s="95" t="s">
        <v>856</v>
      </c>
      <c r="J763" s="120" t="s">
        <v>1055</v>
      </c>
      <c r="K763" s="99"/>
      <c r="L763" s="50"/>
      <c r="M763" s="50"/>
      <c r="P763" s="68"/>
    </row>
    <row r="764">
      <c r="A764" s="102" t="s">
        <v>113</v>
      </c>
      <c r="B764" s="103" t="s">
        <v>1077</v>
      </c>
      <c r="C764" s="104"/>
      <c r="D764" s="104"/>
      <c r="E764" s="105"/>
      <c r="F764" s="106"/>
      <c r="G764" s="106"/>
      <c r="H764" s="107"/>
      <c r="J764" s="108"/>
      <c r="K764" s="99"/>
      <c r="L764" s="50"/>
      <c r="M764" s="50"/>
      <c r="P764" s="68"/>
    </row>
    <row r="765">
      <c r="A765" s="111" t="s">
        <v>115</v>
      </c>
      <c r="B765" s="111" t="s">
        <v>1078</v>
      </c>
      <c r="C765" s="112" t="str">
        <f>MID($B765,6,7)</f>
        <v>GR18256</v>
      </c>
      <c r="D765" s="111"/>
      <c r="E765" s="111"/>
      <c r="F765" s="111"/>
      <c r="G765" s="111"/>
      <c r="H765" s="113">
        <v>44558.0</v>
      </c>
      <c r="J765" s="108" t="str">
        <f>IF(LEFT(B765,3)="Box","BOX","COUNT")</f>
        <v>BOX</v>
      </c>
      <c r="K765" s="99">
        <f>SUMIF($J$4:$J$8712,$C765,$D$4:$D$8712)</f>
        <v>17</v>
      </c>
      <c r="L765" s="50">
        <f>SUMIF($J$4:$J$8712,$C765,$F$4:$F$8712)</f>
        <v>1585</v>
      </c>
      <c r="M765" s="50">
        <f>SUMIF($J$4:$J$8712,$C765,$G$4:$G$8712)</f>
        <v>480.3030303</v>
      </c>
      <c r="N765" s="70" t="str">
        <f>C765</f>
        <v>GR18256</v>
      </c>
      <c r="O765" s="70" t="str">
        <f>J766</f>
        <v>SHIP</v>
      </c>
      <c r="P765" s="68">
        <f>M765</f>
        <v>480.3030303</v>
      </c>
      <c r="Q765" s="114">
        <v>44499.0</v>
      </c>
      <c r="R765" s="37" t="s">
        <v>982</v>
      </c>
      <c r="S765" s="37" t="s">
        <v>983</v>
      </c>
    </row>
    <row r="766">
      <c r="A766" s="200">
        <v>44560.0</v>
      </c>
      <c r="B766" s="111" t="s">
        <v>1079</v>
      </c>
      <c r="C766" s="109"/>
      <c r="D766" s="109"/>
      <c r="E766" s="116"/>
      <c r="F766" s="116"/>
      <c r="G766" s="116"/>
      <c r="H766" s="163"/>
      <c r="J766" s="108" t="str">
        <f>IF(B766="","NSHIP","SHIP")</f>
        <v>SHIP</v>
      </c>
      <c r="K766" s="99">
        <f>IF($J766="NSHIP",0,-SUMIF($J$4:$J$8712,$C765,$D$4:$D$8712))</f>
        <v>-17</v>
      </c>
      <c r="L766" s="50">
        <f>IF($J766="NSHIP",0,-SUMIF($J$4:$J$8710,$C765,$F$4:$F$8710))</f>
        <v>-1585</v>
      </c>
      <c r="M766" s="50">
        <f>IF($J766="NSHIP",0,-SUMIF($J$4:$J$8710,$C765,$G$4:$G$8710))</f>
        <v>-480.3030303</v>
      </c>
      <c r="P766" s="68"/>
    </row>
    <row r="767">
      <c r="A767" s="182">
        <v>1.90748771468E11</v>
      </c>
      <c r="B767" s="100" t="s">
        <v>1080</v>
      </c>
      <c r="C767" s="118" t="s">
        <v>97</v>
      </c>
      <c r="D767" s="100">
        <v>1.0</v>
      </c>
      <c r="E767" s="119">
        <v>59.0</v>
      </c>
      <c r="F767" s="118">
        <f t="shared" ref="F767:F775" si="110">E767*D767</f>
        <v>59</v>
      </c>
      <c r="G767" s="118">
        <f t="shared" ref="G767:G775" si="111">F767/3.3</f>
        <v>17.87878788</v>
      </c>
      <c r="H767" s="100" t="s">
        <v>876</v>
      </c>
      <c r="I767" s="202" t="s">
        <v>980</v>
      </c>
      <c r="J767" s="120" t="s">
        <v>1081</v>
      </c>
      <c r="K767" s="99"/>
      <c r="L767" s="50"/>
      <c r="M767" s="50"/>
      <c r="P767" s="68"/>
    </row>
    <row r="768">
      <c r="A768" s="182">
        <v>1.92625144594E11</v>
      </c>
      <c r="B768" s="100" t="s">
        <v>1082</v>
      </c>
      <c r="C768" s="118" t="s">
        <v>97</v>
      </c>
      <c r="D768" s="100">
        <v>1.0</v>
      </c>
      <c r="E768" s="119">
        <v>99.0</v>
      </c>
      <c r="F768" s="118">
        <f t="shared" si="110"/>
        <v>99</v>
      </c>
      <c r="G768" s="118">
        <f t="shared" si="111"/>
        <v>30</v>
      </c>
      <c r="H768" s="100" t="s">
        <v>1083</v>
      </c>
      <c r="I768" s="1"/>
      <c r="J768" s="120" t="s">
        <v>1081</v>
      </c>
      <c r="K768" s="99"/>
      <c r="L768" s="50"/>
      <c r="M768" s="50"/>
      <c r="P768" s="68"/>
    </row>
    <row r="769">
      <c r="A769" s="182">
        <v>1.92625144648E11</v>
      </c>
      <c r="B769" s="100" t="s">
        <v>1084</v>
      </c>
      <c r="C769" s="118" t="s">
        <v>97</v>
      </c>
      <c r="D769" s="100">
        <v>1.0</v>
      </c>
      <c r="E769" s="119">
        <v>99.0</v>
      </c>
      <c r="F769" s="118">
        <f t="shared" si="110"/>
        <v>99</v>
      </c>
      <c r="G769" s="118">
        <f t="shared" si="111"/>
        <v>30</v>
      </c>
      <c r="H769" s="100" t="s">
        <v>1083</v>
      </c>
      <c r="I769" s="1"/>
      <c r="J769" s="120" t="s">
        <v>1081</v>
      </c>
      <c r="K769" s="99"/>
      <c r="L769" s="50"/>
      <c r="M769" s="50"/>
      <c r="P769" s="68"/>
    </row>
    <row r="770">
      <c r="A770" s="182">
        <v>7.276792233E11</v>
      </c>
      <c r="B770" s="100" t="s">
        <v>1085</v>
      </c>
      <c r="C770" s="118" t="s">
        <v>97</v>
      </c>
      <c r="D770" s="100">
        <v>1.0</v>
      </c>
      <c r="E770" s="119">
        <v>89.99</v>
      </c>
      <c r="F770" s="118">
        <f t="shared" si="110"/>
        <v>89.99</v>
      </c>
      <c r="G770" s="118">
        <f t="shared" si="111"/>
        <v>27.26969697</v>
      </c>
      <c r="H770" s="100" t="s">
        <v>901</v>
      </c>
      <c r="I770" s="1"/>
      <c r="J770" s="120" t="s">
        <v>1081</v>
      </c>
      <c r="K770" s="99"/>
      <c r="L770" s="50"/>
      <c r="M770" s="50"/>
      <c r="P770" s="68"/>
    </row>
    <row r="771">
      <c r="A771" s="182">
        <v>7.2767937941E11</v>
      </c>
      <c r="B771" s="100" t="s">
        <v>1086</v>
      </c>
      <c r="C771" s="118" t="s">
        <v>97</v>
      </c>
      <c r="D771" s="100">
        <v>1.0</v>
      </c>
      <c r="E771" s="119">
        <v>89.99</v>
      </c>
      <c r="F771" s="118">
        <f t="shared" si="110"/>
        <v>89.99</v>
      </c>
      <c r="G771" s="118">
        <f t="shared" si="111"/>
        <v>27.26969697</v>
      </c>
      <c r="H771" s="100" t="s">
        <v>901</v>
      </c>
      <c r="I771" s="1"/>
      <c r="J771" s="120" t="s">
        <v>1081</v>
      </c>
      <c r="K771" s="99"/>
      <c r="L771" s="50"/>
      <c r="M771" s="50"/>
      <c r="P771" s="68"/>
    </row>
    <row r="772">
      <c r="A772" s="182">
        <v>7.27679379458E11</v>
      </c>
      <c r="B772" s="100" t="s">
        <v>1087</v>
      </c>
      <c r="C772" s="118" t="s">
        <v>97</v>
      </c>
      <c r="D772" s="100">
        <v>1.0</v>
      </c>
      <c r="E772" s="119">
        <v>89.99</v>
      </c>
      <c r="F772" s="118">
        <f t="shared" si="110"/>
        <v>89.99</v>
      </c>
      <c r="G772" s="118">
        <f t="shared" si="111"/>
        <v>27.26969697</v>
      </c>
      <c r="H772" s="100" t="s">
        <v>901</v>
      </c>
      <c r="I772" s="176" t="s">
        <v>1088</v>
      </c>
      <c r="J772" s="120" t="s">
        <v>1081</v>
      </c>
      <c r="K772" s="99"/>
      <c r="L772" s="50"/>
      <c r="M772" s="50"/>
      <c r="P772" s="68"/>
    </row>
    <row r="773">
      <c r="A773" s="182">
        <v>7.32997255735E11</v>
      </c>
      <c r="B773" s="100" t="s">
        <v>1089</v>
      </c>
      <c r="C773" s="118" t="s">
        <v>97</v>
      </c>
      <c r="D773" s="100">
        <v>1.0</v>
      </c>
      <c r="E773" s="119">
        <v>99.5</v>
      </c>
      <c r="F773" s="118">
        <f t="shared" si="110"/>
        <v>99.5</v>
      </c>
      <c r="G773" s="118">
        <f t="shared" si="111"/>
        <v>30.15151515</v>
      </c>
      <c r="H773" s="100" t="s">
        <v>1068</v>
      </c>
      <c r="I773" s="1"/>
      <c r="J773" s="120" t="s">
        <v>1081</v>
      </c>
      <c r="K773" s="99"/>
      <c r="L773" s="50"/>
      <c r="M773" s="50"/>
      <c r="P773" s="68"/>
    </row>
    <row r="774">
      <c r="A774" s="182">
        <v>7.32998720058E11</v>
      </c>
      <c r="B774" s="100" t="s">
        <v>1090</v>
      </c>
      <c r="C774" s="118" t="s">
        <v>97</v>
      </c>
      <c r="D774" s="100">
        <v>1.0</v>
      </c>
      <c r="E774" s="119">
        <v>59.5</v>
      </c>
      <c r="F774" s="118">
        <f t="shared" si="110"/>
        <v>59.5</v>
      </c>
      <c r="G774" s="118">
        <f t="shared" si="111"/>
        <v>18.03030303</v>
      </c>
      <c r="H774" s="100" t="s">
        <v>1042</v>
      </c>
      <c r="I774" s="1"/>
      <c r="J774" s="120" t="s">
        <v>1081</v>
      </c>
      <c r="K774" s="99"/>
      <c r="L774" s="50"/>
      <c r="M774" s="50"/>
      <c r="P774" s="68"/>
    </row>
    <row r="775">
      <c r="A775" s="182">
        <v>7.36711939932E11</v>
      </c>
      <c r="B775" s="100" t="s">
        <v>1091</v>
      </c>
      <c r="C775" s="118" t="s">
        <v>97</v>
      </c>
      <c r="D775" s="100">
        <v>1.0</v>
      </c>
      <c r="E775" s="119">
        <v>70.0</v>
      </c>
      <c r="F775" s="118">
        <f t="shared" si="110"/>
        <v>70</v>
      </c>
      <c r="G775" s="118">
        <f t="shared" si="111"/>
        <v>21.21212121</v>
      </c>
      <c r="H775" s="100" t="s">
        <v>901</v>
      </c>
      <c r="I775" s="1"/>
      <c r="J775" s="120" t="s">
        <v>1081</v>
      </c>
      <c r="K775" s="99"/>
      <c r="L775" s="50"/>
      <c r="M775" s="50"/>
      <c r="P775" s="68"/>
    </row>
    <row r="776">
      <c r="A776" s="121" t="s">
        <v>1092</v>
      </c>
      <c r="B776" s="122" t="s">
        <v>1093</v>
      </c>
      <c r="C776" s="118"/>
      <c r="D776" s="100"/>
      <c r="E776" s="119"/>
      <c r="F776" s="118"/>
      <c r="G776" s="118"/>
      <c r="H776" s="100"/>
      <c r="I776" s="1"/>
      <c r="J776" s="120"/>
      <c r="K776" s="99"/>
      <c r="L776" s="50"/>
      <c r="M776" s="50"/>
      <c r="P776" s="68"/>
    </row>
    <row r="777">
      <c r="A777" s="182">
        <v>7.27679223249E11</v>
      </c>
      <c r="B777" s="100" t="s">
        <v>1094</v>
      </c>
      <c r="C777" s="118" t="s">
        <v>97</v>
      </c>
      <c r="D777" s="100">
        <v>1.0</v>
      </c>
      <c r="E777" s="119">
        <v>89.99</v>
      </c>
      <c r="F777" s="118">
        <f>E777*D777</f>
        <v>89.99</v>
      </c>
      <c r="G777" s="118">
        <f>F777/3.3</f>
        <v>27.26969697</v>
      </c>
      <c r="H777" s="100" t="s">
        <v>901</v>
      </c>
      <c r="I777" s="1"/>
      <c r="J777" s="120" t="s">
        <v>1081</v>
      </c>
      <c r="K777" s="99"/>
      <c r="L777" s="50"/>
      <c r="M777" s="50"/>
      <c r="P777" s="68"/>
    </row>
    <row r="778">
      <c r="A778" s="166" t="s">
        <v>587</v>
      </c>
      <c r="B778" s="122" t="s">
        <v>1095</v>
      </c>
      <c r="C778" s="118"/>
      <c r="D778" s="100"/>
      <c r="E778" s="119"/>
      <c r="F778" s="118"/>
      <c r="G778" s="118"/>
      <c r="H778" s="100"/>
      <c r="I778" s="1"/>
      <c r="J778" s="120"/>
      <c r="K778" s="99"/>
      <c r="L778" s="50"/>
      <c r="M778" s="50"/>
      <c r="P778" s="68"/>
    </row>
    <row r="779">
      <c r="A779" s="193">
        <v>7.32999387502E11</v>
      </c>
      <c r="B779" s="100" t="s">
        <v>1049</v>
      </c>
      <c r="C779" s="118" t="s">
        <v>97</v>
      </c>
      <c r="D779" s="100">
        <v>1.0</v>
      </c>
      <c r="E779" s="119">
        <v>59.5</v>
      </c>
      <c r="F779" s="118">
        <f t="shared" ref="F779:F780" si="112">E779*D779</f>
        <v>59.5</v>
      </c>
      <c r="G779" s="118">
        <f t="shared" ref="G779:G780" si="113">F779/3.3</f>
        <v>18.03030303</v>
      </c>
      <c r="H779" s="100" t="s">
        <v>916</v>
      </c>
      <c r="I779" s="198" t="s">
        <v>335</v>
      </c>
      <c r="J779" s="120" t="s">
        <v>1081</v>
      </c>
      <c r="K779" s="99"/>
      <c r="L779" s="50"/>
      <c r="M779" s="50"/>
      <c r="P779" s="68"/>
    </row>
    <row r="780">
      <c r="A780" s="193">
        <v>1.92625010813E11</v>
      </c>
      <c r="B780" s="100" t="s">
        <v>1096</v>
      </c>
      <c r="C780" s="118" t="s">
        <v>97</v>
      </c>
      <c r="D780" s="100">
        <v>1.0</v>
      </c>
      <c r="E780" s="119">
        <v>89.0</v>
      </c>
      <c r="F780" s="118">
        <f t="shared" si="112"/>
        <v>89</v>
      </c>
      <c r="G780" s="118">
        <f t="shared" si="113"/>
        <v>26.96969697</v>
      </c>
      <c r="H780" s="100" t="s">
        <v>1083</v>
      </c>
      <c r="I780" s="1"/>
      <c r="J780" s="120" t="s">
        <v>1081</v>
      </c>
      <c r="K780" s="99"/>
      <c r="L780" s="50"/>
      <c r="M780" s="50"/>
      <c r="P780" s="68"/>
    </row>
    <row r="781">
      <c r="A781" s="123" t="s">
        <v>132</v>
      </c>
      <c r="B781" s="112" t="s">
        <v>1097</v>
      </c>
      <c r="C781" s="124" t="str">
        <f>MID($B781,6,7)</f>
        <v>GR18257</v>
      </c>
      <c r="D781" s="125"/>
      <c r="E781" s="126"/>
      <c r="F781" s="126"/>
      <c r="G781" s="126"/>
      <c r="H781" s="127">
        <v>44558.0</v>
      </c>
      <c r="I781" s="1"/>
      <c r="J781" s="108" t="str">
        <f>IF(LEFT(B781,3)="Box","BOX","COUNT")</f>
        <v>BOX</v>
      </c>
      <c r="K781" s="99">
        <f>SUMIF($J$4:$J$8712,$C781,$D$4:$D$8712)</f>
        <v>12</v>
      </c>
      <c r="L781" s="50">
        <f>SUMIF($J$4:$J$8712,$C781,$F$4:$F$8712)</f>
        <v>994.46</v>
      </c>
      <c r="M781" s="50">
        <f>SUMIF($J$4:$J$8712,$C781,$G$4:$G$8712)</f>
        <v>301.3515152</v>
      </c>
      <c r="N781" s="36" t="str">
        <f>C781</f>
        <v>GR18257</v>
      </c>
      <c r="O781" s="70" t="str">
        <f>J782</f>
        <v>SHIP</v>
      </c>
      <c r="P781" s="68">
        <f>M781</f>
        <v>301.3515152</v>
      </c>
      <c r="Q781" s="114">
        <v>44499.0</v>
      </c>
      <c r="R781" s="37" t="s">
        <v>982</v>
      </c>
      <c r="S781" s="37" t="s">
        <v>983</v>
      </c>
    </row>
    <row r="782">
      <c r="A782" s="199"/>
      <c r="B782" s="111" t="s">
        <v>1098</v>
      </c>
      <c r="C782" s="129"/>
      <c r="D782" s="125"/>
      <c r="E782" s="126"/>
      <c r="F782" s="126"/>
      <c r="G782" s="126"/>
      <c r="H782" s="115" t="s">
        <v>119</v>
      </c>
      <c r="I782" s="1"/>
      <c r="J782" s="108" t="str">
        <f>IF(B782="","NSHIP","SHIP")</f>
        <v>SHIP</v>
      </c>
      <c r="K782" s="99">
        <f>IF($J782="NSHIP",0,-SUMIF($J$4:$J$8712,$C781,$D$4:$D$8712))</f>
        <v>-12</v>
      </c>
      <c r="L782" s="50">
        <f>IF($J782="NSHIP",0,-SUMIF($J$4:$J$8710,$C781,$F$4:$F$8710))</f>
        <v>-994.46</v>
      </c>
      <c r="M782" s="50">
        <f>IF($J782="NSHIP",0,-SUMIF($J$4:$J$8710,$C781,$G$4:$G$8710))</f>
        <v>-301.3515152</v>
      </c>
      <c r="P782" s="68"/>
    </row>
    <row r="783">
      <c r="A783" s="96">
        <v>1.90047896084E11</v>
      </c>
      <c r="B783" s="131" t="s">
        <v>1099</v>
      </c>
      <c r="C783" s="100" t="s">
        <v>97</v>
      </c>
      <c r="D783" s="100">
        <v>1.0</v>
      </c>
      <c r="E783" s="119">
        <v>59.95</v>
      </c>
      <c r="F783" s="118">
        <f t="shared" ref="F783:F796" si="114">E783*D783</f>
        <v>59.95</v>
      </c>
      <c r="G783" s="118">
        <f t="shared" ref="G783:G796" si="115">F783/3.3</f>
        <v>18.16666667</v>
      </c>
      <c r="H783" s="132" t="s">
        <v>873</v>
      </c>
      <c r="I783" s="1"/>
      <c r="J783" s="104" t="s">
        <v>1100</v>
      </c>
      <c r="K783" s="133"/>
      <c r="L783" s="105"/>
      <c r="M783" s="105"/>
      <c r="N783" s="203"/>
      <c r="O783" s="1"/>
      <c r="P783" s="68"/>
    </row>
    <row r="784">
      <c r="A784" s="100">
        <v>1.90748417069E11</v>
      </c>
      <c r="B784" s="186" t="s">
        <v>1101</v>
      </c>
      <c r="C784" s="100" t="s">
        <v>97</v>
      </c>
      <c r="D784" s="100">
        <v>1.0</v>
      </c>
      <c r="E784" s="119">
        <v>99.0</v>
      </c>
      <c r="F784" s="118">
        <f t="shared" si="114"/>
        <v>99</v>
      </c>
      <c r="G784" s="118">
        <f t="shared" si="115"/>
        <v>30</v>
      </c>
      <c r="H784" s="132" t="s">
        <v>876</v>
      </c>
      <c r="I784" s="1"/>
      <c r="J784" s="104" t="s">
        <v>1100</v>
      </c>
      <c r="K784" s="133"/>
      <c r="L784" s="105"/>
      <c r="M784" s="105"/>
      <c r="N784" s="203"/>
      <c r="O784" s="1"/>
      <c r="P784" s="68"/>
    </row>
    <row r="785">
      <c r="A785" s="100">
        <v>1.91609309806E11</v>
      </c>
      <c r="B785" s="131" t="s">
        <v>1102</v>
      </c>
      <c r="C785" s="100" t="s">
        <v>97</v>
      </c>
      <c r="D785" s="100">
        <v>1.0</v>
      </c>
      <c r="E785" s="119">
        <v>79.0</v>
      </c>
      <c r="F785" s="118">
        <f t="shared" si="114"/>
        <v>79</v>
      </c>
      <c r="G785" s="118">
        <f t="shared" si="115"/>
        <v>23.93939394</v>
      </c>
      <c r="H785" s="132" t="s">
        <v>986</v>
      </c>
      <c r="I785" s="1"/>
      <c r="J785" s="104" t="s">
        <v>1100</v>
      </c>
      <c r="K785" s="133"/>
      <c r="L785" s="105"/>
      <c r="M785" s="105"/>
      <c r="N785" s="203"/>
      <c r="O785" s="1"/>
      <c r="P785" s="68"/>
    </row>
    <row r="786">
      <c r="A786" s="100">
        <v>1.93408806753E11</v>
      </c>
      <c r="B786" s="131" t="s">
        <v>1103</v>
      </c>
      <c r="C786" s="100" t="s">
        <v>97</v>
      </c>
      <c r="D786" s="100">
        <v>1.0</v>
      </c>
      <c r="E786" s="119">
        <v>109.0</v>
      </c>
      <c r="F786" s="118">
        <f t="shared" si="114"/>
        <v>109</v>
      </c>
      <c r="G786" s="118">
        <f t="shared" si="115"/>
        <v>33.03030303</v>
      </c>
      <c r="H786" s="132" t="s">
        <v>881</v>
      </c>
      <c r="I786" s="1"/>
      <c r="J786" s="104" t="s">
        <v>1100</v>
      </c>
      <c r="K786" s="133"/>
      <c r="L786" s="105"/>
      <c r="M786" s="105"/>
      <c r="N786" s="203"/>
      <c r="O786" s="1"/>
      <c r="P786" s="68"/>
    </row>
    <row r="787">
      <c r="A787" s="100">
        <v>6.36189889947E11</v>
      </c>
      <c r="B787" s="131" t="s">
        <v>1104</v>
      </c>
      <c r="C787" s="100" t="s">
        <v>97</v>
      </c>
      <c r="D787" s="100">
        <v>1.0</v>
      </c>
      <c r="E787" s="119">
        <v>69.5</v>
      </c>
      <c r="F787" s="118">
        <f t="shared" si="114"/>
        <v>69.5</v>
      </c>
      <c r="G787" s="118">
        <f t="shared" si="115"/>
        <v>21.06060606</v>
      </c>
      <c r="H787" s="132" t="s">
        <v>916</v>
      </c>
      <c r="I787" s="1"/>
      <c r="J787" s="104" t="s">
        <v>1100</v>
      </c>
      <c r="K787" s="133"/>
      <c r="L787" s="105"/>
      <c r="M787" s="105"/>
      <c r="N787" s="203"/>
      <c r="O787" s="1"/>
      <c r="P787" s="68"/>
    </row>
    <row r="788">
      <c r="A788" s="100">
        <v>6.36202252031E11</v>
      </c>
      <c r="B788" s="131" t="s">
        <v>1105</v>
      </c>
      <c r="C788" s="100" t="s">
        <v>97</v>
      </c>
      <c r="D788" s="100">
        <v>1.0</v>
      </c>
      <c r="E788" s="119">
        <v>179.5</v>
      </c>
      <c r="F788" s="118">
        <f t="shared" si="114"/>
        <v>179.5</v>
      </c>
      <c r="G788" s="118">
        <f t="shared" si="115"/>
        <v>54.39393939</v>
      </c>
      <c r="H788" s="132" t="s">
        <v>858</v>
      </c>
      <c r="I788" s="1"/>
      <c r="J788" s="104" t="s">
        <v>1100</v>
      </c>
      <c r="K788" s="133"/>
      <c r="L788" s="105"/>
      <c r="M788" s="105"/>
      <c r="N788" s="203"/>
      <c r="O788" s="1"/>
      <c r="P788" s="68"/>
    </row>
    <row r="789">
      <c r="A789" s="100">
        <v>6.69155599854E11</v>
      </c>
      <c r="B789" s="131" t="s">
        <v>1106</v>
      </c>
      <c r="C789" s="100" t="s">
        <v>97</v>
      </c>
      <c r="D789" s="100">
        <v>1.0</v>
      </c>
      <c r="E789" s="119">
        <v>110.0</v>
      </c>
      <c r="F789" s="118">
        <f t="shared" si="114"/>
        <v>110</v>
      </c>
      <c r="G789" s="118">
        <f t="shared" si="115"/>
        <v>33.33333333</v>
      </c>
      <c r="H789" s="132" t="s">
        <v>1107</v>
      </c>
      <c r="I789" s="1"/>
      <c r="J789" s="104" t="s">
        <v>1100</v>
      </c>
      <c r="K789" s="133"/>
      <c r="L789" s="105"/>
      <c r="M789" s="105"/>
      <c r="N789" s="203"/>
      <c r="O789" s="1"/>
      <c r="P789" s="68"/>
    </row>
    <row r="790">
      <c r="A790" s="100">
        <v>7.26895241228E11</v>
      </c>
      <c r="B790" s="186" t="s">
        <v>1108</v>
      </c>
      <c r="C790" s="100" t="s">
        <v>97</v>
      </c>
      <c r="D790" s="100">
        <v>1.0</v>
      </c>
      <c r="E790" s="119">
        <v>99.5</v>
      </c>
      <c r="F790" s="118">
        <f t="shared" si="114"/>
        <v>99.5</v>
      </c>
      <c r="G790" s="118">
        <f t="shared" si="115"/>
        <v>30.15151515</v>
      </c>
      <c r="H790" s="100" t="s">
        <v>193</v>
      </c>
      <c r="I790" s="1"/>
      <c r="J790" s="104" t="s">
        <v>1100</v>
      </c>
      <c r="K790" s="133"/>
      <c r="L790" s="105"/>
      <c r="M790" s="105"/>
      <c r="N790" s="203"/>
      <c r="O790" s="1"/>
      <c r="P790" s="68"/>
    </row>
    <row r="791">
      <c r="A791" s="100">
        <v>7.26895814293E11</v>
      </c>
      <c r="B791" s="186" t="s">
        <v>1109</v>
      </c>
      <c r="C791" s="100" t="s">
        <v>97</v>
      </c>
      <c r="D791" s="100">
        <v>1.0</v>
      </c>
      <c r="E791" s="119">
        <v>39.5</v>
      </c>
      <c r="F791" s="118">
        <f t="shared" si="114"/>
        <v>39.5</v>
      </c>
      <c r="G791" s="118">
        <f t="shared" si="115"/>
        <v>11.96969697</v>
      </c>
      <c r="H791" s="132" t="s">
        <v>776</v>
      </c>
      <c r="I791" s="1"/>
      <c r="J791" s="104" t="s">
        <v>1100</v>
      </c>
      <c r="K791" s="133"/>
      <c r="L791" s="105"/>
      <c r="M791" s="105"/>
      <c r="N791" s="203"/>
      <c r="O791" s="1"/>
      <c r="P791" s="68"/>
    </row>
    <row r="792">
      <c r="A792" s="100">
        <v>7.32998859536E11</v>
      </c>
      <c r="B792" s="186" t="s">
        <v>1110</v>
      </c>
      <c r="C792" s="100" t="s">
        <v>97</v>
      </c>
      <c r="D792" s="100">
        <v>1.0</v>
      </c>
      <c r="E792" s="119">
        <v>79.5</v>
      </c>
      <c r="F792" s="118">
        <f t="shared" si="114"/>
        <v>79.5</v>
      </c>
      <c r="G792" s="118">
        <f t="shared" si="115"/>
        <v>24.09090909</v>
      </c>
      <c r="H792" s="100" t="s">
        <v>193</v>
      </c>
      <c r="I792" s="1"/>
      <c r="J792" s="104" t="s">
        <v>1100</v>
      </c>
      <c r="K792" s="133"/>
      <c r="L792" s="105"/>
      <c r="M792" s="105"/>
      <c r="N792" s="203"/>
      <c r="O792" s="1"/>
      <c r="P792" s="68"/>
    </row>
    <row r="793">
      <c r="A793" s="100">
        <v>7.36709497918E11</v>
      </c>
      <c r="B793" s="186" t="s">
        <v>1111</v>
      </c>
      <c r="C793" s="100" t="s">
        <v>97</v>
      </c>
      <c r="D793" s="100">
        <v>1.0</v>
      </c>
      <c r="E793" s="119">
        <v>70.0</v>
      </c>
      <c r="F793" s="118">
        <f t="shared" si="114"/>
        <v>70</v>
      </c>
      <c r="G793" s="118">
        <f t="shared" si="115"/>
        <v>21.21212121</v>
      </c>
      <c r="H793" s="132" t="s">
        <v>901</v>
      </c>
      <c r="I793" s="1"/>
      <c r="J793" s="104" t="s">
        <v>1100</v>
      </c>
      <c r="K793" s="133"/>
      <c r="L793" s="105"/>
      <c r="M793" s="105"/>
      <c r="N793" s="203"/>
      <c r="O793" s="1"/>
      <c r="P793" s="68"/>
    </row>
    <row r="794">
      <c r="A794" s="100">
        <v>7.66370275652E11</v>
      </c>
      <c r="B794" s="186" t="s">
        <v>1112</v>
      </c>
      <c r="C794" s="100" t="s">
        <v>97</v>
      </c>
      <c r="D794" s="100">
        <v>1.0</v>
      </c>
      <c r="E794" s="119">
        <v>85.5</v>
      </c>
      <c r="F794" s="118">
        <f t="shared" si="114"/>
        <v>85.5</v>
      </c>
      <c r="G794" s="118">
        <f t="shared" si="115"/>
        <v>25.90909091</v>
      </c>
      <c r="H794" s="132" t="s">
        <v>776</v>
      </c>
      <c r="I794" s="1"/>
      <c r="J794" s="104" t="s">
        <v>1100</v>
      </c>
      <c r="K794" s="133"/>
      <c r="L794" s="105"/>
      <c r="M794" s="105"/>
      <c r="N794" s="203"/>
      <c r="O794" s="1"/>
      <c r="P794" s="68"/>
    </row>
    <row r="795">
      <c r="A795" s="100">
        <v>8.85481661786E11</v>
      </c>
      <c r="B795" s="186" t="s">
        <v>1113</v>
      </c>
      <c r="C795" s="100" t="s">
        <v>97</v>
      </c>
      <c r="D795" s="100">
        <v>1.0</v>
      </c>
      <c r="E795" s="119">
        <v>89.0</v>
      </c>
      <c r="F795" s="118">
        <f t="shared" si="114"/>
        <v>89</v>
      </c>
      <c r="G795" s="118">
        <f t="shared" si="115"/>
        <v>26.96969697</v>
      </c>
      <c r="H795" s="132" t="s">
        <v>785</v>
      </c>
      <c r="I795" s="1"/>
      <c r="J795" s="104" t="s">
        <v>1100</v>
      </c>
      <c r="K795" s="133"/>
      <c r="L795" s="105"/>
      <c r="M795" s="105"/>
      <c r="N795" s="203"/>
      <c r="O795" s="1"/>
      <c r="P795" s="68"/>
    </row>
    <row r="796">
      <c r="A796" s="100">
        <v>8.8979663732E11</v>
      </c>
      <c r="B796" s="131" t="s">
        <v>1114</v>
      </c>
      <c r="C796" s="100" t="s">
        <v>97</v>
      </c>
      <c r="D796" s="100">
        <v>1.0</v>
      </c>
      <c r="E796" s="119">
        <v>159.0</v>
      </c>
      <c r="F796" s="118">
        <f t="shared" si="114"/>
        <v>159</v>
      </c>
      <c r="G796" s="118">
        <f t="shared" si="115"/>
        <v>48.18181818</v>
      </c>
      <c r="H796" s="132" t="s">
        <v>1115</v>
      </c>
      <c r="I796" s="1"/>
      <c r="J796" s="104" t="s">
        <v>1100</v>
      </c>
      <c r="K796" s="133"/>
      <c r="L796" s="105"/>
      <c r="M796" s="105"/>
      <c r="N796" s="203"/>
      <c r="O796" s="1"/>
      <c r="P796" s="68"/>
    </row>
    <row r="797">
      <c r="A797" s="135" t="s">
        <v>865</v>
      </c>
      <c r="B797" s="103" t="s">
        <v>1116</v>
      </c>
      <c r="C797" s="100"/>
      <c r="D797" s="100"/>
      <c r="E797" s="119"/>
      <c r="F797" s="118"/>
      <c r="G797" s="118"/>
      <c r="H797" s="100"/>
      <c r="I797" s="1"/>
      <c r="J797" s="104"/>
      <c r="K797" s="133"/>
      <c r="L797" s="105"/>
      <c r="M797" s="105"/>
      <c r="N797" s="203"/>
      <c r="O797" s="1"/>
      <c r="P797" s="68"/>
    </row>
    <row r="798">
      <c r="A798" s="149">
        <v>8.87460220199E11</v>
      </c>
      <c r="B798" s="131" t="s">
        <v>1117</v>
      </c>
      <c r="C798" s="100" t="s">
        <v>97</v>
      </c>
      <c r="D798" s="100">
        <v>1.0</v>
      </c>
      <c r="E798" s="119">
        <v>85.0</v>
      </c>
      <c r="F798" s="118">
        <f t="shared" ref="F798:F800" si="116">E798*D798</f>
        <v>85</v>
      </c>
      <c r="G798" s="118">
        <f t="shared" ref="G798:G800" si="117">F798/3.3</f>
        <v>25.75757576</v>
      </c>
      <c r="H798" s="132" t="s">
        <v>797</v>
      </c>
      <c r="I798" s="176" t="s">
        <v>149</v>
      </c>
      <c r="J798" s="104" t="s">
        <v>1100</v>
      </c>
      <c r="K798" s="133"/>
      <c r="L798" s="105"/>
      <c r="M798" s="105"/>
      <c r="N798" s="203"/>
      <c r="O798" s="1"/>
      <c r="P798" s="68"/>
    </row>
    <row r="799">
      <c r="A799" s="149">
        <v>8.89306511683E11</v>
      </c>
      <c r="B799" s="131" t="s">
        <v>1118</v>
      </c>
      <c r="C799" s="100" t="s">
        <v>97</v>
      </c>
      <c r="D799" s="100">
        <v>1.0</v>
      </c>
      <c r="E799" s="119">
        <v>85.0</v>
      </c>
      <c r="F799" s="118">
        <f t="shared" si="116"/>
        <v>85</v>
      </c>
      <c r="G799" s="118">
        <f t="shared" si="117"/>
        <v>25.75757576</v>
      </c>
      <c r="H799" s="132" t="s">
        <v>797</v>
      </c>
      <c r="I799" s="176" t="s">
        <v>149</v>
      </c>
      <c r="J799" s="104" t="s">
        <v>1100</v>
      </c>
      <c r="K799" s="133"/>
      <c r="L799" s="105"/>
      <c r="M799" s="105"/>
      <c r="N799" s="203"/>
      <c r="O799" s="1"/>
      <c r="P799" s="68"/>
    </row>
    <row r="800">
      <c r="A800" s="149">
        <v>8.89306632456E11</v>
      </c>
      <c r="B800" s="131" t="s">
        <v>1119</v>
      </c>
      <c r="C800" s="100" t="s">
        <v>97</v>
      </c>
      <c r="D800" s="100">
        <v>1.0</v>
      </c>
      <c r="E800" s="119">
        <v>85.0</v>
      </c>
      <c r="F800" s="118">
        <f t="shared" si="116"/>
        <v>85</v>
      </c>
      <c r="G800" s="118">
        <f t="shared" si="117"/>
        <v>25.75757576</v>
      </c>
      <c r="H800" s="132" t="s">
        <v>797</v>
      </c>
      <c r="I800" s="176" t="s">
        <v>149</v>
      </c>
      <c r="J800" s="104" t="s">
        <v>1100</v>
      </c>
      <c r="K800" s="133"/>
      <c r="L800" s="105"/>
      <c r="M800" s="105"/>
      <c r="N800" s="203"/>
      <c r="O800" s="1"/>
      <c r="P800" s="68"/>
    </row>
    <row r="801">
      <c r="A801" s="112" t="s">
        <v>153</v>
      </c>
      <c r="B801" s="112" t="s">
        <v>1120</v>
      </c>
      <c r="C801" s="112" t="str">
        <f>MID($B801,6,7)</f>
        <v>GR18258</v>
      </c>
      <c r="D801" s="112"/>
      <c r="E801" s="138"/>
      <c r="F801" s="124"/>
      <c r="G801" s="124"/>
      <c r="H801" s="127">
        <v>44558.0</v>
      </c>
      <c r="I801" s="1"/>
      <c r="J801" s="104" t="str">
        <f>IF(LEFT(B801,3)="Box","BOX","COUNT")</f>
        <v>BOX</v>
      </c>
      <c r="K801" s="139">
        <f>SUMIF($J$4:$J$8698,$C801,$D$4:$D$8698)</f>
        <v>17</v>
      </c>
      <c r="L801" s="32">
        <f>SUMIF($J$4:$J$8698,$C801,$F$4:$F$8698)</f>
        <v>1582.95</v>
      </c>
      <c r="M801" s="32">
        <f>SUMIF($J$4:$J$8698,$C801,$G$4:$G$8698)</f>
        <v>479.6818182</v>
      </c>
      <c r="N801" s="203" t="str">
        <f>C801</f>
        <v>GR18258</v>
      </c>
      <c r="O801" s="1" t="str">
        <f>J802</f>
        <v>SHIP</v>
      </c>
      <c r="P801" s="68">
        <f>M801</f>
        <v>479.6818182</v>
      </c>
      <c r="Q801" s="168">
        <v>44501.0</v>
      </c>
      <c r="R801" s="37" t="s">
        <v>1121</v>
      </c>
      <c r="S801" s="37" t="s">
        <v>1122</v>
      </c>
    </row>
    <row r="802">
      <c r="A802" s="204"/>
      <c r="B802" s="140" t="s">
        <v>1123</v>
      </c>
      <c r="C802" s="141"/>
      <c r="D802" s="141"/>
      <c r="E802" s="142"/>
      <c r="F802" s="142"/>
      <c r="G802" s="142"/>
      <c r="H802" s="141"/>
      <c r="I802" s="1"/>
      <c r="J802" s="104" t="str">
        <f>IF(B802="","NSHIP","SHIP")</f>
        <v>SHIP</v>
      </c>
      <c r="K802" s="139">
        <f>IF($J802="NSHIP",0,-SUMIF($J$4:$J$8698,$C801,$D$4:$D$8698))</f>
        <v>-17</v>
      </c>
      <c r="L802" s="32">
        <f>IF($J802="NSHIP",0,-SUMIF($J$4:$J$8696,$C801,$F$4:$F$8696))</f>
        <v>-1582.95</v>
      </c>
      <c r="M802" s="32">
        <f>IF($J802="NSHIP",0,-SUMIF($J$4:$J$8696,$C801,$G$4:$G$8696))</f>
        <v>-479.6818182</v>
      </c>
      <c r="N802" s="203"/>
      <c r="O802" s="1"/>
      <c r="P802" s="68"/>
    </row>
    <row r="803">
      <c r="A803" s="134">
        <v>1.90748578982E11</v>
      </c>
      <c r="B803" s="131" t="s">
        <v>1124</v>
      </c>
      <c r="C803" s="100" t="s">
        <v>97</v>
      </c>
      <c r="D803" s="100">
        <v>1.0</v>
      </c>
      <c r="E803" s="119">
        <v>79.0</v>
      </c>
      <c r="F803" s="118">
        <f t="shared" ref="F803:F813" si="118">E803*D803</f>
        <v>79</v>
      </c>
      <c r="G803" s="118">
        <f t="shared" ref="G803:G813" si="119">F803/3.3</f>
        <v>23.93939394</v>
      </c>
      <c r="H803" s="100" t="s">
        <v>876</v>
      </c>
      <c r="I803" s="1"/>
      <c r="J803" s="120" t="s">
        <v>1125</v>
      </c>
      <c r="K803" s="99"/>
      <c r="L803" s="50"/>
      <c r="M803" s="50"/>
      <c r="N803" s="205"/>
      <c r="P803" s="68"/>
    </row>
    <row r="804">
      <c r="A804" s="134">
        <v>1.90748621541E11</v>
      </c>
      <c r="B804" s="131" t="s">
        <v>1126</v>
      </c>
      <c r="C804" s="100" t="s">
        <v>97</v>
      </c>
      <c r="D804" s="100">
        <v>1.0</v>
      </c>
      <c r="E804" s="119">
        <v>79.0</v>
      </c>
      <c r="F804" s="118">
        <f t="shared" si="118"/>
        <v>79</v>
      </c>
      <c r="G804" s="118">
        <f t="shared" si="119"/>
        <v>23.93939394</v>
      </c>
      <c r="H804" s="100" t="s">
        <v>876</v>
      </c>
      <c r="I804" s="1"/>
      <c r="J804" s="120" t="s">
        <v>1125</v>
      </c>
      <c r="K804" s="99"/>
      <c r="L804" s="50"/>
      <c r="M804" s="50"/>
      <c r="N804" s="205"/>
      <c r="P804" s="68"/>
    </row>
    <row r="805">
      <c r="A805" s="134">
        <v>7.1614206706E11</v>
      </c>
      <c r="B805" s="131" t="s">
        <v>1127</v>
      </c>
      <c r="C805" s="100" t="s">
        <v>97</v>
      </c>
      <c r="D805" s="100">
        <v>1.0</v>
      </c>
      <c r="E805" s="119">
        <v>89.0</v>
      </c>
      <c r="F805" s="118">
        <f t="shared" si="118"/>
        <v>89</v>
      </c>
      <c r="G805" s="118">
        <f t="shared" si="119"/>
        <v>26.96969697</v>
      </c>
      <c r="H805" s="100" t="s">
        <v>960</v>
      </c>
      <c r="I805" s="1"/>
      <c r="J805" s="120" t="s">
        <v>1125</v>
      </c>
      <c r="K805" s="99"/>
      <c r="L805" s="50"/>
      <c r="M805" s="50"/>
      <c r="N805" s="205"/>
      <c r="P805" s="68"/>
    </row>
    <row r="806">
      <c r="A806" s="134">
        <v>7.27679379212E11</v>
      </c>
      <c r="B806" s="131" t="s">
        <v>1128</v>
      </c>
      <c r="C806" s="100" t="s">
        <v>97</v>
      </c>
      <c r="D806" s="100">
        <v>1.0</v>
      </c>
      <c r="E806" s="119">
        <v>89.99</v>
      </c>
      <c r="F806" s="118">
        <f t="shared" si="118"/>
        <v>89.99</v>
      </c>
      <c r="G806" s="118">
        <f t="shared" si="119"/>
        <v>27.26969697</v>
      </c>
      <c r="H806" s="100" t="s">
        <v>901</v>
      </c>
      <c r="I806" s="1"/>
      <c r="J806" s="120" t="s">
        <v>1125</v>
      </c>
      <c r="K806" s="99"/>
      <c r="L806" s="50"/>
      <c r="M806" s="50"/>
      <c r="N806" s="205"/>
      <c r="P806" s="68"/>
    </row>
    <row r="807">
      <c r="A807" s="134">
        <v>7.32999370634E11</v>
      </c>
      <c r="B807" s="131" t="s">
        <v>1129</v>
      </c>
      <c r="C807" s="100" t="s">
        <v>97</v>
      </c>
      <c r="D807" s="100">
        <v>1.0</v>
      </c>
      <c r="E807" s="119">
        <v>59.5</v>
      </c>
      <c r="F807" s="118">
        <f t="shared" si="118"/>
        <v>59.5</v>
      </c>
      <c r="G807" s="118">
        <f t="shared" si="119"/>
        <v>18.03030303</v>
      </c>
      <c r="H807" s="100" t="s">
        <v>887</v>
      </c>
      <c r="I807" s="1"/>
      <c r="J807" s="120" t="s">
        <v>1125</v>
      </c>
      <c r="K807" s="99"/>
      <c r="L807" s="50"/>
      <c r="M807" s="50"/>
      <c r="N807" s="205"/>
      <c r="P807" s="68"/>
    </row>
    <row r="808">
      <c r="A808" s="134">
        <v>7.68363511501E11</v>
      </c>
      <c r="B808" s="131" t="s">
        <v>1130</v>
      </c>
      <c r="C808" s="100" t="s">
        <v>97</v>
      </c>
      <c r="D808" s="100">
        <v>1.0</v>
      </c>
      <c r="E808" s="119">
        <v>89.0</v>
      </c>
      <c r="F808" s="118">
        <f t="shared" si="118"/>
        <v>89</v>
      </c>
      <c r="G808" s="118">
        <f t="shared" si="119"/>
        <v>26.96969697</v>
      </c>
      <c r="H808" s="100" t="s">
        <v>783</v>
      </c>
      <c r="I808" s="1"/>
      <c r="J808" s="120" t="s">
        <v>1125</v>
      </c>
      <c r="K808" s="99"/>
      <c r="L808" s="50"/>
      <c r="M808" s="50"/>
      <c r="N808" s="205"/>
      <c r="P808" s="68"/>
    </row>
    <row r="809">
      <c r="A809" s="134">
        <v>7.68363517985E11</v>
      </c>
      <c r="B809" s="131" t="s">
        <v>1131</v>
      </c>
      <c r="C809" s="100" t="s">
        <v>97</v>
      </c>
      <c r="D809" s="100">
        <v>1.0</v>
      </c>
      <c r="E809" s="119">
        <v>99.0</v>
      </c>
      <c r="F809" s="118">
        <f t="shared" si="118"/>
        <v>99</v>
      </c>
      <c r="G809" s="118">
        <f t="shared" si="119"/>
        <v>30</v>
      </c>
      <c r="H809" s="100" t="s">
        <v>783</v>
      </c>
      <c r="I809" s="1"/>
      <c r="J809" s="120" t="s">
        <v>1125</v>
      </c>
      <c r="K809" s="99"/>
      <c r="L809" s="50"/>
      <c r="M809" s="50"/>
      <c r="N809" s="205"/>
      <c r="P809" s="68"/>
    </row>
    <row r="810">
      <c r="A810" s="134">
        <v>7.68363518012E11</v>
      </c>
      <c r="B810" s="131" t="s">
        <v>995</v>
      </c>
      <c r="C810" s="100" t="s">
        <v>97</v>
      </c>
      <c r="D810" s="100">
        <v>1.0</v>
      </c>
      <c r="E810" s="119">
        <v>99.0</v>
      </c>
      <c r="F810" s="118">
        <f t="shared" si="118"/>
        <v>99</v>
      </c>
      <c r="G810" s="118">
        <f t="shared" si="119"/>
        <v>30</v>
      </c>
      <c r="H810" s="100" t="s">
        <v>783</v>
      </c>
      <c r="I810" s="1"/>
      <c r="J810" s="120" t="s">
        <v>1125</v>
      </c>
      <c r="K810" s="99"/>
      <c r="L810" s="50"/>
      <c r="M810" s="50"/>
      <c r="N810" s="205"/>
      <c r="P810" s="68"/>
    </row>
    <row r="811">
      <c r="A811" s="134">
        <v>8.85481661762E11</v>
      </c>
      <c r="B811" s="131" t="s">
        <v>1132</v>
      </c>
      <c r="C811" s="100" t="s">
        <v>97</v>
      </c>
      <c r="D811" s="100">
        <v>1.0</v>
      </c>
      <c r="E811" s="119">
        <v>89.0</v>
      </c>
      <c r="F811" s="118">
        <f t="shared" si="118"/>
        <v>89</v>
      </c>
      <c r="G811" s="118">
        <f t="shared" si="119"/>
        <v>26.96969697</v>
      </c>
      <c r="H811" s="100" t="s">
        <v>785</v>
      </c>
      <c r="I811" s="1"/>
      <c r="J811" s="120" t="s">
        <v>1125</v>
      </c>
      <c r="K811" s="99"/>
      <c r="L811" s="50"/>
      <c r="M811" s="50"/>
      <c r="N811" s="205"/>
      <c r="P811" s="68"/>
    </row>
    <row r="812">
      <c r="A812" s="134">
        <v>8.85481661779E11</v>
      </c>
      <c r="B812" s="131" t="s">
        <v>1133</v>
      </c>
      <c r="C812" s="100" t="s">
        <v>97</v>
      </c>
      <c r="D812" s="100">
        <v>1.0</v>
      </c>
      <c r="E812" s="119">
        <v>89.0</v>
      </c>
      <c r="F812" s="118">
        <f t="shared" si="118"/>
        <v>89</v>
      </c>
      <c r="G812" s="118">
        <f t="shared" si="119"/>
        <v>26.96969697</v>
      </c>
      <c r="H812" s="100" t="s">
        <v>785</v>
      </c>
      <c r="I812" s="1"/>
      <c r="J812" s="120" t="s">
        <v>1125</v>
      </c>
      <c r="K812" s="99"/>
      <c r="L812" s="50"/>
      <c r="M812" s="50"/>
      <c r="N812" s="205"/>
      <c r="P812" s="68"/>
    </row>
    <row r="813">
      <c r="A813" s="134">
        <v>8.87986222387E11</v>
      </c>
      <c r="B813" s="131" t="s">
        <v>1134</v>
      </c>
      <c r="C813" s="100" t="s">
        <v>97</v>
      </c>
      <c r="D813" s="100">
        <v>1.0</v>
      </c>
      <c r="E813" s="119">
        <v>99.0</v>
      </c>
      <c r="F813" s="118">
        <f t="shared" si="118"/>
        <v>99</v>
      </c>
      <c r="G813" s="118">
        <f t="shared" si="119"/>
        <v>30</v>
      </c>
      <c r="H813" s="100" t="s">
        <v>927</v>
      </c>
      <c r="I813" s="1"/>
      <c r="J813" s="120" t="s">
        <v>1125</v>
      </c>
      <c r="K813" s="99"/>
      <c r="L813" s="50"/>
      <c r="M813" s="50"/>
      <c r="N813" s="205"/>
      <c r="P813" s="68"/>
    </row>
    <row r="814">
      <c r="A814" s="144" t="s">
        <v>1037</v>
      </c>
      <c r="B814" s="145" t="s">
        <v>1135</v>
      </c>
      <c r="C814" s="146"/>
      <c r="D814" s="146"/>
      <c r="E814" s="147"/>
      <c r="F814" s="177"/>
      <c r="G814" s="177"/>
      <c r="H814" s="148"/>
      <c r="I814" s="1"/>
      <c r="J814" s="120"/>
      <c r="K814" s="99"/>
      <c r="L814" s="50"/>
      <c r="M814" s="50"/>
      <c r="N814" s="205"/>
      <c r="P814" s="68"/>
    </row>
    <row r="815">
      <c r="A815" s="134">
        <v>7.32995077049E11</v>
      </c>
      <c r="B815" s="131" t="s">
        <v>1136</v>
      </c>
      <c r="C815" s="100" t="s">
        <v>97</v>
      </c>
      <c r="D815" s="100">
        <v>1.0</v>
      </c>
      <c r="E815" s="119">
        <v>69.5</v>
      </c>
      <c r="F815" s="118">
        <f t="shared" ref="F815:F816" si="120">E815*D815</f>
        <v>69.5</v>
      </c>
      <c r="G815" s="118">
        <f t="shared" ref="G815:G816" si="121">F815/3.3</f>
        <v>21.06060606</v>
      </c>
      <c r="H815" s="143" t="s">
        <v>885</v>
      </c>
      <c r="I815" s="1"/>
      <c r="J815" s="120" t="s">
        <v>1125</v>
      </c>
      <c r="K815" s="99"/>
      <c r="L815" s="50"/>
      <c r="M815" s="50"/>
      <c r="N815" s="205"/>
      <c r="P815" s="68"/>
    </row>
    <row r="816">
      <c r="A816" s="134">
        <v>7.32997859117E11</v>
      </c>
      <c r="B816" s="131" t="s">
        <v>1137</v>
      </c>
      <c r="C816" s="100" t="s">
        <v>97</v>
      </c>
      <c r="D816" s="100">
        <v>1.0</v>
      </c>
      <c r="E816" s="119">
        <v>99.5</v>
      </c>
      <c r="F816" s="118">
        <f t="shared" si="120"/>
        <v>99.5</v>
      </c>
      <c r="G816" s="118">
        <f t="shared" si="121"/>
        <v>30.15151515</v>
      </c>
      <c r="H816" s="143" t="s">
        <v>856</v>
      </c>
      <c r="I816" s="1"/>
      <c r="J816" s="120" t="s">
        <v>1125</v>
      </c>
      <c r="K816" s="99"/>
      <c r="L816" s="50"/>
      <c r="M816" s="50"/>
      <c r="N816" s="205"/>
      <c r="P816" s="68"/>
    </row>
    <row r="817">
      <c r="A817" s="144" t="s">
        <v>265</v>
      </c>
      <c r="B817" s="145" t="s">
        <v>1138</v>
      </c>
      <c r="C817" s="100"/>
      <c r="D817" s="100"/>
      <c r="E817" s="119"/>
      <c r="F817" s="118"/>
      <c r="G817" s="118"/>
      <c r="H817" s="143"/>
      <c r="I817" s="1"/>
      <c r="J817" s="108"/>
      <c r="K817" s="99"/>
      <c r="L817" s="50"/>
      <c r="M817" s="50"/>
      <c r="P817" s="68"/>
    </row>
    <row r="818">
      <c r="A818" s="137">
        <v>1.92625144587E11</v>
      </c>
      <c r="B818" s="131" t="s">
        <v>1139</v>
      </c>
      <c r="C818" s="100" t="s">
        <v>97</v>
      </c>
      <c r="D818" s="100">
        <v>1.0</v>
      </c>
      <c r="E818" s="119">
        <v>99.0</v>
      </c>
      <c r="F818" s="118">
        <f>E818*D818</f>
        <v>99</v>
      </c>
      <c r="G818" s="118">
        <f>F818/3.3</f>
        <v>30</v>
      </c>
      <c r="H818" s="143" t="s">
        <v>1083</v>
      </c>
      <c r="I818" s="1" t="s">
        <v>149</v>
      </c>
      <c r="J818" s="120" t="s">
        <v>1125</v>
      </c>
      <c r="K818" s="99"/>
      <c r="L818" s="50"/>
      <c r="M818" s="50"/>
      <c r="P818" s="68"/>
    </row>
    <row r="819">
      <c r="A819" s="112" t="s">
        <v>224</v>
      </c>
      <c r="B819" s="112" t="s">
        <v>1140</v>
      </c>
      <c r="C819" s="112" t="str">
        <f>MID($B819,6,7)</f>
        <v>GR18259</v>
      </c>
      <c r="D819" s="112"/>
      <c r="E819" s="112"/>
      <c r="F819" s="112"/>
      <c r="G819" s="112"/>
      <c r="H819" s="127">
        <v>44558.0</v>
      </c>
      <c r="I819" s="1"/>
      <c r="J819" s="108" t="str">
        <f>IF(LEFT(B819,3)="Box","BOX","COUNT")</f>
        <v>BOX</v>
      </c>
      <c r="K819" s="99">
        <f>SUMIF($J$4:$J$8712,$C819,$D$4:$D$8712)</f>
        <v>14</v>
      </c>
      <c r="L819" s="50">
        <f>SUMIF($J$4:$J$8712,$C819,$F$4:$F$8712)</f>
        <v>1228.49</v>
      </c>
      <c r="M819" s="50">
        <f>SUMIF($J$4:$J$8712,$C819,$G$4:$G$8712)</f>
        <v>372.269697</v>
      </c>
      <c r="N819" s="70" t="str">
        <f>C819</f>
        <v>GR18259</v>
      </c>
      <c r="O819" s="70" t="str">
        <f>J820</f>
        <v>SHIP</v>
      </c>
      <c r="P819" s="68">
        <f>M819</f>
        <v>372.269697</v>
      </c>
      <c r="Q819" s="168">
        <v>44501.0</v>
      </c>
      <c r="R819" s="37" t="s">
        <v>1121</v>
      </c>
      <c r="S819" s="37" t="s">
        <v>1122</v>
      </c>
    </row>
    <row r="820">
      <c r="A820" s="115" t="s">
        <v>119</v>
      </c>
      <c r="B820" s="112" t="s">
        <v>1141</v>
      </c>
      <c r="C820" s="141"/>
      <c r="D820" s="141"/>
      <c r="E820" s="142"/>
      <c r="F820" s="142"/>
      <c r="G820" s="142"/>
      <c r="H820" s="141"/>
      <c r="I820" s="1"/>
      <c r="J820" s="108" t="str">
        <f>IF(B820="","NSHIP","SHIP")</f>
        <v>SHIP</v>
      </c>
      <c r="K820" s="99">
        <f>IF($J820="NSHIP",0,-SUMIF($J$4:$J$8712,$C819,$D$4:$D$8712))</f>
        <v>-14</v>
      </c>
      <c r="L820" s="50">
        <f>IF($J820="NSHIP",0,-SUMIF($J$4:$J$8710,$C819,$F$4:$F$8710))</f>
        <v>-1228.49</v>
      </c>
      <c r="M820" s="50">
        <f>IF($J820="NSHIP",0,-SUMIF($J$4:$J$8710,$C819,$G$4:$G$8710))</f>
        <v>-372.269697</v>
      </c>
      <c r="P820" s="68"/>
    </row>
    <row r="821">
      <c r="A821" s="95">
        <v>9.3636297616E10</v>
      </c>
      <c r="B821" s="151" t="s">
        <v>1142</v>
      </c>
      <c r="C821" s="95" t="s">
        <v>97</v>
      </c>
      <c r="D821" s="95">
        <v>1.0</v>
      </c>
      <c r="E821" s="101">
        <v>65.0</v>
      </c>
      <c r="F821" s="97">
        <f t="shared" ref="F821:F831" si="122">E821*D821</f>
        <v>65</v>
      </c>
      <c r="G821" s="97">
        <f t="shared" ref="G821:G831" si="123">F821/3.3</f>
        <v>19.6969697</v>
      </c>
      <c r="H821" s="95" t="s">
        <v>901</v>
      </c>
      <c r="J821" s="120" t="s">
        <v>1143</v>
      </c>
      <c r="K821" s="99"/>
      <c r="L821" s="50"/>
      <c r="M821" s="50"/>
      <c r="N821" s="205"/>
      <c r="P821" s="68"/>
    </row>
    <row r="822">
      <c r="A822" s="95">
        <v>1.90047901511E11</v>
      </c>
      <c r="B822" s="151" t="s">
        <v>1144</v>
      </c>
      <c r="C822" s="95" t="s">
        <v>97</v>
      </c>
      <c r="D822" s="95">
        <v>1.0</v>
      </c>
      <c r="E822" s="101">
        <v>89.0</v>
      </c>
      <c r="F822" s="97">
        <f t="shared" si="122"/>
        <v>89</v>
      </c>
      <c r="G822" s="97">
        <f t="shared" si="123"/>
        <v>26.96969697</v>
      </c>
      <c r="H822" s="95" t="s">
        <v>873</v>
      </c>
      <c r="J822" s="120" t="s">
        <v>1143</v>
      </c>
      <c r="K822" s="99"/>
      <c r="L822" s="50"/>
      <c r="M822" s="50"/>
      <c r="N822" s="205"/>
      <c r="P822" s="68"/>
    </row>
    <row r="823">
      <c r="A823" s="95">
        <v>1.90047948363E11</v>
      </c>
      <c r="B823" s="151" t="s">
        <v>1145</v>
      </c>
      <c r="C823" s="95" t="s">
        <v>97</v>
      </c>
      <c r="D823" s="95">
        <v>1.0</v>
      </c>
      <c r="E823" s="101">
        <v>39.99</v>
      </c>
      <c r="F823" s="97">
        <f t="shared" si="122"/>
        <v>39.99</v>
      </c>
      <c r="G823" s="97">
        <f t="shared" si="123"/>
        <v>12.11818182</v>
      </c>
      <c r="H823" s="95" t="s">
        <v>873</v>
      </c>
      <c r="J823" s="120" t="s">
        <v>1143</v>
      </c>
      <c r="K823" s="99"/>
      <c r="L823" s="50"/>
      <c r="M823" s="50"/>
      <c r="N823" s="205"/>
      <c r="P823" s="68"/>
    </row>
    <row r="824">
      <c r="A824" s="95">
        <v>1.90748621541E11</v>
      </c>
      <c r="B824" s="151" t="s">
        <v>1060</v>
      </c>
      <c r="C824" s="95" t="s">
        <v>97</v>
      </c>
      <c r="D824" s="95">
        <v>1.0</v>
      </c>
      <c r="E824" s="101">
        <v>79.0</v>
      </c>
      <c r="F824" s="97">
        <f t="shared" si="122"/>
        <v>79</v>
      </c>
      <c r="G824" s="97">
        <f t="shared" si="123"/>
        <v>23.93939394</v>
      </c>
      <c r="H824" s="95" t="s">
        <v>876</v>
      </c>
      <c r="J824" s="120" t="s">
        <v>1143</v>
      </c>
      <c r="K824" s="99"/>
      <c r="L824" s="50"/>
      <c r="M824" s="50"/>
      <c r="N824" s="205"/>
      <c r="P824" s="68"/>
    </row>
    <row r="825">
      <c r="A825" s="95">
        <v>1.91609364799E11</v>
      </c>
      <c r="B825" s="151" t="s">
        <v>1146</v>
      </c>
      <c r="C825" s="95" t="s">
        <v>97</v>
      </c>
      <c r="D825" s="95">
        <v>1.0</v>
      </c>
      <c r="E825" s="101">
        <v>89.0</v>
      </c>
      <c r="F825" s="97">
        <f t="shared" si="122"/>
        <v>89</v>
      </c>
      <c r="G825" s="97">
        <f t="shared" si="123"/>
        <v>26.96969697</v>
      </c>
      <c r="H825" s="95" t="s">
        <v>1147</v>
      </c>
      <c r="J825" s="120" t="s">
        <v>1143</v>
      </c>
      <c r="K825" s="99"/>
      <c r="L825" s="50"/>
      <c r="M825" s="50"/>
      <c r="N825" s="205"/>
      <c r="P825" s="68"/>
    </row>
    <row r="826">
      <c r="A826" s="95">
        <v>1.91609364836E11</v>
      </c>
      <c r="B826" s="151" t="s">
        <v>1148</v>
      </c>
      <c r="C826" s="95" t="s">
        <v>97</v>
      </c>
      <c r="D826" s="95">
        <v>1.0</v>
      </c>
      <c r="E826" s="101">
        <v>89.0</v>
      </c>
      <c r="F826" s="97">
        <f t="shared" si="122"/>
        <v>89</v>
      </c>
      <c r="G826" s="97">
        <f t="shared" si="123"/>
        <v>26.96969697</v>
      </c>
      <c r="H826" s="95" t="s">
        <v>1147</v>
      </c>
      <c r="J826" s="120" t="s">
        <v>1143</v>
      </c>
      <c r="K826" s="99"/>
      <c r="L826" s="50"/>
      <c r="M826" s="50"/>
      <c r="N826" s="205"/>
      <c r="P826" s="68"/>
    </row>
    <row r="827">
      <c r="A827" s="95">
        <v>1.94835682101E11</v>
      </c>
      <c r="B827" s="151" t="s">
        <v>1149</v>
      </c>
      <c r="C827" s="95" t="s">
        <v>97</v>
      </c>
      <c r="D827" s="95">
        <v>1.0</v>
      </c>
      <c r="E827" s="101">
        <v>77.63</v>
      </c>
      <c r="F827" s="97">
        <f t="shared" si="122"/>
        <v>77.63</v>
      </c>
      <c r="G827" s="97">
        <f t="shared" si="123"/>
        <v>23.52424242</v>
      </c>
      <c r="H827" s="95" t="s">
        <v>828</v>
      </c>
      <c r="J827" s="120" t="s">
        <v>1143</v>
      </c>
      <c r="K827" s="99"/>
      <c r="L827" s="50"/>
      <c r="M827" s="50"/>
      <c r="N827" s="205"/>
      <c r="P827" s="68"/>
    </row>
    <row r="828">
      <c r="A828" s="95">
        <v>7.07722162985E11</v>
      </c>
      <c r="B828" s="151" t="s">
        <v>1150</v>
      </c>
      <c r="C828" s="95" t="s">
        <v>97</v>
      </c>
      <c r="D828" s="95">
        <v>1.0</v>
      </c>
      <c r="E828" s="101">
        <v>100.0</v>
      </c>
      <c r="F828" s="97">
        <f t="shared" si="122"/>
        <v>100</v>
      </c>
      <c r="G828" s="97">
        <f t="shared" si="123"/>
        <v>30.3030303</v>
      </c>
      <c r="H828" s="95" t="s">
        <v>1030</v>
      </c>
      <c r="J828" s="120" t="s">
        <v>1143</v>
      </c>
      <c r="K828" s="99"/>
      <c r="L828" s="50"/>
      <c r="M828" s="50"/>
      <c r="N828" s="205"/>
      <c r="P828" s="68"/>
    </row>
    <row r="829">
      <c r="A829" s="95">
        <v>7.32998097624E11</v>
      </c>
      <c r="B829" s="151" t="s">
        <v>1151</v>
      </c>
      <c r="C829" s="95" t="s">
        <v>97</v>
      </c>
      <c r="D829" s="95">
        <v>1.0</v>
      </c>
      <c r="E829" s="101">
        <v>99.5</v>
      </c>
      <c r="F829" s="97">
        <f t="shared" si="122"/>
        <v>99.5</v>
      </c>
      <c r="G829" s="97">
        <f t="shared" si="123"/>
        <v>30.15151515</v>
      </c>
      <c r="H829" s="95" t="s">
        <v>887</v>
      </c>
      <c r="J829" s="120" t="s">
        <v>1143</v>
      </c>
      <c r="K829" s="99"/>
      <c r="L829" s="50"/>
      <c r="M829" s="50"/>
      <c r="N829" s="205"/>
      <c r="P829" s="68"/>
    </row>
    <row r="830">
      <c r="A830" s="95">
        <v>7.6836351777E11</v>
      </c>
      <c r="B830" s="151" t="s">
        <v>810</v>
      </c>
      <c r="C830" s="95" t="s">
        <v>97</v>
      </c>
      <c r="D830" s="95">
        <v>1.0</v>
      </c>
      <c r="E830" s="101">
        <v>99.0</v>
      </c>
      <c r="F830" s="97">
        <f t="shared" si="122"/>
        <v>99</v>
      </c>
      <c r="G830" s="97">
        <f t="shared" si="123"/>
        <v>30</v>
      </c>
      <c r="H830" s="95" t="s">
        <v>783</v>
      </c>
      <c r="J830" s="120" t="s">
        <v>1143</v>
      </c>
      <c r="K830" s="99"/>
      <c r="L830" s="50"/>
      <c r="M830" s="50"/>
      <c r="N830" s="205"/>
      <c r="P830" s="68"/>
    </row>
    <row r="831">
      <c r="A831" s="95">
        <v>8.00554900746E11</v>
      </c>
      <c r="B831" s="151" t="s">
        <v>1152</v>
      </c>
      <c r="C831" s="95" t="s">
        <v>97</v>
      </c>
      <c r="D831" s="95">
        <v>1.0</v>
      </c>
      <c r="E831" s="101">
        <v>109.0</v>
      </c>
      <c r="F831" s="97">
        <f t="shared" si="122"/>
        <v>109</v>
      </c>
      <c r="G831" s="97">
        <f t="shared" si="123"/>
        <v>33.03030303</v>
      </c>
      <c r="H831" s="95" t="s">
        <v>924</v>
      </c>
      <c r="J831" s="120" t="s">
        <v>1143</v>
      </c>
      <c r="K831" s="99"/>
      <c r="L831" s="50"/>
      <c r="M831" s="50"/>
      <c r="N831" s="205"/>
      <c r="P831" s="68"/>
    </row>
    <row r="832">
      <c r="A832" s="152" t="s">
        <v>1153</v>
      </c>
      <c r="B832" s="103" t="s">
        <v>1154</v>
      </c>
      <c r="C832" s="95"/>
      <c r="D832" s="95"/>
      <c r="E832" s="101"/>
      <c r="F832" s="97"/>
      <c r="G832" s="97"/>
      <c r="H832" s="95"/>
      <c r="I832" s="196"/>
      <c r="J832" s="187"/>
      <c r="K832" s="157"/>
      <c r="L832" s="158"/>
      <c r="M832" s="158"/>
      <c r="N832" s="206"/>
      <c r="O832" s="98"/>
      <c r="P832" s="6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09">
        <v>7.68363518036E11</v>
      </c>
      <c r="B833" s="151" t="s">
        <v>1155</v>
      </c>
      <c r="C833" s="95" t="s">
        <v>97</v>
      </c>
      <c r="D833" s="95">
        <v>2.0</v>
      </c>
      <c r="E833" s="101">
        <v>99.0</v>
      </c>
      <c r="F833" s="97">
        <f t="shared" ref="F833:F835" si="124">E833*D833</f>
        <v>198</v>
      </c>
      <c r="G833" s="97">
        <f t="shared" ref="G833:G835" si="125">F833/3.3</f>
        <v>60</v>
      </c>
      <c r="H833" s="95" t="s">
        <v>783</v>
      </c>
      <c r="J833" s="120" t="s">
        <v>1143</v>
      </c>
      <c r="K833" s="99"/>
      <c r="L833" s="50"/>
      <c r="M833" s="50"/>
      <c r="N833" s="205"/>
      <c r="P833" s="68"/>
    </row>
    <row r="834">
      <c r="A834" s="109">
        <v>7.42976759055E11</v>
      </c>
      <c r="B834" s="151" t="s">
        <v>1156</v>
      </c>
      <c r="C834" s="95" t="s">
        <v>97</v>
      </c>
      <c r="D834" s="95">
        <v>1.0</v>
      </c>
      <c r="E834" s="101">
        <v>110.0</v>
      </c>
      <c r="F834" s="97">
        <f t="shared" si="124"/>
        <v>110</v>
      </c>
      <c r="G834" s="97">
        <f t="shared" si="125"/>
        <v>33.33333333</v>
      </c>
      <c r="H834" s="95" t="s">
        <v>783</v>
      </c>
      <c r="J834" s="120" t="s">
        <v>1143</v>
      </c>
      <c r="K834" s="99"/>
      <c r="L834" s="50"/>
      <c r="M834" s="50"/>
      <c r="N834" s="205"/>
      <c r="P834" s="68"/>
    </row>
    <row r="835">
      <c r="A835" s="109">
        <v>7.27679379427E11</v>
      </c>
      <c r="B835" s="151" t="s">
        <v>1157</v>
      </c>
      <c r="C835" s="95" t="s">
        <v>97</v>
      </c>
      <c r="D835" s="95">
        <v>1.0</v>
      </c>
      <c r="E835" s="101">
        <v>89.99</v>
      </c>
      <c r="F835" s="97">
        <f t="shared" si="124"/>
        <v>89.99</v>
      </c>
      <c r="G835" s="97">
        <f t="shared" si="125"/>
        <v>27.26969697</v>
      </c>
      <c r="H835" s="95" t="s">
        <v>901</v>
      </c>
      <c r="I835" s="37" t="s">
        <v>1158</v>
      </c>
      <c r="J835" s="120" t="s">
        <v>1143</v>
      </c>
      <c r="K835" s="99"/>
      <c r="L835" s="50"/>
      <c r="M835" s="50"/>
      <c r="N835" s="205"/>
      <c r="P835" s="68"/>
    </row>
    <row r="836">
      <c r="A836" s="152" t="s">
        <v>697</v>
      </c>
      <c r="B836" s="103" t="s">
        <v>1159</v>
      </c>
      <c r="C836" s="95"/>
      <c r="D836" s="95"/>
      <c r="E836" s="101"/>
      <c r="F836" s="97"/>
      <c r="G836" s="97"/>
      <c r="H836" s="95"/>
      <c r="I836" s="196"/>
      <c r="J836" s="187"/>
      <c r="K836" s="157"/>
      <c r="L836" s="158"/>
      <c r="M836" s="158"/>
      <c r="N836" s="206"/>
      <c r="O836" s="98"/>
      <c r="P836" s="6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65">
        <v>8.89431995716E11</v>
      </c>
      <c r="B837" s="151" t="s">
        <v>1160</v>
      </c>
      <c r="C837" s="95" t="s">
        <v>97</v>
      </c>
      <c r="D837" s="95">
        <v>1.0</v>
      </c>
      <c r="E837" s="101">
        <v>79.0</v>
      </c>
      <c r="F837" s="97">
        <f>E837*D837</f>
        <v>79</v>
      </c>
      <c r="G837" s="97">
        <f>F837/3.3</f>
        <v>23.93939394</v>
      </c>
      <c r="H837" s="95" t="s">
        <v>1083</v>
      </c>
      <c r="I837" s="37" t="s">
        <v>760</v>
      </c>
      <c r="J837" s="120" t="s">
        <v>1143</v>
      </c>
      <c r="K837" s="99"/>
      <c r="L837" s="50"/>
      <c r="M837" s="50"/>
      <c r="N837" s="205"/>
      <c r="P837" s="68"/>
    </row>
    <row r="838">
      <c r="A838" s="111" t="s">
        <v>267</v>
      </c>
      <c r="B838" s="111" t="s">
        <v>1161</v>
      </c>
      <c r="C838" s="112" t="str">
        <f>MID($B838,6,7)</f>
        <v>GR18260</v>
      </c>
      <c r="D838" s="111"/>
      <c r="E838" s="111"/>
      <c r="F838" s="111"/>
      <c r="G838" s="111"/>
      <c r="H838" s="113">
        <v>44558.0</v>
      </c>
      <c r="I838" s="159"/>
      <c r="J838" s="160" t="str">
        <f>IF(LEFT(B838,3)="Box","BOX","COUNT")</f>
        <v>BOX</v>
      </c>
      <c r="K838" s="161">
        <f>SUMIF($J$4:$J$8712,$C838,$D$4:$D$8712)</f>
        <v>16</v>
      </c>
      <c r="L838" s="162">
        <f>SUMIF($J$4:$J$8712,$C838,$F$4:$F$8712)</f>
        <v>1413.11</v>
      </c>
      <c r="M838" s="162">
        <f>SUMIF($J$4:$J$8712,$C838,$G$4:$G$8712)</f>
        <v>428.2151515</v>
      </c>
      <c r="N838" s="159" t="str">
        <f>C838</f>
        <v>GR18260</v>
      </c>
      <c r="O838" s="159" t="str">
        <f>J839</f>
        <v>SHIP</v>
      </c>
      <c r="P838" s="68">
        <f>M838</f>
        <v>428.2151515</v>
      </c>
      <c r="Q838" s="168">
        <v>44501.0</v>
      </c>
      <c r="R838" s="37" t="s">
        <v>1121</v>
      </c>
      <c r="S838" s="37" t="s">
        <v>1122</v>
      </c>
      <c r="T838" s="159"/>
      <c r="U838" s="159"/>
      <c r="V838" s="159"/>
      <c r="W838" s="159"/>
      <c r="X838" s="159"/>
      <c r="Y838" s="159"/>
      <c r="Z838" s="159"/>
    </row>
    <row r="839">
      <c r="A839" s="109"/>
      <c r="B839" s="111" t="s">
        <v>1162</v>
      </c>
      <c r="C839" s="109"/>
      <c r="D839" s="109"/>
      <c r="E839" s="116"/>
      <c r="F839" s="116"/>
      <c r="G839" s="116"/>
      <c r="H839" s="165"/>
      <c r="J839" s="108" t="str">
        <f>IF(B839="","NSHIP","SHIP")</f>
        <v>SHIP</v>
      </c>
      <c r="K839" s="99">
        <f>IF($J839="NSHIP",0,-SUMIF($J$4:$J$8712,$C838,$D$4:$D$8712))</f>
        <v>-16</v>
      </c>
      <c r="L839" s="50">
        <f>IF($J839="NSHIP",0,-SUMIF($J$4:$J$8710,$C838,$F$4:$F$8710))</f>
        <v>-1413.11</v>
      </c>
      <c r="M839" s="50">
        <f>IF($J839="NSHIP",0,-SUMIF($J$4:$J$8710,$C838,$G$4:$G$8710))</f>
        <v>-428.2151515</v>
      </c>
      <c r="P839" s="68"/>
    </row>
    <row r="840">
      <c r="A840" s="95">
        <v>5.257443723E9</v>
      </c>
      <c r="B840" s="164" t="s">
        <v>1163</v>
      </c>
      <c r="C840" s="95" t="s">
        <v>97</v>
      </c>
      <c r="D840" s="95">
        <v>1.0</v>
      </c>
      <c r="E840" s="101">
        <v>61.09</v>
      </c>
      <c r="F840" s="97">
        <f t="shared" ref="F840:F848" si="126">E840*D840</f>
        <v>61.09</v>
      </c>
      <c r="G840" s="97">
        <f t="shared" ref="G840:G848" si="127">F840/3.3</f>
        <v>18.51212121</v>
      </c>
      <c r="H840" s="95" t="s">
        <v>1164</v>
      </c>
      <c r="J840" s="120" t="s">
        <v>1165</v>
      </c>
      <c r="K840" s="99"/>
      <c r="L840" s="50"/>
      <c r="M840" s="50"/>
      <c r="N840" s="205"/>
      <c r="P840" s="68"/>
    </row>
    <row r="841">
      <c r="A841" s="179">
        <v>1.7118670582E10</v>
      </c>
      <c r="B841" s="131" t="s">
        <v>1166</v>
      </c>
      <c r="C841" s="95" t="s">
        <v>97</v>
      </c>
      <c r="D841" s="95">
        <v>1.0</v>
      </c>
      <c r="E841" s="101">
        <v>168.95</v>
      </c>
      <c r="F841" s="97">
        <f t="shared" si="126"/>
        <v>168.95</v>
      </c>
      <c r="G841" s="97">
        <f t="shared" si="127"/>
        <v>51.1969697</v>
      </c>
      <c r="H841" s="95" t="s">
        <v>1167</v>
      </c>
      <c r="I841" s="37" t="s">
        <v>1168</v>
      </c>
      <c r="J841" s="120" t="s">
        <v>1165</v>
      </c>
      <c r="K841" s="99"/>
      <c r="L841" s="50"/>
      <c r="M841" s="50"/>
      <c r="N841" s="205"/>
      <c r="P841" s="68"/>
    </row>
    <row r="842">
      <c r="A842" s="95">
        <v>5.2574723397E10</v>
      </c>
      <c r="B842" s="131" t="s">
        <v>1169</v>
      </c>
      <c r="C842" s="95" t="s">
        <v>97</v>
      </c>
      <c r="D842" s="95">
        <v>1.0</v>
      </c>
      <c r="E842" s="101">
        <v>101.19</v>
      </c>
      <c r="F842" s="97">
        <f t="shared" si="126"/>
        <v>101.19</v>
      </c>
      <c r="G842" s="97">
        <f t="shared" si="127"/>
        <v>30.66363636</v>
      </c>
      <c r="H842" s="95" t="s">
        <v>1164</v>
      </c>
      <c r="J842" s="120" t="s">
        <v>1165</v>
      </c>
      <c r="K842" s="99"/>
      <c r="L842" s="50"/>
      <c r="M842" s="50"/>
      <c r="N842" s="205"/>
      <c r="P842" s="68"/>
    </row>
    <row r="843">
      <c r="A843" s="95">
        <v>9.4352559637E10</v>
      </c>
      <c r="B843" s="131" t="s">
        <v>1170</v>
      </c>
      <c r="C843" s="95" t="s">
        <v>97</v>
      </c>
      <c r="D843" s="95">
        <v>1.0</v>
      </c>
      <c r="E843" s="101">
        <v>65.0</v>
      </c>
      <c r="F843" s="97">
        <f t="shared" si="126"/>
        <v>65</v>
      </c>
      <c r="G843" s="97">
        <f t="shared" si="127"/>
        <v>19.6969697</v>
      </c>
      <c r="H843" s="95" t="s">
        <v>1171</v>
      </c>
      <c r="J843" s="120" t="s">
        <v>1165</v>
      </c>
      <c r="K843" s="99"/>
      <c r="L843" s="50"/>
      <c r="M843" s="50"/>
      <c r="N843" s="205"/>
      <c r="P843" s="68"/>
    </row>
    <row r="844">
      <c r="A844" s="95">
        <v>1.94307350026E11</v>
      </c>
      <c r="B844" s="131" t="s">
        <v>1172</v>
      </c>
      <c r="C844" s="95" t="s">
        <v>97</v>
      </c>
      <c r="D844" s="95">
        <v>1.0</v>
      </c>
      <c r="E844" s="101">
        <v>169.95</v>
      </c>
      <c r="F844" s="97">
        <f t="shared" si="126"/>
        <v>169.95</v>
      </c>
      <c r="G844" s="97">
        <f t="shared" si="127"/>
        <v>51.5</v>
      </c>
      <c r="H844" s="95" t="s">
        <v>612</v>
      </c>
      <c r="J844" s="120" t="s">
        <v>1165</v>
      </c>
      <c r="K844" s="99"/>
      <c r="L844" s="50"/>
      <c r="M844" s="50"/>
      <c r="N844" s="205"/>
      <c r="P844" s="68"/>
    </row>
    <row r="845">
      <c r="A845" s="95">
        <v>7.16142146772E11</v>
      </c>
      <c r="B845" s="131" t="s">
        <v>1173</v>
      </c>
      <c r="C845" s="95" t="s">
        <v>97</v>
      </c>
      <c r="D845" s="95">
        <v>1.0</v>
      </c>
      <c r="E845" s="101">
        <v>79.0</v>
      </c>
      <c r="F845" s="97">
        <f t="shared" si="126"/>
        <v>79</v>
      </c>
      <c r="G845" s="97">
        <f t="shared" si="127"/>
        <v>23.93939394</v>
      </c>
      <c r="H845" s="95" t="s">
        <v>960</v>
      </c>
      <c r="J845" s="120" t="s">
        <v>1165</v>
      </c>
      <c r="K845" s="99"/>
      <c r="L845" s="50"/>
      <c r="M845" s="50"/>
      <c r="N845" s="205"/>
      <c r="P845" s="68"/>
    </row>
    <row r="846">
      <c r="A846" s="95">
        <v>7.32996668086E11</v>
      </c>
      <c r="B846" s="131" t="s">
        <v>1174</v>
      </c>
      <c r="C846" s="95" t="s">
        <v>97</v>
      </c>
      <c r="D846" s="95">
        <v>1.0</v>
      </c>
      <c r="E846" s="101">
        <v>70.97</v>
      </c>
      <c r="F846" s="97">
        <f t="shared" si="126"/>
        <v>70.97</v>
      </c>
      <c r="G846" s="97">
        <f t="shared" si="127"/>
        <v>21.50606061</v>
      </c>
      <c r="H846" s="95" t="s">
        <v>1175</v>
      </c>
      <c r="J846" s="120" t="s">
        <v>1165</v>
      </c>
      <c r="K846" s="99"/>
      <c r="L846" s="50"/>
      <c r="M846" s="50"/>
      <c r="N846" s="205"/>
      <c r="P846" s="68"/>
    </row>
    <row r="847">
      <c r="A847" s="95">
        <v>8.24005735824E11</v>
      </c>
      <c r="B847" s="131" t="s">
        <v>1176</v>
      </c>
      <c r="C847" s="95" t="s">
        <v>97</v>
      </c>
      <c r="D847" s="95">
        <v>1.0</v>
      </c>
      <c r="E847" s="101">
        <v>390.0</v>
      </c>
      <c r="F847" s="97">
        <f t="shared" si="126"/>
        <v>390</v>
      </c>
      <c r="G847" s="97">
        <f t="shared" si="127"/>
        <v>118.1818182</v>
      </c>
      <c r="H847" s="95" t="s">
        <v>1177</v>
      </c>
      <c r="J847" s="120" t="s">
        <v>1165</v>
      </c>
      <c r="K847" s="99"/>
      <c r="L847" s="50"/>
      <c r="M847" s="50"/>
      <c r="N847" s="205"/>
      <c r="P847" s="68"/>
    </row>
    <row r="848">
      <c r="A848" s="95">
        <v>8.41966152606E11</v>
      </c>
      <c r="B848" s="131" t="s">
        <v>1178</v>
      </c>
      <c r="C848" s="95" t="s">
        <v>97</v>
      </c>
      <c r="D848" s="95">
        <v>1.0</v>
      </c>
      <c r="E848" s="101">
        <v>50.0</v>
      </c>
      <c r="F848" s="97">
        <f t="shared" si="126"/>
        <v>50</v>
      </c>
      <c r="G848" s="97">
        <f t="shared" si="127"/>
        <v>15.15151515</v>
      </c>
      <c r="H848" s="95" t="s">
        <v>1179</v>
      </c>
      <c r="J848" s="120" t="s">
        <v>1165</v>
      </c>
      <c r="K848" s="99"/>
      <c r="L848" s="50"/>
      <c r="M848" s="50"/>
      <c r="N848" s="205"/>
      <c r="P848" s="68"/>
    </row>
    <row r="849">
      <c r="A849" s="102" t="s">
        <v>786</v>
      </c>
      <c r="B849" s="103" t="s">
        <v>1180</v>
      </c>
      <c r="C849" s="104"/>
      <c r="D849" s="104"/>
      <c r="E849" s="105"/>
      <c r="F849" s="106"/>
      <c r="G849" s="106"/>
      <c r="H849" s="107"/>
      <c r="J849" s="108"/>
      <c r="K849" s="99"/>
      <c r="L849" s="50"/>
      <c r="M849" s="50"/>
      <c r="P849" s="68"/>
    </row>
    <row r="850">
      <c r="A850" s="109">
        <v>1.94835219413E11</v>
      </c>
      <c r="B850" s="164" t="s">
        <v>1181</v>
      </c>
      <c r="C850" s="95" t="s">
        <v>97</v>
      </c>
      <c r="D850" s="95">
        <v>1.0</v>
      </c>
      <c r="E850" s="101">
        <v>289.0</v>
      </c>
      <c r="F850" s="97">
        <f t="shared" ref="F850:F851" si="128">E850*D850</f>
        <v>289</v>
      </c>
      <c r="G850" s="97">
        <f t="shared" ref="G850:G851" si="129">F850/3.3</f>
        <v>87.57575758</v>
      </c>
      <c r="H850" s="95" t="s">
        <v>828</v>
      </c>
      <c r="J850" s="120" t="s">
        <v>1165</v>
      </c>
      <c r="K850" s="99"/>
      <c r="L850" s="50"/>
      <c r="M850" s="50"/>
      <c r="N850" s="205"/>
      <c r="P850" s="68"/>
    </row>
    <row r="851">
      <c r="A851" s="109">
        <v>1.94835219444E11</v>
      </c>
      <c r="B851" s="131" t="s">
        <v>1182</v>
      </c>
      <c r="C851" s="95" t="s">
        <v>97</v>
      </c>
      <c r="D851" s="95">
        <v>1.0</v>
      </c>
      <c r="E851" s="101">
        <v>289.0</v>
      </c>
      <c r="F851" s="97">
        <f t="shared" si="128"/>
        <v>289</v>
      </c>
      <c r="G851" s="97">
        <f t="shared" si="129"/>
        <v>87.57575758</v>
      </c>
      <c r="H851" s="95" t="s">
        <v>828</v>
      </c>
      <c r="J851" s="120" t="s">
        <v>1165</v>
      </c>
      <c r="K851" s="99"/>
      <c r="L851" s="50"/>
      <c r="M851" s="50"/>
      <c r="N851" s="205"/>
      <c r="P851" s="68"/>
    </row>
    <row r="852">
      <c r="A852" s="102" t="s">
        <v>819</v>
      </c>
      <c r="B852" s="103" t="s">
        <v>1183</v>
      </c>
      <c r="C852" s="104"/>
      <c r="D852" s="104"/>
      <c r="E852" s="105"/>
      <c r="F852" s="106"/>
      <c r="G852" s="106"/>
      <c r="H852" s="107"/>
      <c r="J852" s="108"/>
      <c r="K852" s="99"/>
      <c r="L852" s="50"/>
      <c r="M852" s="50"/>
      <c r="P852" s="68"/>
    </row>
    <row r="853">
      <c r="A853" s="165">
        <v>1.93286412282E11</v>
      </c>
      <c r="B853" s="151" t="s">
        <v>1184</v>
      </c>
      <c r="C853" s="95" t="s">
        <v>97</v>
      </c>
      <c r="D853" s="95">
        <v>1.0</v>
      </c>
      <c r="E853" s="101">
        <v>120.0</v>
      </c>
      <c r="F853" s="97">
        <f t="shared" ref="F853:F854" si="130">E853*D853</f>
        <v>120</v>
      </c>
      <c r="G853" s="97">
        <f t="shared" ref="G853:G854" si="131">F853/3.3</f>
        <v>36.36363636</v>
      </c>
      <c r="H853" s="95" t="s">
        <v>1185</v>
      </c>
      <c r="I853" s="70" t="s">
        <v>149</v>
      </c>
      <c r="J853" s="120" t="s">
        <v>1165</v>
      </c>
      <c r="K853" s="99"/>
      <c r="L853" s="50"/>
      <c r="M853" s="50"/>
      <c r="N853" s="205"/>
      <c r="P853" s="68"/>
    </row>
    <row r="854">
      <c r="A854" s="165">
        <v>1.94835715144E11</v>
      </c>
      <c r="B854" s="151" t="s">
        <v>1186</v>
      </c>
      <c r="C854" s="95" t="s">
        <v>97</v>
      </c>
      <c r="D854" s="95">
        <v>1.0</v>
      </c>
      <c r="E854" s="101">
        <v>129.0</v>
      </c>
      <c r="F854" s="97">
        <f t="shared" si="130"/>
        <v>129</v>
      </c>
      <c r="G854" s="97">
        <f t="shared" si="131"/>
        <v>39.09090909</v>
      </c>
      <c r="H854" s="95" t="s">
        <v>896</v>
      </c>
      <c r="I854" s="70" t="s">
        <v>543</v>
      </c>
      <c r="J854" s="120" t="s">
        <v>1165</v>
      </c>
      <c r="K854" s="99"/>
      <c r="L854" s="50"/>
      <c r="M854" s="50"/>
      <c r="N854" s="205"/>
      <c r="P854" s="68"/>
    </row>
    <row r="855">
      <c r="A855" s="111" t="s">
        <v>115</v>
      </c>
      <c r="B855" s="111" t="s">
        <v>1187</v>
      </c>
      <c r="C855" s="112" t="str">
        <f>MID($B855,6,7)</f>
        <v>GR18261</v>
      </c>
      <c r="D855" s="111"/>
      <c r="E855" s="111"/>
      <c r="F855" s="111"/>
      <c r="G855" s="111"/>
      <c r="H855" s="113">
        <v>44558.0</v>
      </c>
      <c r="J855" s="108" t="str">
        <f>IF(LEFT(B855,3)="Box","BOX","COUNT")</f>
        <v>BOX</v>
      </c>
      <c r="K855" s="99">
        <f>SUMIF($J$4:$J$8712,$C855,$D$4:$D$8712)</f>
        <v>13</v>
      </c>
      <c r="L855" s="50">
        <f>SUMIF($J$4:$J$8712,$C855,$F$4:$F$8712)</f>
        <v>1983.15</v>
      </c>
      <c r="M855" s="50">
        <f>SUMIF($J$4:$J$8712,$C855,$G$4:$G$8712)</f>
        <v>600.9545455</v>
      </c>
      <c r="N855" s="70" t="str">
        <f>C855</f>
        <v>GR18261</v>
      </c>
      <c r="O855" s="70" t="str">
        <f>J856</f>
        <v>SHIP</v>
      </c>
      <c r="P855" s="68">
        <f>M855</f>
        <v>600.9545455</v>
      </c>
      <c r="Q855" s="168">
        <v>44501.0</v>
      </c>
      <c r="R855" s="37" t="s">
        <v>1121</v>
      </c>
      <c r="S855" s="37" t="s">
        <v>1122</v>
      </c>
    </row>
    <row r="856">
      <c r="A856" s="165" t="s">
        <v>307</v>
      </c>
      <c r="B856" s="111" t="s">
        <v>1188</v>
      </c>
      <c r="C856" s="109"/>
      <c r="D856" s="109"/>
      <c r="E856" s="116"/>
      <c r="F856" s="116"/>
      <c r="G856" s="116"/>
      <c r="H856" s="109"/>
      <c r="J856" s="108" t="str">
        <f>IF(B856="","NSHIP","SHIP")</f>
        <v>SHIP</v>
      </c>
      <c r="K856" s="99">
        <f>IF($J856="NSHIP",0,-SUMIF($J$4:$J$8712,$C855,$D$4:$D$8712))</f>
        <v>-13</v>
      </c>
      <c r="L856" s="50">
        <f>IF($J856="NSHIP",0,-SUMIF($J$4:$J$8710,$C855,$F$4:$F$8710))</f>
        <v>-1983.15</v>
      </c>
      <c r="M856" s="50">
        <f>IF($J856="NSHIP",0,-SUMIF($J$4:$J$8710,$C855,$G$4:$G$8710))</f>
        <v>-600.9545455</v>
      </c>
      <c r="P856" s="68"/>
    </row>
    <row r="857">
      <c r="A857" s="182">
        <v>1.7124067147E10</v>
      </c>
      <c r="B857" s="100" t="s">
        <v>1189</v>
      </c>
      <c r="C857" s="118" t="s">
        <v>97</v>
      </c>
      <c r="D857" s="100">
        <v>1.0</v>
      </c>
      <c r="E857" s="119">
        <v>130.0</v>
      </c>
      <c r="F857" s="118">
        <f t="shared" ref="F857:F871" si="132">E857*D857</f>
        <v>130</v>
      </c>
      <c r="G857" s="118">
        <f t="shared" ref="G857:G871" si="133">F857/3.3</f>
        <v>39.39393939</v>
      </c>
      <c r="H857" s="100" t="s">
        <v>1190</v>
      </c>
      <c r="I857" s="197"/>
      <c r="J857" s="120" t="s">
        <v>1191</v>
      </c>
      <c r="K857" s="99"/>
      <c r="L857" s="50"/>
      <c r="M857" s="50"/>
      <c r="N857" s="205"/>
      <c r="P857" s="68"/>
    </row>
    <row r="858">
      <c r="A858" s="182">
        <v>5.2574449112E10</v>
      </c>
      <c r="B858" s="100" t="s">
        <v>1192</v>
      </c>
      <c r="C858" s="118" t="s">
        <v>97</v>
      </c>
      <c r="D858" s="100">
        <v>1.0</v>
      </c>
      <c r="E858" s="119">
        <v>99.99</v>
      </c>
      <c r="F858" s="118">
        <f t="shared" si="132"/>
        <v>99.99</v>
      </c>
      <c r="G858" s="118">
        <f t="shared" si="133"/>
        <v>30.3</v>
      </c>
      <c r="H858" s="100" t="s">
        <v>1193</v>
      </c>
      <c r="I858" s="1"/>
      <c r="J858" s="120" t="s">
        <v>1191</v>
      </c>
      <c r="K858" s="99"/>
      <c r="L858" s="50"/>
      <c r="M858" s="50"/>
      <c r="N858" s="205"/>
      <c r="P858" s="68"/>
    </row>
    <row r="859">
      <c r="A859" s="182">
        <v>5.2574764048E10</v>
      </c>
      <c r="B859" s="100" t="s">
        <v>1194</v>
      </c>
      <c r="C859" s="118" t="s">
        <v>97</v>
      </c>
      <c r="D859" s="100">
        <v>1.0</v>
      </c>
      <c r="E859" s="119">
        <v>64.99</v>
      </c>
      <c r="F859" s="118">
        <f t="shared" si="132"/>
        <v>64.99</v>
      </c>
      <c r="G859" s="118">
        <f t="shared" si="133"/>
        <v>19.69393939</v>
      </c>
      <c r="H859" s="100" t="s">
        <v>1195</v>
      </c>
      <c r="I859" s="1"/>
      <c r="J859" s="120" t="s">
        <v>1191</v>
      </c>
      <c r="K859" s="99"/>
      <c r="L859" s="50"/>
      <c r="M859" s="50"/>
      <c r="N859" s="205"/>
      <c r="P859" s="68"/>
    </row>
    <row r="860">
      <c r="A860" s="182">
        <v>1.91232109712E11</v>
      </c>
      <c r="B860" s="100" t="s">
        <v>1196</v>
      </c>
      <c r="C860" s="118" t="s">
        <v>97</v>
      </c>
      <c r="D860" s="100">
        <v>1.0</v>
      </c>
      <c r="E860" s="119">
        <v>95.0</v>
      </c>
      <c r="F860" s="118">
        <f t="shared" si="132"/>
        <v>95</v>
      </c>
      <c r="G860" s="118">
        <f t="shared" si="133"/>
        <v>28.78787879</v>
      </c>
      <c r="H860" s="100" t="s">
        <v>1197</v>
      </c>
      <c r="I860" s="1"/>
      <c r="J860" s="120" t="s">
        <v>1191</v>
      </c>
      <c r="K860" s="99"/>
      <c r="L860" s="50"/>
      <c r="M860" s="50"/>
      <c r="N860" s="205"/>
      <c r="P860" s="68"/>
    </row>
    <row r="861">
      <c r="A861" s="182">
        <v>1.91609309806E11</v>
      </c>
      <c r="B861" s="100" t="s">
        <v>1102</v>
      </c>
      <c r="C861" s="118" t="s">
        <v>97</v>
      </c>
      <c r="D861" s="100">
        <v>1.0</v>
      </c>
      <c r="E861" s="119">
        <v>79.0</v>
      </c>
      <c r="F861" s="118">
        <f t="shared" si="132"/>
        <v>79</v>
      </c>
      <c r="G861" s="118">
        <f t="shared" si="133"/>
        <v>23.93939394</v>
      </c>
      <c r="H861" s="100" t="s">
        <v>986</v>
      </c>
      <c r="I861" s="1"/>
      <c r="J861" s="120" t="s">
        <v>1191</v>
      </c>
      <c r="K861" s="99"/>
      <c r="L861" s="50"/>
      <c r="M861" s="50"/>
      <c r="N861" s="205"/>
      <c r="P861" s="68"/>
    </row>
    <row r="862">
      <c r="A862" s="182">
        <v>1.91609486088E11</v>
      </c>
      <c r="B862" s="100" t="s">
        <v>1198</v>
      </c>
      <c r="C862" s="118" t="s">
        <v>97</v>
      </c>
      <c r="D862" s="100">
        <v>1.0</v>
      </c>
      <c r="E862" s="119">
        <v>99.0</v>
      </c>
      <c r="F862" s="118">
        <f t="shared" si="132"/>
        <v>99</v>
      </c>
      <c r="G862" s="118">
        <f t="shared" si="133"/>
        <v>30</v>
      </c>
      <c r="H862" s="100" t="s">
        <v>879</v>
      </c>
      <c r="I862" s="197"/>
      <c r="J862" s="120" t="s">
        <v>1191</v>
      </c>
      <c r="K862" s="99"/>
      <c r="L862" s="50"/>
      <c r="M862" s="50"/>
      <c r="N862" s="205"/>
      <c r="P862" s="68"/>
    </row>
    <row r="863">
      <c r="A863" s="182">
        <v>1.94835682101E11</v>
      </c>
      <c r="B863" s="100" t="s">
        <v>1149</v>
      </c>
      <c r="C863" s="118" t="s">
        <v>97</v>
      </c>
      <c r="D863" s="100">
        <v>1.0</v>
      </c>
      <c r="E863" s="119">
        <v>77.63</v>
      </c>
      <c r="F863" s="118">
        <f t="shared" si="132"/>
        <v>77.63</v>
      </c>
      <c r="G863" s="118">
        <f t="shared" si="133"/>
        <v>23.52424242</v>
      </c>
      <c r="H863" s="100" t="s">
        <v>828</v>
      </c>
      <c r="I863" s="1"/>
      <c r="J863" s="120" t="s">
        <v>1191</v>
      </c>
      <c r="K863" s="99"/>
      <c r="L863" s="50"/>
      <c r="M863" s="50"/>
      <c r="N863" s="205"/>
      <c r="P863" s="68"/>
    </row>
    <row r="864">
      <c r="A864" s="182">
        <v>7.32999421862E11</v>
      </c>
      <c r="B864" s="100" t="s">
        <v>1199</v>
      </c>
      <c r="C864" s="118" t="s">
        <v>97</v>
      </c>
      <c r="D864" s="100">
        <v>1.0</v>
      </c>
      <c r="E864" s="119">
        <v>59.5</v>
      </c>
      <c r="F864" s="118">
        <f t="shared" si="132"/>
        <v>59.5</v>
      </c>
      <c r="G864" s="118">
        <f t="shared" si="133"/>
        <v>18.03030303</v>
      </c>
      <c r="H864" s="100" t="s">
        <v>885</v>
      </c>
      <c r="I864" s="1"/>
      <c r="J864" s="120" t="s">
        <v>1191</v>
      </c>
      <c r="K864" s="99"/>
      <c r="L864" s="50"/>
      <c r="M864" s="50"/>
      <c r="N864" s="205"/>
      <c r="P864" s="68"/>
    </row>
    <row r="865">
      <c r="A865" s="182">
        <v>8.00554870612E11</v>
      </c>
      <c r="B865" s="100" t="s">
        <v>1200</v>
      </c>
      <c r="C865" s="118" t="s">
        <v>97</v>
      </c>
      <c r="D865" s="100">
        <v>1.0</v>
      </c>
      <c r="E865" s="119">
        <v>89.0</v>
      </c>
      <c r="F865" s="118">
        <f t="shared" si="132"/>
        <v>89</v>
      </c>
      <c r="G865" s="118">
        <f t="shared" si="133"/>
        <v>26.96969697</v>
      </c>
      <c r="H865" s="100" t="s">
        <v>924</v>
      </c>
      <c r="I865" s="1"/>
      <c r="J865" s="120" t="s">
        <v>1191</v>
      </c>
      <c r="K865" s="99"/>
      <c r="L865" s="50"/>
      <c r="M865" s="50"/>
      <c r="N865" s="205"/>
      <c r="P865" s="68"/>
    </row>
    <row r="866">
      <c r="A866" s="182">
        <v>8.25443006279E11</v>
      </c>
      <c r="B866" s="100" t="s">
        <v>1201</v>
      </c>
      <c r="C866" s="118" t="s">
        <v>97</v>
      </c>
      <c r="D866" s="100">
        <v>1.0</v>
      </c>
      <c r="E866" s="119">
        <v>59.0</v>
      </c>
      <c r="F866" s="118">
        <f t="shared" si="132"/>
        <v>59</v>
      </c>
      <c r="G866" s="118">
        <f t="shared" si="133"/>
        <v>17.87878788</v>
      </c>
      <c r="H866" s="100" t="s">
        <v>883</v>
      </c>
      <c r="I866" s="197"/>
      <c r="J866" s="120" t="s">
        <v>1191</v>
      </c>
      <c r="K866" s="99"/>
      <c r="L866" s="50"/>
      <c r="M866" s="50"/>
      <c r="N866" s="205"/>
      <c r="P866" s="68"/>
    </row>
    <row r="867">
      <c r="A867" s="182">
        <v>8.41966114048E11</v>
      </c>
      <c r="B867" s="100" t="s">
        <v>1202</v>
      </c>
      <c r="C867" s="118" t="s">
        <v>97</v>
      </c>
      <c r="D867" s="100">
        <v>1.0</v>
      </c>
      <c r="E867" s="119">
        <v>50.0</v>
      </c>
      <c r="F867" s="118">
        <f t="shared" si="132"/>
        <v>50</v>
      </c>
      <c r="G867" s="118">
        <f t="shared" si="133"/>
        <v>15.15151515</v>
      </c>
      <c r="H867" s="100" t="s">
        <v>1179</v>
      </c>
      <c r="I867" s="1"/>
      <c r="J867" s="120" t="s">
        <v>1191</v>
      </c>
      <c r="K867" s="99"/>
      <c r="L867" s="50"/>
      <c r="M867" s="50"/>
      <c r="N867" s="205"/>
      <c r="P867" s="68"/>
    </row>
    <row r="868">
      <c r="A868" s="182">
        <v>8.41966133445E11</v>
      </c>
      <c r="B868" s="100" t="s">
        <v>1203</v>
      </c>
      <c r="C868" s="118" t="s">
        <v>97</v>
      </c>
      <c r="D868" s="100">
        <v>1.0</v>
      </c>
      <c r="E868" s="119">
        <v>50.0</v>
      </c>
      <c r="F868" s="118">
        <f t="shared" si="132"/>
        <v>50</v>
      </c>
      <c r="G868" s="118">
        <f t="shared" si="133"/>
        <v>15.15151515</v>
      </c>
      <c r="H868" s="100" t="s">
        <v>1179</v>
      </c>
      <c r="I868" s="1"/>
      <c r="J868" s="120" t="s">
        <v>1191</v>
      </c>
      <c r="K868" s="99"/>
      <c r="L868" s="50"/>
      <c r="M868" s="50"/>
      <c r="N868" s="205"/>
      <c r="P868" s="68"/>
    </row>
    <row r="869">
      <c r="A869" s="182">
        <v>8.41966199779E11</v>
      </c>
      <c r="B869" s="100" t="s">
        <v>1204</v>
      </c>
      <c r="C869" s="118" t="s">
        <v>97</v>
      </c>
      <c r="D869" s="100">
        <v>1.0</v>
      </c>
      <c r="E869" s="119">
        <v>50.0</v>
      </c>
      <c r="F869" s="118">
        <f t="shared" si="132"/>
        <v>50</v>
      </c>
      <c r="G869" s="118">
        <f t="shared" si="133"/>
        <v>15.15151515</v>
      </c>
      <c r="H869" s="100" t="s">
        <v>1179</v>
      </c>
      <c r="I869" s="1"/>
      <c r="J869" s="120" t="s">
        <v>1191</v>
      </c>
      <c r="K869" s="99"/>
      <c r="L869" s="50"/>
      <c r="M869" s="50"/>
      <c r="N869" s="205"/>
      <c r="P869" s="68"/>
    </row>
    <row r="870">
      <c r="A870" s="182">
        <v>8.85383154188E11</v>
      </c>
      <c r="B870" s="100" t="s">
        <v>1205</v>
      </c>
      <c r="C870" s="118" t="s">
        <v>97</v>
      </c>
      <c r="D870" s="100">
        <v>1.0</v>
      </c>
      <c r="E870" s="119">
        <v>71.1</v>
      </c>
      <c r="F870" s="118">
        <f t="shared" si="132"/>
        <v>71.1</v>
      </c>
      <c r="G870" s="118">
        <f t="shared" si="133"/>
        <v>21.54545455</v>
      </c>
      <c r="H870" s="100" t="s">
        <v>1206</v>
      </c>
      <c r="I870" s="1"/>
      <c r="J870" s="120" t="s">
        <v>1191</v>
      </c>
      <c r="K870" s="99"/>
      <c r="L870" s="50"/>
      <c r="M870" s="50"/>
      <c r="N870" s="205"/>
      <c r="P870" s="68"/>
    </row>
    <row r="871">
      <c r="A871" s="182">
        <v>8.85999085418E11</v>
      </c>
      <c r="B871" s="100" t="s">
        <v>1207</v>
      </c>
      <c r="C871" s="118" t="s">
        <v>97</v>
      </c>
      <c r="D871" s="100">
        <v>1.0</v>
      </c>
      <c r="E871" s="119">
        <v>44.98</v>
      </c>
      <c r="F871" s="118">
        <f t="shared" si="132"/>
        <v>44.98</v>
      </c>
      <c r="G871" s="118">
        <f t="shared" si="133"/>
        <v>13.63030303</v>
      </c>
      <c r="H871" s="100" t="s">
        <v>1208</v>
      </c>
      <c r="I871" s="197"/>
      <c r="J871" s="120" t="s">
        <v>1191</v>
      </c>
      <c r="K871" s="99"/>
      <c r="L871" s="50"/>
      <c r="M871" s="50"/>
      <c r="N871" s="205"/>
      <c r="P871" s="68"/>
    </row>
    <row r="872">
      <c r="A872" s="121" t="s">
        <v>1209</v>
      </c>
      <c r="B872" s="122" t="s">
        <v>1210</v>
      </c>
      <c r="C872" s="118"/>
      <c r="D872" s="100"/>
      <c r="E872" s="119"/>
      <c r="F872" s="118"/>
      <c r="G872" s="118"/>
      <c r="H872" s="100"/>
      <c r="I872" s="197"/>
      <c r="J872" s="120"/>
      <c r="K872" s="99"/>
      <c r="L872" s="50"/>
      <c r="M872" s="50"/>
      <c r="N872" s="205"/>
      <c r="P872" s="68"/>
    </row>
    <row r="873">
      <c r="A873" s="193">
        <v>1.92625144532E11</v>
      </c>
      <c r="B873" s="100" t="s">
        <v>1211</v>
      </c>
      <c r="C873" s="118" t="s">
        <v>97</v>
      </c>
      <c r="D873" s="100">
        <v>1.0</v>
      </c>
      <c r="E873" s="119">
        <v>99.0</v>
      </c>
      <c r="F873" s="118">
        <f t="shared" ref="F873:F875" si="134">E873*D873</f>
        <v>99</v>
      </c>
      <c r="G873" s="118">
        <f t="shared" ref="G873:G875" si="135">F873/3.3</f>
        <v>30</v>
      </c>
      <c r="H873" s="100" t="s">
        <v>1083</v>
      </c>
      <c r="I873" s="202" t="s">
        <v>149</v>
      </c>
      <c r="J873" s="120" t="s">
        <v>1191</v>
      </c>
      <c r="K873" s="99"/>
      <c r="L873" s="50"/>
      <c r="M873" s="50"/>
      <c r="N873" s="205"/>
      <c r="P873" s="68"/>
    </row>
    <row r="874">
      <c r="A874" s="193">
        <v>8.25840965278E11</v>
      </c>
      <c r="B874" s="100" t="s">
        <v>1212</v>
      </c>
      <c r="C874" s="118" t="s">
        <v>97</v>
      </c>
      <c r="D874" s="100">
        <v>1.0</v>
      </c>
      <c r="E874" s="119">
        <v>180.0</v>
      </c>
      <c r="F874" s="118">
        <f t="shared" si="134"/>
        <v>180</v>
      </c>
      <c r="G874" s="118">
        <f t="shared" si="135"/>
        <v>54.54545455</v>
      </c>
      <c r="H874" s="100" t="s">
        <v>999</v>
      </c>
      <c r="I874" s="202" t="s">
        <v>149</v>
      </c>
      <c r="J874" s="120" t="s">
        <v>1191</v>
      </c>
      <c r="K874" s="99"/>
      <c r="L874" s="50"/>
      <c r="M874" s="50"/>
      <c r="N874" s="205"/>
      <c r="P874" s="68"/>
    </row>
    <row r="875">
      <c r="A875" s="193">
        <v>8.89308686181E11</v>
      </c>
      <c r="B875" s="100" t="s">
        <v>1213</v>
      </c>
      <c r="C875" s="118" t="s">
        <v>97</v>
      </c>
      <c r="D875" s="100">
        <v>1.0</v>
      </c>
      <c r="E875" s="119">
        <v>128.49</v>
      </c>
      <c r="F875" s="118">
        <f t="shared" si="134"/>
        <v>128.49</v>
      </c>
      <c r="G875" s="118">
        <f t="shared" si="135"/>
        <v>38.93636364</v>
      </c>
      <c r="H875" s="100" t="s">
        <v>970</v>
      </c>
      <c r="I875" s="202" t="s">
        <v>149</v>
      </c>
      <c r="J875" s="120" t="s">
        <v>1191</v>
      </c>
      <c r="K875" s="99"/>
      <c r="L875" s="50"/>
      <c r="M875" s="50"/>
      <c r="N875" s="205"/>
      <c r="P875" s="68"/>
    </row>
    <row r="876">
      <c r="A876" s="123" t="s">
        <v>132</v>
      </c>
      <c r="B876" s="112" t="s">
        <v>1214</v>
      </c>
      <c r="C876" s="124" t="str">
        <f>MID($B876,6,7)</f>
        <v>GR18262</v>
      </c>
      <c r="D876" s="125"/>
      <c r="E876" s="126"/>
      <c r="F876" s="126"/>
      <c r="G876" s="126"/>
      <c r="H876" s="127">
        <v>44558.0</v>
      </c>
      <c r="I876" s="1"/>
      <c r="J876" s="108" t="str">
        <f>IF(LEFT(B876,3)="Box","BOX","COUNT")</f>
        <v>BOX</v>
      </c>
      <c r="K876" s="99">
        <f>SUMIF($J$4:$J$8712,$C876,$D$4:$D$8712)</f>
        <v>18</v>
      </c>
      <c r="L876" s="50">
        <f>SUMIF($J$4:$J$8712,$C876,$F$4:$F$8712)</f>
        <v>1526.68</v>
      </c>
      <c r="M876" s="50">
        <f>SUMIF($J$4:$J$8712,$C876,$G$4:$G$8712)</f>
        <v>462.630303</v>
      </c>
      <c r="N876" s="36" t="str">
        <f>C876</f>
        <v>GR18262</v>
      </c>
      <c r="O876" s="70" t="str">
        <f>J877</f>
        <v>SHIP</v>
      </c>
      <c r="P876" s="68">
        <f>M876</f>
        <v>462.630303</v>
      </c>
      <c r="Q876" s="168">
        <v>44501.0</v>
      </c>
      <c r="R876" s="37" t="s">
        <v>1121</v>
      </c>
      <c r="S876" s="37" t="s">
        <v>1122</v>
      </c>
    </row>
    <row r="877">
      <c r="A877" s="207">
        <v>44501.0</v>
      </c>
      <c r="B877" s="111" t="s">
        <v>1215</v>
      </c>
      <c r="C877" s="129"/>
      <c r="D877" s="125"/>
      <c r="E877" s="126"/>
      <c r="F877" s="126"/>
      <c r="G877" s="126"/>
      <c r="H877" s="115" t="s">
        <v>119</v>
      </c>
      <c r="I877" s="1"/>
      <c r="J877" s="108" t="str">
        <f>IF(B877="","NSHIP","SHIP")</f>
        <v>SHIP</v>
      </c>
      <c r="K877" s="99">
        <f>IF($J877="NSHIP",0,-SUMIF($J$4:$J$8712,$C876,$D$4:$D$8712))</f>
        <v>-18</v>
      </c>
      <c r="L877" s="50">
        <f>IF($J877="NSHIP",0,-SUMIF($J$4:$J$8710,$C876,$F$4:$F$8710))</f>
        <v>-1526.68</v>
      </c>
      <c r="M877" s="50">
        <f>IF($J877="NSHIP",0,-SUMIF($J$4:$J$8710,$C876,$G$4:$G$8710))</f>
        <v>-462.630303</v>
      </c>
      <c r="P877" s="68"/>
    </row>
    <row r="878">
      <c r="A878" s="96">
        <v>1.9483521942E11</v>
      </c>
      <c r="B878" s="131" t="s">
        <v>1216</v>
      </c>
      <c r="C878" s="100" t="s">
        <v>97</v>
      </c>
      <c r="D878" s="100">
        <v>1.0</v>
      </c>
      <c r="E878" s="119">
        <v>289.0</v>
      </c>
      <c r="F878" s="118">
        <f t="shared" ref="F878:F883" si="136">E878*D878</f>
        <v>289</v>
      </c>
      <c r="G878" s="118">
        <f t="shared" ref="G878:G883" si="137">F878/3.3</f>
        <v>87.57575758</v>
      </c>
      <c r="H878" s="100" t="s">
        <v>828</v>
      </c>
      <c r="I878" s="1"/>
      <c r="J878" s="104" t="s">
        <v>1217</v>
      </c>
      <c r="K878" s="133"/>
      <c r="L878" s="105"/>
      <c r="M878" s="105"/>
      <c r="N878" s="203"/>
      <c r="O878" s="1"/>
      <c r="P878" s="68"/>
    </row>
    <row r="879">
      <c r="A879" s="100">
        <v>1.94835219468E11</v>
      </c>
      <c r="B879" s="131" t="s">
        <v>1218</v>
      </c>
      <c r="C879" s="100" t="s">
        <v>97</v>
      </c>
      <c r="D879" s="100">
        <v>1.0</v>
      </c>
      <c r="E879" s="119">
        <v>289.0</v>
      </c>
      <c r="F879" s="118">
        <f t="shared" si="136"/>
        <v>289</v>
      </c>
      <c r="G879" s="118">
        <f t="shared" si="137"/>
        <v>87.57575758</v>
      </c>
      <c r="H879" s="100" t="s">
        <v>828</v>
      </c>
      <c r="I879" s="1"/>
      <c r="J879" s="104" t="s">
        <v>1217</v>
      </c>
      <c r="K879" s="133"/>
      <c r="L879" s="105"/>
      <c r="M879" s="105"/>
      <c r="N879" s="203"/>
      <c r="O879" s="1"/>
      <c r="P879" s="68"/>
    </row>
    <row r="880">
      <c r="A880" s="100">
        <v>1.94835681722E11</v>
      </c>
      <c r="B880" s="186" t="s">
        <v>1219</v>
      </c>
      <c r="C880" s="100" t="s">
        <v>97</v>
      </c>
      <c r="D880" s="100">
        <v>2.0</v>
      </c>
      <c r="E880" s="119">
        <v>98.63</v>
      </c>
      <c r="F880" s="118">
        <f t="shared" si="136"/>
        <v>197.26</v>
      </c>
      <c r="G880" s="118">
        <f t="shared" si="137"/>
        <v>59.77575758</v>
      </c>
      <c r="H880" s="100" t="s">
        <v>828</v>
      </c>
      <c r="I880" s="1"/>
      <c r="J880" s="104" t="s">
        <v>1217</v>
      </c>
      <c r="K880" s="133"/>
      <c r="L880" s="105"/>
      <c r="M880" s="105"/>
      <c r="N880" s="203"/>
      <c r="O880" s="1"/>
      <c r="P880" s="68"/>
    </row>
    <row r="881">
      <c r="A881" s="100">
        <v>1.9483568176E11</v>
      </c>
      <c r="B881" s="131" t="s">
        <v>1220</v>
      </c>
      <c r="C881" s="100" t="s">
        <v>97</v>
      </c>
      <c r="D881" s="100">
        <v>1.0</v>
      </c>
      <c r="E881" s="119">
        <v>197.4</v>
      </c>
      <c r="F881" s="118">
        <f t="shared" si="136"/>
        <v>197.4</v>
      </c>
      <c r="G881" s="118">
        <f t="shared" si="137"/>
        <v>59.81818182</v>
      </c>
      <c r="H881" s="100" t="s">
        <v>828</v>
      </c>
      <c r="I881" s="1"/>
      <c r="J881" s="104" t="s">
        <v>1217</v>
      </c>
      <c r="K881" s="133"/>
      <c r="L881" s="105"/>
      <c r="M881" s="105"/>
      <c r="N881" s="203"/>
      <c r="O881" s="1"/>
      <c r="P881" s="68"/>
    </row>
    <row r="882">
      <c r="A882" s="100">
        <v>1.94835219413E11</v>
      </c>
      <c r="B882" s="131" t="s">
        <v>1181</v>
      </c>
      <c r="C882" s="100" t="s">
        <v>97</v>
      </c>
      <c r="D882" s="100">
        <v>1.0</v>
      </c>
      <c r="E882" s="119">
        <v>289.0</v>
      </c>
      <c r="F882" s="118">
        <f t="shared" si="136"/>
        <v>289</v>
      </c>
      <c r="G882" s="118">
        <f t="shared" si="137"/>
        <v>87.57575758</v>
      </c>
      <c r="H882" s="100" t="s">
        <v>828</v>
      </c>
      <c r="I882" s="1"/>
      <c r="J882" s="104" t="s">
        <v>1217</v>
      </c>
      <c r="K882" s="133"/>
      <c r="L882" s="105"/>
      <c r="M882" s="105"/>
      <c r="N882" s="203"/>
      <c r="O882" s="1"/>
      <c r="P882" s="68"/>
    </row>
    <row r="883">
      <c r="A883" s="100">
        <v>1.94835219451E11</v>
      </c>
      <c r="B883" s="131" t="s">
        <v>1221</v>
      </c>
      <c r="C883" s="100" t="s">
        <v>97</v>
      </c>
      <c r="D883" s="100">
        <v>1.0</v>
      </c>
      <c r="E883" s="119">
        <v>289.0</v>
      </c>
      <c r="F883" s="118">
        <f t="shared" si="136"/>
        <v>289</v>
      </c>
      <c r="G883" s="118">
        <f t="shared" si="137"/>
        <v>87.57575758</v>
      </c>
      <c r="H883" s="100" t="s">
        <v>828</v>
      </c>
      <c r="I883" s="1"/>
      <c r="J883" s="104" t="s">
        <v>1217</v>
      </c>
      <c r="K883" s="133"/>
      <c r="L883" s="105"/>
      <c r="M883" s="105"/>
      <c r="N883" s="203"/>
      <c r="O883" s="1"/>
      <c r="P883" s="68"/>
    </row>
    <row r="884">
      <c r="A884" s="135" t="s">
        <v>1222</v>
      </c>
      <c r="B884" s="103" t="s">
        <v>1223</v>
      </c>
      <c r="C884" s="104"/>
      <c r="D884" s="104"/>
      <c r="E884" s="106"/>
      <c r="F884" s="105"/>
      <c r="G884" s="105"/>
      <c r="H884" s="104"/>
      <c r="I884" s="1"/>
      <c r="J884" s="104"/>
      <c r="K884" s="133"/>
      <c r="L884" s="105"/>
      <c r="M884" s="105"/>
      <c r="N884" s="203"/>
      <c r="O884" s="1"/>
      <c r="P884" s="68"/>
    </row>
    <row r="885">
      <c r="A885" s="134">
        <v>1.94835149994E11</v>
      </c>
      <c r="B885" s="186" t="s">
        <v>1224</v>
      </c>
      <c r="C885" s="100" t="s">
        <v>97</v>
      </c>
      <c r="D885" s="100">
        <v>1.0</v>
      </c>
      <c r="E885" s="119">
        <v>149.0</v>
      </c>
      <c r="F885" s="118">
        <f t="shared" ref="F885:F887" si="138">E885*D885</f>
        <v>149</v>
      </c>
      <c r="G885" s="118">
        <f t="shared" ref="G885:G887" si="139">F885/3.3</f>
        <v>45.15151515</v>
      </c>
      <c r="H885" s="132" t="s">
        <v>896</v>
      </c>
      <c r="I885" s="1"/>
      <c r="J885" s="104" t="s">
        <v>1217</v>
      </c>
      <c r="K885" s="133"/>
      <c r="L885" s="105"/>
      <c r="M885" s="105"/>
      <c r="N885" s="203"/>
      <c r="O885" s="1"/>
      <c r="P885" s="68"/>
    </row>
    <row r="886">
      <c r="A886" s="134">
        <v>1.94835219413E11</v>
      </c>
      <c r="B886" s="131" t="s">
        <v>1181</v>
      </c>
      <c r="C886" s="100" t="s">
        <v>97</v>
      </c>
      <c r="D886" s="100">
        <v>1.0</v>
      </c>
      <c r="E886" s="119">
        <v>289.0</v>
      </c>
      <c r="F886" s="118">
        <f t="shared" si="138"/>
        <v>289</v>
      </c>
      <c r="G886" s="118">
        <f t="shared" si="139"/>
        <v>87.57575758</v>
      </c>
      <c r="H886" s="100" t="s">
        <v>828</v>
      </c>
      <c r="I886" s="1"/>
      <c r="J886" s="104" t="s">
        <v>1217</v>
      </c>
      <c r="K886" s="133"/>
      <c r="L886" s="105"/>
      <c r="M886" s="105"/>
      <c r="N886" s="203"/>
      <c r="O886" s="1"/>
      <c r="P886" s="68"/>
    </row>
    <row r="887">
      <c r="A887" s="134">
        <v>1.94835219451E11</v>
      </c>
      <c r="B887" s="131" t="s">
        <v>1221</v>
      </c>
      <c r="C887" s="100" t="s">
        <v>97</v>
      </c>
      <c r="D887" s="100">
        <v>1.0</v>
      </c>
      <c r="E887" s="119">
        <v>289.0</v>
      </c>
      <c r="F887" s="118">
        <f t="shared" si="138"/>
        <v>289</v>
      </c>
      <c r="G887" s="118">
        <f t="shared" si="139"/>
        <v>87.57575758</v>
      </c>
      <c r="H887" s="100" t="s">
        <v>828</v>
      </c>
      <c r="I887" s="1"/>
      <c r="J887" s="104" t="s">
        <v>1217</v>
      </c>
      <c r="K887" s="133"/>
      <c r="L887" s="105"/>
      <c r="M887" s="105"/>
      <c r="N887" s="203"/>
      <c r="O887" s="1"/>
      <c r="P887" s="68"/>
    </row>
    <row r="888">
      <c r="A888" s="135" t="s">
        <v>1225</v>
      </c>
      <c r="B888" s="103" t="s">
        <v>1226</v>
      </c>
      <c r="C888" s="104"/>
      <c r="D888" s="104"/>
      <c r="E888" s="106"/>
      <c r="F888" s="105"/>
      <c r="G888" s="105"/>
      <c r="H888" s="104"/>
      <c r="I888" s="1"/>
      <c r="J888" s="104"/>
      <c r="K888" s="133"/>
      <c r="L888" s="105"/>
      <c r="M888" s="105"/>
      <c r="N888" s="203"/>
      <c r="O888" s="1"/>
      <c r="P888" s="68"/>
    </row>
    <row r="889">
      <c r="A889" s="112" t="s">
        <v>153</v>
      </c>
      <c r="B889" s="112" t="s">
        <v>1227</v>
      </c>
      <c r="C889" s="112" t="str">
        <f>MID($B889,6,7)</f>
        <v>GR18263</v>
      </c>
      <c r="D889" s="112"/>
      <c r="E889" s="138"/>
      <c r="F889" s="124"/>
      <c r="G889" s="124"/>
      <c r="H889" s="127">
        <v>44558.0</v>
      </c>
      <c r="I889" s="1"/>
      <c r="J889" s="104" t="str">
        <f>IF(LEFT(B889,3)="Box","BOX","COUNT")</f>
        <v>BOX</v>
      </c>
      <c r="K889" s="139">
        <f>SUMIF($J$2:$J$8696,$C889,$D$2:$D$8696)</f>
        <v>10</v>
      </c>
      <c r="L889" s="32">
        <f>SUMIF($J$2:$J$8696,$C889,$F$2:$F$8696)</f>
        <v>2277.66</v>
      </c>
      <c r="M889" s="32">
        <f>SUMIF($J$2:$J$8696,$C889,$G$2:$G$8696)</f>
        <v>690.2</v>
      </c>
      <c r="N889" s="203" t="str">
        <f>C889</f>
        <v>GR18263</v>
      </c>
      <c r="O889" s="1" t="str">
        <f>J890</f>
        <v>SHIP</v>
      </c>
      <c r="P889" s="68">
        <f>M889</f>
        <v>690.2</v>
      </c>
      <c r="Q889" s="168">
        <v>44501.0</v>
      </c>
      <c r="R889" s="37" t="s">
        <v>1121</v>
      </c>
      <c r="S889" s="37" t="s">
        <v>1122</v>
      </c>
    </row>
    <row r="890">
      <c r="A890" s="165" t="s">
        <v>307</v>
      </c>
      <c r="B890" s="140" t="s">
        <v>1228</v>
      </c>
      <c r="C890" s="141"/>
      <c r="D890" s="141"/>
      <c r="E890" s="142"/>
      <c r="F890" s="142"/>
      <c r="G890" s="142"/>
      <c r="H890" s="141"/>
      <c r="I890" s="1"/>
      <c r="J890" s="104" t="str">
        <f>IF(B890="","NSHIP","SHIP")</f>
        <v>SHIP</v>
      </c>
      <c r="K890" s="139">
        <f>IF($J890="NSHIP",0,-SUMIF($J$2:$J$8696,$C889,$D$2:$D$8696))</f>
        <v>-10</v>
      </c>
      <c r="L890" s="32">
        <f>IF($J890="NSHIP",0,-SUMIF($J$2:$J$8694,$C889,$F$2:$F$8694))</f>
        <v>-2277.66</v>
      </c>
      <c r="M890" s="32">
        <f>IF($J890="NSHIP",0,-SUMIF($J$2:$J$8694,$C889,$G$2:$G$8694))</f>
        <v>-690.2</v>
      </c>
      <c r="N890" s="203"/>
      <c r="O890" s="1"/>
      <c r="P890" s="68"/>
    </row>
    <row r="891">
      <c r="A891" s="100">
        <v>1.94307349952E11</v>
      </c>
      <c r="B891" s="131" t="s">
        <v>1229</v>
      </c>
      <c r="C891" s="100" t="s">
        <v>97</v>
      </c>
      <c r="D891" s="100">
        <v>1.0</v>
      </c>
      <c r="E891" s="119">
        <v>169.95</v>
      </c>
      <c r="F891" s="118">
        <f t="shared" ref="F891:F894" si="140">E891*D891</f>
        <v>169.95</v>
      </c>
      <c r="G891" s="118">
        <f t="shared" ref="G891:G894" si="141">F891/3.3</f>
        <v>51.5</v>
      </c>
      <c r="H891" s="100" t="s">
        <v>612</v>
      </c>
      <c r="J891" s="120" t="s">
        <v>1230</v>
      </c>
      <c r="K891" s="99"/>
      <c r="L891" s="50"/>
      <c r="M891" s="50"/>
      <c r="N891" s="205"/>
      <c r="P891" s="68"/>
    </row>
    <row r="892">
      <c r="A892" s="100">
        <v>1.94655002301E11</v>
      </c>
      <c r="B892" s="131" t="s">
        <v>1231</v>
      </c>
      <c r="C892" s="100" t="s">
        <v>97</v>
      </c>
      <c r="D892" s="100">
        <v>1.0</v>
      </c>
      <c r="E892" s="119">
        <v>169.0</v>
      </c>
      <c r="F892" s="118">
        <f t="shared" si="140"/>
        <v>169</v>
      </c>
      <c r="G892" s="118">
        <f t="shared" si="141"/>
        <v>51.21212121</v>
      </c>
      <c r="H892" s="100" t="s">
        <v>1232</v>
      </c>
      <c r="J892" s="120" t="s">
        <v>1230</v>
      </c>
      <c r="K892" s="99"/>
      <c r="L892" s="50"/>
      <c r="M892" s="50"/>
      <c r="N892" s="205"/>
      <c r="P892" s="68"/>
    </row>
    <row r="893">
      <c r="A893" s="100">
        <v>7.06258402183E11</v>
      </c>
      <c r="B893" s="131" t="s">
        <v>1233</v>
      </c>
      <c r="C893" s="100" t="s">
        <v>97</v>
      </c>
      <c r="D893" s="100">
        <v>1.0</v>
      </c>
      <c r="E893" s="119">
        <v>179.5</v>
      </c>
      <c r="F893" s="118">
        <f t="shared" si="140"/>
        <v>179.5</v>
      </c>
      <c r="G893" s="118">
        <f t="shared" si="141"/>
        <v>54.39393939</v>
      </c>
      <c r="H893" s="100" t="s">
        <v>234</v>
      </c>
      <c r="J893" s="120" t="s">
        <v>1230</v>
      </c>
      <c r="K893" s="99"/>
      <c r="L893" s="50"/>
      <c r="M893" s="50"/>
      <c r="N893" s="205"/>
      <c r="P893" s="68"/>
    </row>
    <row r="894">
      <c r="A894" s="100">
        <v>7.33001375401E11</v>
      </c>
      <c r="B894" s="131" t="s">
        <v>1234</v>
      </c>
      <c r="C894" s="100" t="s">
        <v>97</v>
      </c>
      <c r="D894" s="100">
        <v>1.0</v>
      </c>
      <c r="E894" s="119">
        <v>169.5</v>
      </c>
      <c r="F894" s="118">
        <f t="shared" si="140"/>
        <v>169.5</v>
      </c>
      <c r="G894" s="118">
        <f t="shared" si="141"/>
        <v>51.36363636</v>
      </c>
      <c r="H894" s="100" t="s">
        <v>858</v>
      </c>
      <c r="J894" s="120" t="s">
        <v>1230</v>
      </c>
      <c r="K894" s="99"/>
      <c r="L894" s="50"/>
      <c r="M894" s="50"/>
      <c r="N894" s="205"/>
      <c r="P894" s="68"/>
    </row>
    <row r="895">
      <c r="A895" s="144" t="s">
        <v>494</v>
      </c>
      <c r="B895" s="152" t="s">
        <v>1235</v>
      </c>
      <c r="C895" s="146"/>
      <c r="D895" s="146"/>
      <c r="E895" s="147"/>
      <c r="F895" s="177"/>
      <c r="G895" s="177"/>
      <c r="H895" s="148"/>
      <c r="J895" s="120"/>
      <c r="K895" s="99"/>
      <c r="L895" s="50"/>
      <c r="M895" s="50"/>
      <c r="N895" s="205"/>
      <c r="P895" s="68"/>
    </row>
    <row r="896">
      <c r="A896" s="134">
        <v>1.94307359883E11</v>
      </c>
      <c r="B896" s="131" t="s">
        <v>1236</v>
      </c>
      <c r="C896" s="100" t="s">
        <v>97</v>
      </c>
      <c r="D896" s="100">
        <v>1.0</v>
      </c>
      <c r="E896" s="119">
        <v>229.0</v>
      </c>
      <c r="F896" s="118">
        <f t="shared" ref="F896:F898" si="142">E896*D896</f>
        <v>229</v>
      </c>
      <c r="G896" s="118">
        <f t="shared" ref="G896:G898" si="143">F896/3.3</f>
        <v>69.39393939</v>
      </c>
      <c r="H896" s="143" t="s">
        <v>612</v>
      </c>
      <c r="J896" s="120" t="s">
        <v>1230</v>
      </c>
      <c r="K896" s="99"/>
      <c r="L896" s="50"/>
      <c r="M896" s="50"/>
      <c r="N896" s="205"/>
      <c r="P896" s="68"/>
    </row>
    <row r="897">
      <c r="A897" s="134">
        <v>7.06258402008E11</v>
      </c>
      <c r="B897" s="131" t="s">
        <v>1237</v>
      </c>
      <c r="C897" s="100" t="s">
        <v>97</v>
      </c>
      <c r="D897" s="100">
        <v>1.0</v>
      </c>
      <c r="E897" s="119">
        <v>179.5</v>
      </c>
      <c r="F897" s="118">
        <f t="shared" si="142"/>
        <v>179.5</v>
      </c>
      <c r="G897" s="118">
        <f t="shared" si="143"/>
        <v>54.39393939</v>
      </c>
      <c r="H897" s="143" t="s">
        <v>193</v>
      </c>
      <c r="J897" s="120" t="s">
        <v>1230</v>
      </c>
      <c r="K897" s="99"/>
      <c r="L897" s="50"/>
      <c r="M897" s="50"/>
      <c r="N897" s="205"/>
      <c r="P897" s="68"/>
    </row>
    <row r="898">
      <c r="A898" s="134">
        <v>7.32998107774E11</v>
      </c>
      <c r="B898" s="131" t="s">
        <v>1238</v>
      </c>
      <c r="C898" s="100" t="s">
        <v>97</v>
      </c>
      <c r="D898" s="100">
        <v>1.0</v>
      </c>
      <c r="E898" s="119">
        <v>189.5</v>
      </c>
      <c r="F898" s="118">
        <f t="shared" si="142"/>
        <v>189.5</v>
      </c>
      <c r="G898" s="118">
        <f t="shared" si="143"/>
        <v>57.42424242</v>
      </c>
      <c r="H898" s="143" t="s">
        <v>193</v>
      </c>
      <c r="J898" s="120" t="s">
        <v>1230</v>
      </c>
      <c r="K898" s="99"/>
      <c r="L898" s="50"/>
      <c r="M898" s="50"/>
      <c r="P898" s="68"/>
    </row>
    <row r="899">
      <c r="A899" s="144" t="s">
        <v>697</v>
      </c>
      <c r="B899" s="152" t="s">
        <v>1239</v>
      </c>
      <c r="C899" s="146"/>
      <c r="D899" s="146"/>
      <c r="E899" s="146"/>
      <c r="F899" s="146"/>
      <c r="G899" s="146"/>
      <c r="H899" s="148"/>
      <c r="J899" s="108"/>
      <c r="K899" s="99"/>
      <c r="L899" s="50"/>
      <c r="M899" s="50"/>
      <c r="P899" s="68"/>
    </row>
    <row r="900">
      <c r="A900" s="112" t="s">
        <v>224</v>
      </c>
      <c r="B900" s="112" t="s">
        <v>1240</v>
      </c>
      <c r="C900" s="112" t="str">
        <f>MID($B900,6,7)</f>
        <v>GR18264</v>
      </c>
      <c r="D900" s="112"/>
      <c r="E900" s="112"/>
      <c r="F900" s="112"/>
      <c r="G900" s="112"/>
      <c r="H900" s="127">
        <v>44558.0</v>
      </c>
      <c r="J900" s="108" t="str">
        <f>IF(LEFT(B900,3)="Box","BOX","COUNT")</f>
        <v>BOX</v>
      </c>
      <c r="K900" s="99">
        <f>SUMIF($J$4:$J$8712,$C900,$D$4:$D$8712)</f>
        <v>7</v>
      </c>
      <c r="L900" s="50">
        <f>SUMIF($J$4:$J$8712,$C900,$F$4:$F$8712)</f>
        <v>1285.95</v>
      </c>
      <c r="M900" s="50">
        <f>SUMIF($J$4:$J$8712,$C900,$G$4:$G$8712)</f>
        <v>389.6818182</v>
      </c>
      <c r="N900" s="70" t="str">
        <f>C900</f>
        <v>GR18264</v>
      </c>
      <c r="O900" s="70" t="str">
        <f>J901</f>
        <v>SHIP</v>
      </c>
      <c r="P900" s="68">
        <f>M900</f>
        <v>389.6818182</v>
      </c>
      <c r="Q900" s="168">
        <v>44501.0</v>
      </c>
      <c r="R900" s="37" t="s">
        <v>1121</v>
      </c>
      <c r="S900" s="37" t="s">
        <v>1122</v>
      </c>
    </row>
    <row r="901">
      <c r="A901" s="165" t="s">
        <v>307</v>
      </c>
      <c r="B901" s="111" t="s">
        <v>1121</v>
      </c>
      <c r="C901" s="141"/>
      <c r="D901" s="141"/>
      <c r="E901" s="142"/>
      <c r="F901" s="142"/>
      <c r="G901" s="142"/>
      <c r="H901" s="141"/>
      <c r="J901" s="108" t="str">
        <f>IF(B901="","NSHIP","SHIP")</f>
        <v>SHIP</v>
      </c>
      <c r="K901" s="99">
        <f>IF($J901="NSHIP",0,-SUMIF($J$4:$J$8712,$C900,$D$4:$D$8712))</f>
        <v>-7</v>
      </c>
      <c r="L901" s="50">
        <f>IF($J901="NSHIP",0,-SUMIF($J$4:$J$8710,$C900,$F$4:$F$8710))</f>
        <v>-1285.95</v>
      </c>
      <c r="M901" s="50">
        <f>IF($J901="NSHIP",0,-SUMIF($J$4:$J$8710,$C900,$G$4:$G$8710))</f>
        <v>-389.6818182</v>
      </c>
      <c r="P901" s="68"/>
    </row>
    <row r="902">
      <c r="A902" s="95">
        <v>7.36705627463E11</v>
      </c>
      <c r="B902" s="151" t="s">
        <v>1241</v>
      </c>
      <c r="C902" s="95" t="s">
        <v>97</v>
      </c>
      <c r="D902" s="95">
        <v>1.0</v>
      </c>
      <c r="E902" s="101">
        <v>89.0</v>
      </c>
      <c r="F902" s="97">
        <f t="shared" ref="F902:F909" si="144">E902*D902</f>
        <v>89</v>
      </c>
      <c r="G902" s="97">
        <f t="shared" ref="G902:G909" si="145">F902/3.3</f>
        <v>26.96969697</v>
      </c>
      <c r="H902" s="95" t="s">
        <v>783</v>
      </c>
      <c r="J902" s="120" t="s">
        <v>1242</v>
      </c>
      <c r="K902" s="99"/>
      <c r="L902" s="50"/>
      <c r="M902" s="50"/>
      <c r="N902" s="205"/>
      <c r="P902" s="68"/>
    </row>
    <row r="903">
      <c r="A903" s="95">
        <v>7.36707029623E11</v>
      </c>
      <c r="B903" s="151" t="s">
        <v>1243</v>
      </c>
      <c r="C903" s="95" t="s">
        <v>97</v>
      </c>
      <c r="D903" s="95">
        <v>1.0</v>
      </c>
      <c r="E903" s="101">
        <v>69.0</v>
      </c>
      <c r="F903" s="97">
        <f t="shared" si="144"/>
        <v>69</v>
      </c>
      <c r="G903" s="97">
        <f t="shared" si="145"/>
        <v>20.90909091</v>
      </c>
      <c r="H903" s="95" t="s">
        <v>783</v>
      </c>
      <c r="J903" s="120" t="s">
        <v>1242</v>
      </c>
      <c r="K903" s="99"/>
      <c r="L903" s="50"/>
      <c r="M903" s="50"/>
      <c r="N903" s="205"/>
      <c r="P903" s="68"/>
    </row>
    <row r="904">
      <c r="A904" s="95">
        <v>7.36707236618E11</v>
      </c>
      <c r="B904" s="151" t="s">
        <v>1244</v>
      </c>
      <c r="C904" s="95" t="s">
        <v>97</v>
      </c>
      <c r="D904" s="95">
        <v>1.0</v>
      </c>
      <c r="E904" s="101">
        <v>79.0</v>
      </c>
      <c r="F904" s="97">
        <f t="shared" si="144"/>
        <v>79</v>
      </c>
      <c r="G904" s="97">
        <f t="shared" si="145"/>
        <v>23.93939394</v>
      </c>
      <c r="H904" s="95" t="s">
        <v>783</v>
      </c>
      <c r="J904" s="120" t="s">
        <v>1242</v>
      </c>
      <c r="K904" s="99"/>
      <c r="L904" s="50"/>
      <c r="M904" s="50"/>
      <c r="N904" s="205"/>
      <c r="P904" s="68"/>
    </row>
    <row r="905">
      <c r="A905" s="95">
        <v>7.36707236625E11</v>
      </c>
      <c r="B905" s="151" t="s">
        <v>1245</v>
      </c>
      <c r="C905" s="95" t="s">
        <v>97</v>
      </c>
      <c r="D905" s="95">
        <v>1.0</v>
      </c>
      <c r="E905" s="101">
        <v>79.0</v>
      </c>
      <c r="F905" s="97">
        <f t="shared" si="144"/>
        <v>79</v>
      </c>
      <c r="G905" s="97">
        <f t="shared" si="145"/>
        <v>23.93939394</v>
      </c>
      <c r="H905" s="95" t="s">
        <v>783</v>
      </c>
      <c r="J905" s="120" t="s">
        <v>1242</v>
      </c>
      <c r="K905" s="99"/>
      <c r="L905" s="50"/>
      <c r="M905" s="50"/>
      <c r="N905" s="205"/>
      <c r="P905" s="68"/>
    </row>
    <row r="906">
      <c r="A906" s="95">
        <v>7.36709469199E11</v>
      </c>
      <c r="B906" s="151" t="s">
        <v>1246</v>
      </c>
      <c r="C906" s="95" t="s">
        <v>97</v>
      </c>
      <c r="D906" s="95">
        <v>1.0</v>
      </c>
      <c r="E906" s="101">
        <v>69.0</v>
      </c>
      <c r="F906" s="97">
        <f t="shared" si="144"/>
        <v>69</v>
      </c>
      <c r="G906" s="97">
        <f t="shared" si="145"/>
        <v>20.90909091</v>
      </c>
      <c r="H906" s="95" t="s">
        <v>783</v>
      </c>
      <c r="J906" s="120" t="s">
        <v>1242</v>
      </c>
      <c r="K906" s="99"/>
      <c r="L906" s="50"/>
      <c r="M906" s="50"/>
      <c r="N906" s="205"/>
      <c r="P906" s="68"/>
    </row>
    <row r="907">
      <c r="A907" s="95">
        <v>7.36711852682E11</v>
      </c>
      <c r="B907" s="151" t="s">
        <v>1247</v>
      </c>
      <c r="C907" s="95" t="s">
        <v>97</v>
      </c>
      <c r="D907" s="95">
        <v>1.0</v>
      </c>
      <c r="E907" s="101">
        <v>59.0</v>
      </c>
      <c r="F907" s="97">
        <f t="shared" si="144"/>
        <v>59</v>
      </c>
      <c r="G907" s="97">
        <f t="shared" si="145"/>
        <v>17.87878788</v>
      </c>
      <c r="H907" s="95" t="s">
        <v>783</v>
      </c>
      <c r="J907" s="120" t="s">
        <v>1242</v>
      </c>
      <c r="K907" s="99"/>
      <c r="L907" s="50"/>
      <c r="M907" s="50"/>
      <c r="N907" s="205"/>
      <c r="P907" s="68"/>
    </row>
    <row r="908">
      <c r="A908" s="95">
        <v>7.36711852712E11</v>
      </c>
      <c r="B908" s="151" t="s">
        <v>1248</v>
      </c>
      <c r="C908" s="95" t="s">
        <v>97</v>
      </c>
      <c r="D908" s="95">
        <v>1.0</v>
      </c>
      <c r="E908" s="101">
        <v>59.0</v>
      </c>
      <c r="F908" s="97">
        <f t="shared" si="144"/>
        <v>59</v>
      </c>
      <c r="G908" s="97">
        <f t="shared" si="145"/>
        <v>17.87878788</v>
      </c>
      <c r="H908" s="95" t="s">
        <v>783</v>
      </c>
      <c r="J908" s="120" t="s">
        <v>1242</v>
      </c>
      <c r="K908" s="99"/>
      <c r="L908" s="50"/>
      <c r="M908" s="50"/>
      <c r="N908" s="205"/>
      <c r="P908" s="68"/>
    </row>
    <row r="909">
      <c r="A909" s="95">
        <v>7.36712183761E11</v>
      </c>
      <c r="B909" s="151" t="s">
        <v>1249</v>
      </c>
      <c r="C909" s="95" t="s">
        <v>97</v>
      </c>
      <c r="D909" s="95">
        <v>1.0</v>
      </c>
      <c r="E909" s="101">
        <v>79.0</v>
      </c>
      <c r="F909" s="97">
        <f t="shared" si="144"/>
        <v>79</v>
      </c>
      <c r="G909" s="97">
        <f t="shared" si="145"/>
        <v>23.93939394</v>
      </c>
      <c r="H909" s="95" t="s">
        <v>783</v>
      </c>
      <c r="J909" s="120" t="s">
        <v>1242</v>
      </c>
      <c r="K909" s="99"/>
      <c r="L909" s="50"/>
      <c r="M909" s="50"/>
      <c r="N909" s="205"/>
      <c r="P909" s="68"/>
    </row>
    <row r="910">
      <c r="A910" s="208" t="s">
        <v>1250</v>
      </c>
      <c r="B910" s="122" t="s">
        <v>1251</v>
      </c>
      <c r="C910" s="153"/>
      <c r="D910" s="154"/>
      <c r="E910" s="154"/>
      <c r="F910" s="154"/>
      <c r="G910" s="154"/>
      <c r="H910" s="155"/>
      <c r="I910" s="98"/>
      <c r="J910" s="156"/>
      <c r="K910" s="157"/>
      <c r="L910" s="158"/>
      <c r="M910" s="158"/>
      <c r="N910" s="98"/>
      <c r="O910" s="98"/>
      <c r="P910" s="6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1" t="s">
        <v>267</v>
      </c>
      <c r="B911" s="111" t="s">
        <v>1252</v>
      </c>
      <c r="C911" s="112" t="str">
        <f>MID($B911,6,7)</f>
        <v>GR18265</v>
      </c>
      <c r="D911" s="111"/>
      <c r="E911" s="111"/>
      <c r="F911" s="111"/>
      <c r="G911" s="111"/>
      <c r="H911" s="113">
        <v>44558.0</v>
      </c>
      <c r="I911" s="159"/>
      <c r="J911" s="160" t="str">
        <f>IF(LEFT(B911,3)="Box","BOX","COUNT")</f>
        <v>BOX</v>
      </c>
      <c r="K911" s="161">
        <f>SUMIF($J$4:$J$8712,$C911,$D$4:$D$8712)</f>
        <v>8</v>
      </c>
      <c r="L911" s="162">
        <f>SUMIF($J$4:$J$8712,$C911,$F$4:$F$8712)</f>
        <v>582</v>
      </c>
      <c r="M911" s="162">
        <f>SUMIF($J$4:$J$8712,$C911,$G$4:$G$8712)</f>
        <v>176.3636364</v>
      </c>
      <c r="N911" s="159" t="str">
        <f>C911</f>
        <v>GR18265</v>
      </c>
      <c r="O911" s="159" t="str">
        <f>J912</f>
        <v>SHIP</v>
      </c>
      <c r="P911" s="68">
        <f>M911</f>
        <v>176.3636364</v>
      </c>
      <c r="Q911" s="168">
        <v>44501.0</v>
      </c>
      <c r="R911" s="37" t="s">
        <v>1121</v>
      </c>
      <c r="S911" s="37" t="s">
        <v>1122</v>
      </c>
      <c r="T911" s="159"/>
      <c r="U911" s="159"/>
      <c r="V911" s="159"/>
      <c r="W911" s="159"/>
      <c r="X911" s="159"/>
      <c r="Y911" s="159"/>
      <c r="Z911" s="159"/>
    </row>
    <row r="912">
      <c r="A912" s="165" t="s">
        <v>307</v>
      </c>
      <c r="B912" s="111" t="s">
        <v>1253</v>
      </c>
      <c r="C912" s="109"/>
      <c r="D912" s="109"/>
      <c r="E912" s="116"/>
      <c r="F912" s="116"/>
      <c r="G912" s="116"/>
      <c r="H912" s="109"/>
      <c r="J912" s="108" t="str">
        <f>IF(B912="","NSHIP","SHIP")</f>
        <v>SHIP</v>
      </c>
      <c r="K912" s="99">
        <f>IF($J912="NSHIP",0,-SUMIF($J$4:$J$8712,$C911,$D$4:$D$8712))</f>
        <v>-8</v>
      </c>
      <c r="L912" s="50">
        <f>IF($J912="NSHIP",0,-SUMIF($J$4:$J$8710,$C911,$F$4:$F$8710))</f>
        <v>-582</v>
      </c>
      <c r="M912" s="50">
        <f>IF($J912="NSHIP",0,-SUMIF($J$4:$J$8710,$C911,$G$4:$G$8710))</f>
        <v>-176.3636364</v>
      </c>
      <c r="P912" s="68"/>
    </row>
    <row r="913">
      <c r="A913" s="95">
        <v>1.92734269225E11</v>
      </c>
      <c r="B913" s="164" t="s">
        <v>1254</v>
      </c>
      <c r="C913" s="95" t="s">
        <v>97</v>
      </c>
      <c r="D913" s="95">
        <v>1.0</v>
      </c>
      <c r="E913" s="101">
        <v>99.0</v>
      </c>
      <c r="F913" s="97">
        <f t="shared" ref="F913:F917" si="146">E913*D913</f>
        <v>99</v>
      </c>
      <c r="G913" s="97">
        <f t="shared" ref="G913:G917" si="147">F913/3.3</f>
        <v>30</v>
      </c>
      <c r="H913" s="95" t="s">
        <v>1255</v>
      </c>
      <c r="J913" s="120" t="s">
        <v>1256</v>
      </c>
      <c r="K913" s="99"/>
      <c r="L913" s="50"/>
      <c r="M913" s="50"/>
      <c r="P913" s="68"/>
    </row>
    <row r="914">
      <c r="A914" s="95">
        <v>1.93280642555E11</v>
      </c>
      <c r="B914" s="131" t="s">
        <v>1257</v>
      </c>
      <c r="C914" s="95" t="s">
        <v>97</v>
      </c>
      <c r="D914" s="95">
        <v>1.0</v>
      </c>
      <c r="E914" s="101">
        <v>59.0</v>
      </c>
      <c r="F914" s="97">
        <f t="shared" si="146"/>
        <v>59</v>
      </c>
      <c r="G914" s="97">
        <f t="shared" si="147"/>
        <v>17.87878788</v>
      </c>
      <c r="H914" s="95" t="s">
        <v>1255</v>
      </c>
      <c r="J914" s="120" t="s">
        <v>1256</v>
      </c>
      <c r="K914" s="99"/>
      <c r="L914" s="50"/>
      <c r="M914" s="50"/>
      <c r="P914" s="68"/>
    </row>
    <row r="915">
      <c r="A915" s="95">
        <v>1.93280642562E11</v>
      </c>
      <c r="B915" s="131" t="s">
        <v>1258</v>
      </c>
      <c r="C915" s="95" t="s">
        <v>97</v>
      </c>
      <c r="D915" s="95">
        <v>1.0</v>
      </c>
      <c r="E915" s="101">
        <v>59.0</v>
      </c>
      <c r="F915" s="97">
        <f t="shared" si="146"/>
        <v>59</v>
      </c>
      <c r="G915" s="97">
        <f t="shared" si="147"/>
        <v>17.87878788</v>
      </c>
      <c r="H915" s="95" t="s">
        <v>1255</v>
      </c>
      <c r="J915" s="120" t="s">
        <v>1256</v>
      </c>
      <c r="K915" s="99"/>
      <c r="L915" s="50"/>
      <c r="M915" s="50"/>
      <c r="P915" s="68"/>
    </row>
    <row r="916">
      <c r="A916" s="95">
        <v>1.93280642579E11</v>
      </c>
      <c r="B916" s="131" t="s">
        <v>1259</v>
      </c>
      <c r="C916" s="95" t="s">
        <v>97</v>
      </c>
      <c r="D916" s="95">
        <v>1.0</v>
      </c>
      <c r="E916" s="101">
        <v>59.0</v>
      </c>
      <c r="F916" s="97">
        <f t="shared" si="146"/>
        <v>59</v>
      </c>
      <c r="G916" s="97">
        <f t="shared" si="147"/>
        <v>17.87878788</v>
      </c>
      <c r="H916" s="95" t="s">
        <v>1255</v>
      </c>
      <c r="J916" s="120" t="s">
        <v>1256</v>
      </c>
      <c r="K916" s="99"/>
      <c r="L916" s="50"/>
      <c r="M916" s="50"/>
      <c r="P916" s="68"/>
    </row>
    <row r="917">
      <c r="A917" s="95">
        <v>1.93280642586E11</v>
      </c>
      <c r="B917" s="131" t="s">
        <v>1260</v>
      </c>
      <c r="C917" s="95" t="s">
        <v>97</v>
      </c>
      <c r="D917" s="95">
        <v>1.0</v>
      </c>
      <c r="E917" s="101">
        <v>59.0</v>
      </c>
      <c r="F917" s="97">
        <f t="shared" si="146"/>
        <v>59</v>
      </c>
      <c r="G917" s="97">
        <f t="shared" si="147"/>
        <v>17.87878788</v>
      </c>
      <c r="H917" s="95" t="s">
        <v>1255</v>
      </c>
      <c r="J917" s="120" t="s">
        <v>1256</v>
      </c>
      <c r="K917" s="99"/>
      <c r="L917" s="50"/>
      <c r="M917" s="50"/>
      <c r="P917" s="68"/>
    </row>
    <row r="918">
      <c r="A918" s="102" t="s">
        <v>1261</v>
      </c>
      <c r="B918" s="103" t="s">
        <v>1262</v>
      </c>
      <c r="C918" s="104"/>
      <c r="D918" s="104"/>
      <c r="E918" s="105"/>
      <c r="F918" s="106"/>
      <c r="G918" s="106"/>
      <c r="H918" s="107"/>
      <c r="J918" s="108"/>
      <c r="K918" s="99"/>
      <c r="L918" s="50"/>
      <c r="M918" s="50"/>
      <c r="P918" s="68"/>
    </row>
    <row r="919">
      <c r="A919" s="95">
        <v>1.92734269225E11</v>
      </c>
      <c r="B919" s="164" t="s">
        <v>1254</v>
      </c>
      <c r="C919" s="95" t="s">
        <v>97</v>
      </c>
      <c r="D919" s="95">
        <v>1.0</v>
      </c>
      <c r="E919" s="101">
        <v>99.0</v>
      </c>
      <c r="F919" s="97">
        <f t="shared" ref="F919:F922" si="148">E919*D919</f>
        <v>99</v>
      </c>
      <c r="G919" s="97">
        <f t="shared" ref="G919:G922" si="149">F919/3.3</f>
        <v>30</v>
      </c>
      <c r="H919" s="95" t="s">
        <v>1255</v>
      </c>
      <c r="J919" s="120" t="s">
        <v>1256</v>
      </c>
      <c r="K919" s="99"/>
      <c r="L919" s="50"/>
      <c r="M919" s="50"/>
      <c r="P919" s="68"/>
    </row>
    <row r="920">
      <c r="A920" s="95">
        <v>1.93280642524E11</v>
      </c>
      <c r="B920" s="131" t="s">
        <v>1263</v>
      </c>
      <c r="C920" s="95" t="s">
        <v>97</v>
      </c>
      <c r="D920" s="95">
        <v>1.0</v>
      </c>
      <c r="E920" s="101">
        <v>59.0</v>
      </c>
      <c r="F920" s="97">
        <f t="shared" si="148"/>
        <v>59</v>
      </c>
      <c r="G920" s="97">
        <f t="shared" si="149"/>
        <v>17.87878788</v>
      </c>
      <c r="H920" s="95" t="s">
        <v>1255</v>
      </c>
      <c r="J920" s="120" t="s">
        <v>1256</v>
      </c>
      <c r="K920" s="99"/>
      <c r="L920" s="50"/>
      <c r="M920" s="50"/>
      <c r="P920" s="68"/>
    </row>
    <row r="921">
      <c r="A921" s="95">
        <v>1.93280642548E11</v>
      </c>
      <c r="B921" s="131" t="s">
        <v>1264</v>
      </c>
      <c r="C921" s="95" t="s">
        <v>97</v>
      </c>
      <c r="D921" s="95">
        <v>1.0</v>
      </c>
      <c r="E921" s="101">
        <v>59.0</v>
      </c>
      <c r="F921" s="97">
        <f t="shared" si="148"/>
        <v>59</v>
      </c>
      <c r="G921" s="97">
        <f t="shared" si="149"/>
        <v>17.87878788</v>
      </c>
      <c r="H921" s="95" t="s">
        <v>1255</v>
      </c>
      <c r="J921" s="120" t="s">
        <v>1256</v>
      </c>
      <c r="K921" s="99"/>
      <c r="L921" s="50"/>
      <c r="M921" s="50"/>
      <c r="P921" s="68"/>
    </row>
    <row r="922">
      <c r="A922" s="95">
        <v>1.93280642555E11</v>
      </c>
      <c r="B922" s="131" t="s">
        <v>1257</v>
      </c>
      <c r="C922" s="95" t="s">
        <v>97</v>
      </c>
      <c r="D922" s="95">
        <v>1.0</v>
      </c>
      <c r="E922" s="101">
        <v>59.0</v>
      </c>
      <c r="F922" s="97">
        <f t="shared" si="148"/>
        <v>59</v>
      </c>
      <c r="G922" s="97">
        <f t="shared" si="149"/>
        <v>17.87878788</v>
      </c>
      <c r="H922" s="95" t="s">
        <v>1255</v>
      </c>
      <c r="J922" s="120" t="s">
        <v>1256</v>
      </c>
      <c r="K922" s="99"/>
      <c r="L922" s="50"/>
      <c r="M922" s="50"/>
      <c r="P922" s="68"/>
    </row>
    <row r="923">
      <c r="A923" s="102" t="s">
        <v>1265</v>
      </c>
      <c r="B923" s="103" t="s">
        <v>1266</v>
      </c>
      <c r="C923" s="104"/>
      <c r="D923" s="104"/>
      <c r="E923" s="105"/>
      <c r="F923" s="106"/>
      <c r="G923" s="106"/>
      <c r="H923" s="107"/>
      <c r="J923" s="108"/>
      <c r="K923" s="99"/>
      <c r="L923" s="50"/>
      <c r="M923" s="50"/>
      <c r="P923" s="68"/>
    </row>
    <row r="924">
      <c r="A924" s="109">
        <v>1.93280642555E11</v>
      </c>
      <c r="B924" s="192" t="s">
        <v>1257</v>
      </c>
      <c r="C924" s="95" t="s">
        <v>97</v>
      </c>
      <c r="D924" s="95">
        <v>1.0</v>
      </c>
      <c r="E924" s="101">
        <v>59.0</v>
      </c>
      <c r="F924" s="97">
        <f>E924*D924</f>
        <v>59</v>
      </c>
      <c r="G924" s="97">
        <f>F924/3.3</f>
        <v>17.87878788</v>
      </c>
      <c r="H924" s="95" t="s">
        <v>1255</v>
      </c>
      <c r="J924" s="120" t="s">
        <v>1256</v>
      </c>
      <c r="K924" s="99"/>
      <c r="L924" s="50"/>
      <c r="M924" s="50"/>
      <c r="P924" s="68"/>
    </row>
    <row r="925">
      <c r="A925" s="102" t="s">
        <v>113</v>
      </c>
      <c r="B925" s="103" t="s">
        <v>1267</v>
      </c>
      <c r="C925" s="104"/>
      <c r="D925" s="104"/>
      <c r="E925" s="105"/>
      <c r="F925" s="106"/>
      <c r="G925" s="106"/>
      <c r="H925" s="107"/>
      <c r="J925" s="108"/>
      <c r="K925" s="99"/>
      <c r="L925" s="50"/>
      <c r="M925" s="50"/>
      <c r="P925" s="68"/>
    </row>
    <row r="926">
      <c r="A926" s="165">
        <v>8.89556641604E11</v>
      </c>
      <c r="B926" s="151" t="s">
        <v>1268</v>
      </c>
      <c r="C926" s="95" t="s">
        <v>97</v>
      </c>
      <c r="D926" s="95">
        <v>1.0</v>
      </c>
      <c r="E926" s="101">
        <v>79.0</v>
      </c>
      <c r="F926" s="97">
        <f t="shared" ref="F926:F928" si="150">E926*D926</f>
        <v>79</v>
      </c>
      <c r="G926" s="97">
        <f t="shared" ref="G926:G928" si="151">F926/3.3</f>
        <v>23.93939394</v>
      </c>
      <c r="H926" s="95" t="s">
        <v>1269</v>
      </c>
      <c r="I926" s="70" t="s">
        <v>149</v>
      </c>
      <c r="J926" s="120" t="s">
        <v>1256</v>
      </c>
      <c r="K926" s="99"/>
      <c r="L926" s="50"/>
      <c r="M926" s="50"/>
      <c r="P926" s="68"/>
    </row>
    <row r="927">
      <c r="A927" s="165">
        <v>8.89556693566E11</v>
      </c>
      <c r="B927" s="151" t="s">
        <v>1270</v>
      </c>
      <c r="C927" s="95" t="s">
        <v>97</v>
      </c>
      <c r="D927" s="95">
        <v>1.0</v>
      </c>
      <c r="E927" s="101">
        <v>99.0</v>
      </c>
      <c r="F927" s="97">
        <f t="shared" si="150"/>
        <v>99</v>
      </c>
      <c r="G927" s="97">
        <f t="shared" si="151"/>
        <v>30</v>
      </c>
      <c r="H927" s="95" t="s">
        <v>1269</v>
      </c>
      <c r="I927" s="70" t="s">
        <v>149</v>
      </c>
      <c r="J927" s="120" t="s">
        <v>1256</v>
      </c>
      <c r="K927" s="99"/>
      <c r="L927" s="50"/>
      <c r="M927" s="50"/>
      <c r="P927" s="68"/>
    </row>
    <row r="928">
      <c r="A928" s="165">
        <v>8.89556704668E11</v>
      </c>
      <c r="B928" s="151" t="s">
        <v>1271</v>
      </c>
      <c r="C928" s="95" t="s">
        <v>97</v>
      </c>
      <c r="D928" s="95">
        <v>1.0</v>
      </c>
      <c r="E928" s="101">
        <v>119.95</v>
      </c>
      <c r="F928" s="97">
        <f t="shared" si="150"/>
        <v>119.95</v>
      </c>
      <c r="G928" s="97">
        <f t="shared" si="151"/>
        <v>36.34848485</v>
      </c>
      <c r="H928" s="95" t="s">
        <v>1269</v>
      </c>
      <c r="I928" s="70" t="s">
        <v>149</v>
      </c>
      <c r="J928" s="120" t="s">
        <v>1256</v>
      </c>
      <c r="K928" s="99"/>
      <c r="L928" s="50"/>
      <c r="M928" s="50"/>
      <c r="P928" s="68"/>
    </row>
    <row r="929">
      <c r="A929" s="111" t="s">
        <v>115</v>
      </c>
      <c r="B929" s="111" t="s">
        <v>1272</v>
      </c>
      <c r="C929" s="112" t="str">
        <f>MID($B929,6,7)</f>
        <v>GR18266</v>
      </c>
      <c r="D929" s="111"/>
      <c r="E929" s="111"/>
      <c r="F929" s="111"/>
      <c r="G929" s="111"/>
      <c r="H929" s="113">
        <v>44558.0</v>
      </c>
      <c r="J929" s="108" t="str">
        <f>IF(LEFT(B929,3)="Box","BOX","COUNT")</f>
        <v>BOX</v>
      </c>
      <c r="K929" s="99">
        <f>SUMIF($J$4:$J$8712,$C929,$D$4:$D$8712)</f>
        <v>13</v>
      </c>
      <c r="L929" s="50">
        <f>SUMIF($J$4:$J$8712,$C929,$F$4:$F$8712)</f>
        <v>967.95</v>
      </c>
      <c r="M929" s="50">
        <f>SUMIF($J$4:$J$8712,$C929,$G$4:$G$8712)</f>
        <v>293.3181818</v>
      </c>
      <c r="N929" s="70" t="str">
        <f>C929</f>
        <v>GR18266</v>
      </c>
      <c r="O929" s="70" t="str">
        <f>J930</f>
        <v>SHIP</v>
      </c>
      <c r="P929" s="68">
        <f>M929</f>
        <v>293.3181818</v>
      </c>
      <c r="Q929" s="168">
        <v>44466.0</v>
      </c>
      <c r="R929" s="37" t="s">
        <v>368</v>
      </c>
      <c r="S929" s="37" t="s">
        <v>369</v>
      </c>
    </row>
    <row r="930">
      <c r="A930" s="165" t="s">
        <v>307</v>
      </c>
      <c r="B930" s="111" t="s">
        <v>1273</v>
      </c>
      <c r="C930" s="109"/>
      <c r="D930" s="109"/>
      <c r="E930" s="116"/>
      <c r="F930" s="116"/>
      <c r="G930" s="116"/>
      <c r="H930" s="109"/>
      <c r="J930" s="108" t="str">
        <f>IF(B930="","NSHIP","SHIP")</f>
        <v>SHIP</v>
      </c>
      <c r="K930" s="99">
        <f>IF($J930="NSHIP",0,-SUMIF($J$4:$J$8712,$C929,$D$4:$D$8712))</f>
        <v>-13</v>
      </c>
      <c r="L930" s="50">
        <f>IF($J930="NSHIP",0,-SUMIF($J$4:$J$8710,$C929,$F$4:$F$8710))</f>
        <v>-967.95</v>
      </c>
      <c r="M930" s="50">
        <f>IF($J930="NSHIP",0,-SUMIF($J$4:$J$8710,$C929,$G$4:$G$8710))</f>
        <v>-293.3181818</v>
      </c>
      <c r="P930" s="68"/>
    </row>
    <row r="931">
      <c r="A931" s="95">
        <v>1.90607344741E11</v>
      </c>
      <c r="B931" s="164" t="s">
        <v>1274</v>
      </c>
      <c r="C931" s="95" t="s">
        <v>97</v>
      </c>
      <c r="D931" s="95">
        <v>1.0</v>
      </c>
      <c r="E931" s="101">
        <v>39.99</v>
      </c>
      <c r="F931" s="101">
        <f t="shared" ref="F931:F971" si="152">E931*D931</f>
        <v>39.99</v>
      </c>
      <c r="G931" s="101">
        <f t="shared" ref="G931:G971" si="153">F931/4</f>
        <v>9.9975</v>
      </c>
      <c r="H931" s="95" t="s">
        <v>1275</v>
      </c>
      <c r="J931" s="120" t="s">
        <v>1276</v>
      </c>
      <c r="K931" s="99"/>
      <c r="L931" s="50"/>
      <c r="M931" s="50"/>
      <c r="P931" s="68"/>
    </row>
    <row r="932">
      <c r="A932" s="95">
        <v>1.90607396368E11</v>
      </c>
      <c r="B932" s="131" t="s">
        <v>1277</v>
      </c>
      <c r="C932" s="95" t="s">
        <v>97</v>
      </c>
      <c r="D932" s="95">
        <v>1.0</v>
      </c>
      <c r="E932" s="101">
        <v>99.0</v>
      </c>
      <c r="F932" s="101">
        <f t="shared" si="152"/>
        <v>99</v>
      </c>
      <c r="G932" s="101">
        <f t="shared" si="153"/>
        <v>24.75</v>
      </c>
      <c r="H932" s="95" t="s">
        <v>341</v>
      </c>
      <c r="J932" s="120" t="s">
        <v>1276</v>
      </c>
      <c r="K932" s="99"/>
      <c r="L932" s="50"/>
      <c r="M932" s="50"/>
      <c r="P932" s="68"/>
    </row>
    <row r="933">
      <c r="A933" s="95">
        <v>1.90607396382E11</v>
      </c>
      <c r="B933" s="131" t="s">
        <v>1278</v>
      </c>
      <c r="C933" s="95" t="s">
        <v>97</v>
      </c>
      <c r="D933" s="95">
        <v>1.0</v>
      </c>
      <c r="E933" s="101">
        <v>99.0</v>
      </c>
      <c r="F933" s="101">
        <f t="shared" si="152"/>
        <v>99</v>
      </c>
      <c r="G933" s="101">
        <f t="shared" si="153"/>
        <v>24.75</v>
      </c>
      <c r="H933" s="95" t="s">
        <v>1279</v>
      </c>
      <c r="J933" s="120" t="s">
        <v>1276</v>
      </c>
      <c r="K933" s="99"/>
      <c r="L933" s="50"/>
      <c r="M933" s="50"/>
      <c r="P933" s="68"/>
    </row>
    <row r="934">
      <c r="A934" s="95">
        <v>1.90607422807E11</v>
      </c>
      <c r="B934" s="131" t="s">
        <v>1280</v>
      </c>
      <c r="C934" s="95" t="s">
        <v>97</v>
      </c>
      <c r="D934" s="95">
        <v>1.0</v>
      </c>
      <c r="E934" s="101">
        <v>139.0</v>
      </c>
      <c r="F934" s="101">
        <f t="shared" si="152"/>
        <v>139</v>
      </c>
      <c r="G934" s="101">
        <f t="shared" si="153"/>
        <v>34.75</v>
      </c>
      <c r="H934" s="95" t="s">
        <v>341</v>
      </c>
      <c r="J934" s="120" t="s">
        <v>1276</v>
      </c>
      <c r="K934" s="99"/>
      <c r="L934" s="50"/>
      <c r="M934" s="50"/>
      <c r="P934" s="68"/>
    </row>
    <row r="935">
      <c r="A935" s="110">
        <v>1.90607425877E11</v>
      </c>
      <c r="B935" s="131" t="s">
        <v>1281</v>
      </c>
      <c r="C935" s="95" t="s">
        <v>97</v>
      </c>
      <c r="D935" s="95">
        <v>1.0</v>
      </c>
      <c r="E935" s="101">
        <v>129.0</v>
      </c>
      <c r="F935" s="101">
        <f t="shared" si="152"/>
        <v>129</v>
      </c>
      <c r="G935" s="101">
        <f t="shared" si="153"/>
        <v>32.25</v>
      </c>
      <c r="H935" s="95" t="s">
        <v>341</v>
      </c>
      <c r="J935" s="120" t="s">
        <v>1276</v>
      </c>
      <c r="K935" s="99"/>
      <c r="L935" s="50"/>
      <c r="M935" s="50"/>
      <c r="P935" s="68"/>
    </row>
    <row r="936">
      <c r="A936" s="95">
        <v>1.90607885633E11</v>
      </c>
      <c r="B936" s="131" t="s">
        <v>1282</v>
      </c>
      <c r="C936" s="95" t="s">
        <v>97</v>
      </c>
      <c r="D936" s="95">
        <v>1.0</v>
      </c>
      <c r="E936" s="101">
        <v>24.5</v>
      </c>
      <c r="F936" s="101">
        <f t="shared" si="152"/>
        <v>24.5</v>
      </c>
      <c r="G936" s="101">
        <f t="shared" si="153"/>
        <v>6.125</v>
      </c>
      <c r="H936" s="95" t="s">
        <v>341</v>
      </c>
      <c r="J936" s="120" t="s">
        <v>1276</v>
      </c>
      <c r="K936" s="99"/>
      <c r="L936" s="50"/>
      <c r="M936" s="50"/>
      <c r="P936" s="68"/>
    </row>
    <row r="937">
      <c r="A937" s="95">
        <v>1.90607885664E11</v>
      </c>
      <c r="B937" s="131" t="s">
        <v>1283</v>
      </c>
      <c r="C937" s="95" t="s">
        <v>97</v>
      </c>
      <c r="D937" s="95">
        <v>1.0</v>
      </c>
      <c r="E937" s="101">
        <v>24.5</v>
      </c>
      <c r="F937" s="101">
        <f t="shared" si="152"/>
        <v>24.5</v>
      </c>
      <c r="G937" s="101">
        <f t="shared" si="153"/>
        <v>6.125</v>
      </c>
      <c r="H937" s="95" t="s">
        <v>341</v>
      </c>
      <c r="J937" s="120" t="s">
        <v>1276</v>
      </c>
      <c r="K937" s="99"/>
      <c r="L937" s="50"/>
      <c r="M937" s="50"/>
      <c r="P937" s="68"/>
    </row>
    <row r="938">
      <c r="A938" s="95">
        <v>1.92114003876E11</v>
      </c>
      <c r="B938" s="131" t="s">
        <v>1284</v>
      </c>
      <c r="C938" s="95" t="s">
        <v>97</v>
      </c>
      <c r="D938" s="95">
        <v>1.0</v>
      </c>
      <c r="E938" s="101">
        <v>119.0</v>
      </c>
      <c r="F938" s="101">
        <f t="shared" si="152"/>
        <v>119</v>
      </c>
      <c r="G938" s="101">
        <f t="shared" si="153"/>
        <v>29.75</v>
      </c>
      <c r="H938" s="95" t="s">
        <v>1279</v>
      </c>
      <c r="J938" s="120" t="s">
        <v>1276</v>
      </c>
      <c r="K938" s="99"/>
      <c r="L938" s="50"/>
      <c r="M938" s="50"/>
      <c r="P938" s="68"/>
    </row>
    <row r="939">
      <c r="A939" s="95">
        <v>1.92114003883E11</v>
      </c>
      <c r="B939" s="131" t="s">
        <v>1285</v>
      </c>
      <c r="C939" s="95" t="s">
        <v>97</v>
      </c>
      <c r="D939" s="95">
        <v>1.0</v>
      </c>
      <c r="E939" s="101">
        <v>119.0</v>
      </c>
      <c r="F939" s="101">
        <f t="shared" si="152"/>
        <v>119</v>
      </c>
      <c r="G939" s="101">
        <f t="shared" si="153"/>
        <v>29.75</v>
      </c>
      <c r="H939" s="95" t="s">
        <v>1279</v>
      </c>
      <c r="J939" s="120" t="s">
        <v>1276</v>
      </c>
      <c r="K939" s="99"/>
      <c r="L939" s="50"/>
      <c r="M939" s="50"/>
      <c r="P939" s="68"/>
    </row>
    <row r="940">
      <c r="A940" s="95">
        <v>1.92114003906E11</v>
      </c>
      <c r="B940" s="131" t="s">
        <v>1286</v>
      </c>
      <c r="C940" s="95" t="s">
        <v>97</v>
      </c>
      <c r="D940" s="95">
        <v>1.0</v>
      </c>
      <c r="E940" s="101">
        <v>119.0</v>
      </c>
      <c r="F940" s="101">
        <f t="shared" si="152"/>
        <v>119</v>
      </c>
      <c r="G940" s="101">
        <f t="shared" si="153"/>
        <v>29.75</v>
      </c>
      <c r="H940" s="95" t="s">
        <v>341</v>
      </c>
      <c r="J940" s="120" t="s">
        <v>1276</v>
      </c>
      <c r="K940" s="99"/>
      <c r="L940" s="50"/>
      <c r="M940" s="50"/>
      <c r="P940" s="68"/>
    </row>
    <row r="941">
      <c r="A941" s="95">
        <v>1.92114003913E11</v>
      </c>
      <c r="B941" s="131" t="s">
        <v>1287</v>
      </c>
      <c r="C941" s="95" t="s">
        <v>97</v>
      </c>
      <c r="D941" s="95">
        <v>1.0</v>
      </c>
      <c r="E941" s="101">
        <v>119.0</v>
      </c>
      <c r="F941" s="101">
        <f t="shared" si="152"/>
        <v>119</v>
      </c>
      <c r="G941" s="101">
        <f t="shared" si="153"/>
        <v>29.75</v>
      </c>
      <c r="H941" s="95" t="s">
        <v>1279</v>
      </c>
      <c r="J941" s="120" t="s">
        <v>1276</v>
      </c>
      <c r="K941" s="99"/>
      <c r="L941" s="50"/>
      <c r="M941" s="50"/>
      <c r="P941" s="68"/>
    </row>
    <row r="942">
      <c r="A942" s="95">
        <v>1.9211400392E11</v>
      </c>
      <c r="B942" s="131" t="s">
        <v>1288</v>
      </c>
      <c r="C942" s="95" t="s">
        <v>97</v>
      </c>
      <c r="D942" s="95">
        <v>1.0</v>
      </c>
      <c r="E942" s="101">
        <v>119.0</v>
      </c>
      <c r="F942" s="101">
        <f t="shared" si="152"/>
        <v>119</v>
      </c>
      <c r="G942" s="101">
        <f t="shared" si="153"/>
        <v>29.75</v>
      </c>
      <c r="H942" s="95" t="s">
        <v>341</v>
      </c>
      <c r="J942" s="120" t="s">
        <v>1276</v>
      </c>
      <c r="K942" s="99"/>
      <c r="L942" s="50"/>
      <c r="M942" s="50"/>
      <c r="P942" s="68"/>
    </row>
    <row r="943">
      <c r="A943" s="95">
        <v>1.9211400475E11</v>
      </c>
      <c r="B943" s="131" t="s">
        <v>1289</v>
      </c>
      <c r="C943" s="95" t="s">
        <v>97</v>
      </c>
      <c r="D943" s="95">
        <v>1.0</v>
      </c>
      <c r="E943" s="101">
        <v>129.0</v>
      </c>
      <c r="F943" s="101">
        <f t="shared" si="152"/>
        <v>129</v>
      </c>
      <c r="G943" s="101">
        <f t="shared" si="153"/>
        <v>32.25</v>
      </c>
      <c r="H943" s="95" t="s">
        <v>341</v>
      </c>
      <c r="J943" s="120" t="s">
        <v>1276</v>
      </c>
      <c r="K943" s="99"/>
      <c r="L943" s="50"/>
      <c r="M943" s="50"/>
      <c r="P943" s="68"/>
    </row>
    <row r="944">
      <c r="A944" s="95">
        <v>1.92114005177E11</v>
      </c>
      <c r="B944" s="131" t="s">
        <v>1290</v>
      </c>
      <c r="C944" s="95" t="s">
        <v>97</v>
      </c>
      <c r="D944" s="95">
        <v>1.0</v>
      </c>
      <c r="E944" s="101">
        <v>119.0</v>
      </c>
      <c r="F944" s="101">
        <f t="shared" si="152"/>
        <v>119</v>
      </c>
      <c r="G944" s="101">
        <f t="shared" si="153"/>
        <v>29.75</v>
      </c>
      <c r="H944" s="95" t="s">
        <v>1279</v>
      </c>
      <c r="J944" s="120" t="s">
        <v>1276</v>
      </c>
      <c r="K944" s="99"/>
      <c r="L944" s="50"/>
      <c r="M944" s="50"/>
      <c r="P944" s="68"/>
    </row>
    <row r="945">
      <c r="A945" s="95">
        <v>1.92114006983E11</v>
      </c>
      <c r="B945" s="131" t="s">
        <v>1291</v>
      </c>
      <c r="C945" s="95" t="s">
        <v>97</v>
      </c>
      <c r="D945" s="95">
        <v>1.0</v>
      </c>
      <c r="E945" s="101">
        <v>129.0</v>
      </c>
      <c r="F945" s="101">
        <f t="shared" si="152"/>
        <v>129</v>
      </c>
      <c r="G945" s="101">
        <f t="shared" si="153"/>
        <v>32.25</v>
      </c>
      <c r="H945" s="95" t="s">
        <v>341</v>
      </c>
      <c r="J945" s="120" t="s">
        <v>1276</v>
      </c>
      <c r="K945" s="99"/>
      <c r="L945" s="50"/>
      <c r="M945" s="50"/>
      <c r="P945" s="68"/>
    </row>
    <row r="946">
      <c r="A946" s="95">
        <v>1.92114007324E11</v>
      </c>
      <c r="B946" s="131" t="s">
        <v>1292</v>
      </c>
      <c r="C946" s="95" t="s">
        <v>97</v>
      </c>
      <c r="D946" s="95">
        <v>1.0</v>
      </c>
      <c r="E946" s="101">
        <v>144.0</v>
      </c>
      <c r="F946" s="101">
        <f t="shared" si="152"/>
        <v>144</v>
      </c>
      <c r="G946" s="101">
        <f t="shared" si="153"/>
        <v>36</v>
      </c>
      <c r="H946" s="95" t="s">
        <v>341</v>
      </c>
      <c r="J946" s="120" t="s">
        <v>1276</v>
      </c>
      <c r="K946" s="99"/>
      <c r="L946" s="50"/>
      <c r="M946" s="50"/>
      <c r="P946" s="68"/>
    </row>
    <row r="947">
      <c r="A947" s="95">
        <v>1.92114075057E11</v>
      </c>
      <c r="B947" s="131" t="s">
        <v>1293</v>
      </c>
      <c r="C947" s="95" t="s">
        <v>97</v>
      </c>
      <c r="D947" s="95">
        <v>1.0</v>
      </c>
      <c r="E947" s="101">
        <v>109.0</v>
      </c>
      <c r="F947" s="101">
        <f t="shared" si="152"/>
        <v>109</v>
      </c>
      <c r="G947" s="101">
        <f t="shared" si="153"/>
        <v>27.25</v>
      </c>
      <c r="H947" s="95" t="s">
        <v>341</v>
      </c>
      <c r="J947" s="120" t="s">
        <v>1276</v>
      </c>
      <c r="K947" s="99"/>
      <c r="L947" s="50"/>
      <c r="M947" s="50"/>
      <c r="P947" s="68"/>
    </row>
    <row r="948">
      <c r="A948" s="95">
        <v>1.92114075095E11</v>
      </c>
      <c r="B948" s="131" t="s">
        <v>1294</v>
      </c>
      <c r="C948" s="95" t="s">
        <v>97</v>
      </c>
      <c r="D948" s="95">
        <v>1.0</v>
      </c>
      <c r="E948" s="101">
        <v>109.0</v>
      </c>
      <c r="F948" s="101">
        <f t="shared" si="152"/>
        <v>109</v>
      </c>
      <c r="G948" s="101">
        <f t="shared" si="153"/>
        <v>27.25</v>
      </c>
      <c r="H948" s="95" t="s">
        <v>1279</v>
      </c>
      <c r="J948" s="120" t="s">
        <v>1276</v>
      </c>
      <c r="K948" s="99"/>
      <c r="L948" s="50"/>
      <c r="M948" s="50"/>
      <c r="P948" s="68"/>
    </row>
    <row r="949">
      <c r="A949" s="95">
        <v>1.92114080938E11</v>
      </c>
      <c r="B949" s="131" t="s">
        <v>1295</v>
      </c>
      <c r="C949" s="95" t="s">
        <v>97</v>
      </c>
      <c r="D949" s="95">
        <v>1.0</v>
      </c>
      <c r="E949" s="101">
        <v>119.0</v>
      </c>
      <c r="F949" s="101">
        <f t="shared" si="152"/>
        <v>119</v>
      </c>
      <c r="G949" s="101">
        <f t="shared" si="153"/>
        <v>29.75</v>
      </c>
      <c r="H949" s="95" t="s">
        <v>341</v>
      </c>
      <c r="J949" s="120" t="s">
        <v>1276</v>
      </c>
      <c r="K949" s="99"/>
      <c r="L949" s="50"/>
      <c r="M949" s="50"/>
      <c r="P949" s="68"/>
    </row>
    <row r="950">
      <c r="A950" s="95">
        <v>1.92114124038E11</v>
      </c>
      <c r="B950" s="131" t="s">
        <v>1296</v>
      </c>
      <c r="C950" s="95" t="s">
        <v>97</v>
      </c>
      <c r="D950" s="95">
        <v>1.0</v>
      </c>
      <c r="E950" s="101">
        <v>119.0</v>
      </c>
      <c r="F950" s="101">
        <f t="shared" si="152"/>
        <v>119</v>
      </c>
      <c r="G950" s="101">
        <f t="shared" si="153"/>
        <v>29.75</v>
      </c>
      <c r="H950" s="95" t="s">
        <v>1279</v>
      </c>
      <c r="J950" s="120" t="s">
        <v>1276</v>
      </c>
      <c r="K950" s="99"/>
      <c r="L950" s="50"/>
      <c r="M950" s="50"/>
      <c r="P950" s="68"/>
    </row>
    <row r="951">
      <c r="A951" s="95">
        <v>1.92114124045E11</v>
      </c>
      <c r="B951" s="131" t="s">
        <v>1297</v>
      </c>
      <c r="C951" s="95" t="s">
        <v>97</v>
      </c>
      <c r="D951" s="95">
        <v>2.0</v>
      </c>
      <c r="E951" s="101">
        <v>119.0</v>
      </c>
      <c r="F951" s="101">
        <f t="shared" si="152"/>
        <v>238</v>
      </c>
      <c r="G951" s="101">
        <f t="shared" si="153"/>
        <v>59.5</v>
      </c>
      <c r="H951" s="95" t="s">
        <v>1279</v>
      </c>
      <c r="J951" s="120" t="s">
        <v>1276</v>
      </c>
      <c r="K951" s="99"/>
      <c r="L951" s="50"/>
      <c r="M951" s="50"/>
      <c r="P951" s="68"/>
    </row>
    <row r="952">
      <c r="A952" s="95">
        <v>1.92114124052E11</v>
      </c>
      <c r="B952" s="131" t="s">
        <v>1298</v>
      </c>
      <c r="C952" s="95" t="s">
        <v>97</v>
      </c>
      <c r="D952" s="95">
        <v>2.0</v>
      </c>
      <c r="E952" s="101">
        <v>119.0</v>
      </c>
      <c r="F952" s="101">
        <f t="shared" si="152"/>
        <v>238</v>
      </c>
      <c r="G952" s="101">
        <f t="shared" si="153"/>
        <v>59.5</v>
      </c>
      <c r="H952" s="95" t="s">
        <v>1279</v>
      </c>
      <c r="J952" s="120" t="s">
        <v>1276</v>
      </c>
      <c r="K952" s="99"/>
      <c r="L952" s="50"/>
      <c r="M952" s="50"/>
      <c r="P952" s="68"/>
    </row>
    <row r="953">
      <c r="A953" s="95">
        <v>1.92114133801E11</v>
      </c>
      <c r="B953" s="131" t="s">
        <v>1299</v>
      </c>
      <c r="C953" s="95" t="s">
        <v>97</v>
      </c>
      <c r="D953" s="95">
        <v>1.0</v>
      </c>
      <c r="E953" s="101">
        <v>119.0</v>
      </c>
      <c r="F953" s="101">
        <f t="shared" si="152"/>
        <v>119</v>
      </c>
      <c r="G953" s="101">
        <f t="shared" si="153"/>
        <v>29.75</v>
      </c>
      <c r="H953" s="95" t="s">
        <v>341</v>
      </c>
      <c r="J953" s="120" t="s">
        <v>1276</v>
      </c>
      <c r="K953" s="99"/>
      <c r="L953" s="50"/>
      <c r="M953" s="50"/>
      <c r="P953" s="68"/>
    </row>
    <row r="954">
      <c r="A954" s="95">
        <v>1.92114338275E11</v>
      </c>
      <c r="B954" s="131" t="s">
        <v>1300</v>
      </c>
      <c r="C954" s="95" t="s">
        <v>97</v>
      </c>
      <c r="D954" s="95">
        <v>1.0</v>
      </c>
      <c r="E954" s="101">
        <v>39.5</v>
      </c>
      <c r="F954" s="101">
        <f t="shared" si="152"/>
        <v>39.5</v>
      </c>
      <c r="G954" s="101">
        <f t="shared" si="153"/>
        <v>9.875</v>
      </c>
      <c r="H954" s="95" t="s">
        <v>341</v>
      </c>
      <c r="J954" s="120" t="s">
        <v>1276</v>
      </c>
      <c r="K954" s="99"/>
      <c r="L954" s="50"/>
      <c r="M954" s="50"/>
      <c r="P954" s="68"/>
    </row>
    <row r="955">
      <c r="A955" s="95">
        <v>1.92114338282E11</v>
      </c>
      <c r="B955" s="131" t="s">
        <v>1301</v>
      </c>
      <c r="C955" s="95" t="s">
        <v>97</v>
      </c>
      <c r="D955" s="95">
        <v>1.0</v>
      </c>
      <c r="E955" s="101">
        <v>39.5</v>
      </c>
      <c r="F955" s="101">
        <f t="shared" si="152"/>
        <v>39.5</v>
      </c>
      <c r="G955" s="101">
        <f t="shared" si="153"/>
        <v>9.875</v>
      </c>
      <c r="H955" s="95" t="s">
        <v>341</v>
      </c>
      <c r="J955" s="120" t="s">
        <v>1276</v>
      </c>
      <c r="K955" s="99"/>
      <c r="L955" s="50"/>
      <c r="M955" s="50"/>
      <c r="P955" s="68"/>
    </row>
    <row r="956">
      <c r="A956" s="95">
        <v>1.92114443399E11</v>
      </c>
      <c r="B956" s="131" t="s">
        <v>1302</v>
      </c>
      <c r="C956" s="95" t="s">
        <v>97</v>
      </c>
      <c r="D956" s="95">
        <v>1.0</v>
      </c>
      <c r="E956" s="101">
        <v>54.0</v>
      </c>
      <c r="F956" s="101">
        <f t="shared" si="152"/>
        <v>54</v>
      </c>
      <c r="G956" s="101">
        <f t="shared" si="153"/>
        <v>13.5</v>
      </c>
      <c r="H956" s="95" t="s">
        <v>341</v>
      </c>
      <c r="J956" s="120" t="s">
        <v>1276</v>
      </c>
      <c r="K956" s="99"/>
      <c r="L956" s="50"/>
      <c r="M956" s="50"/>
      <c r="P956" s="68"/>
    </row>
    <row r="957">
      <c r="A957" s="95">
        <v>1.92114562489E11</v>
      </c>
      <c r="B957" s="131" t="s">
        <v>1303</v>
      </c>
      <c r="C957" s="95" t="s">
        <v>97</v>
      </c>
      <c r="D957" s="95">
        <v>1.0</v>
      </c>
      <c r="E957" s="101">
        <v>99.5</v>
      </c>
      <c r="F957" s="101">
        <f t="shared" si="152"/>
        <v>99.5</v>
      </c>
      <c r="G957" s="101">
        <f t="shared" si="153"/>
        <v>24.875</v>
      </c>
      <c r="H957" s="95" t="s">
        <v>341</v>
      </c>
      <c r="J957" s="120" t="s">
        <v>1276</v>
      </c>
      <c r="K957" s="99"/>
      <c r="L957" s="50"/>
      <c r="M957" s="50"/>
      <c r="P957" s="68"/>
    </row>
    <row r="958">
      <c r="A958" s="95">
        <v>1.92114635305E11</v>
      </c>
      <c r="B958" s="131" t="s">
        <v>1304</v>
      </c>
      <c r="C958" s="95" t="s">
        <v>97</v>
      </c>
      <c r="D958" s="95">
        <v>1.0</v>
      </c>
      <c r="E958" s="101">
        <v>39.5</v>
      </c>
      <c r="F958" s="101">
        <f t="shared" si="152"/>
        <v>39.5</v>
      </c>
      <c r="G958" s="101">
        <f t="shared" si="153"/>
        <v>9.875</v>
      </c>
      <c r="H958" s="95" t="s">
        <v>341</v>
      </c>
      <c r="J958" s="120" t="s">
        <v>1276</v>
      </c>
      <c r="K958" s="99"/>
      <c r="L958" s="50"/>
      <c r="M958" s="50"/>
      <c r="P958" s="68"/>
    </row>
    <row r="959">
      <c r="A959" s="95">
        <v>1.92114640262E11</v>
      </c>
      <c r="B959" s="131" t="s">
        <v>1305</v>
      </c>
      <c r="C959" s="95" t="s">
        <v>97</v>
      </c>
      <c r="D959" s="95">
        <v>1.0</v>
      </c>
      <c r="E959" s="101">
        <v>24.5</v>
      </c>
      <c r="F959" s="101">
        <f t="shared" si="152"/>
        <v>24.5</v>
      </c>
      <c r="G959" s="101">
        <f t="shared" si="153"/>
        <v>6.125</v>
      </c>
      <c r="H959" s="95" t="s">
        <v>341</v>
      </c>
      <c r="J959" s="120" t="s">
        <v>1276</v>
      </c>
      <c r="K959" s="99"/>
      <c r="L959" s="50"/>
      <c r="M959" s="50"/>
      <c r="P959" s="68"/>
    </row>
    <row r="960">
      <c r="A960" s="95">
        <v>1.92114640279E11</v>
      </c>
      <c r="B960" s="131" t="s">
        <v>1306</v>
      </c>
      <c r="C960" s="95" t="s">
        <v>97</v>
      </c>
      <c r="D960" s="95">
        <v>1.0</v>
      </c>
      <c r="E960" s="101">
        <v>24.5</v>
      </c>
      <c r="F960" s="101">
        <f t="shared" si="152"/>
        <v>24.5</v>
      </c>
      <c r="G960" s="101">
        <f t="shared" si="153"/>
        <v>6.125</v>
      </c>
      <c r="H960" s="95" t="s">
        <v>341</v>
      </c>
      <c r="J960" s="120" t="s">
        <v>1276</v>
      </c>
      <c r="K960" s="99"/>
      <c r="L960" s="50"/>
      <c r="M960" s="50"/>
      <c r="P960" s="68"/>
    </row>
    <row r="961">
      <c r="A961" s="95">
        <v>1.92114944421E11</v>
      </c>
      <c r="B961" s="131" t="s">
        <v>1307</v>
      </c>
      <c r="C961" s="95" t="s">
        <v>97</v>
      </c>
      <c r="D961" s="95">
        <v>1.0</v>
      </c>
      <c r="E961" s="101">
        <v>24.5</v>
      </c>
      <c r="F961" s="101">
        <f t="shared" si="152"/>
        <v>24.5</v>
      </c>
      <c r="G961" s="101">
        <f t="shared" si="153"/>
        <v>6.125</v>
      </c>
      <c r="H961" s="95" t="s">
        <v>341</v>
      </c>
      <c r="J961" s="120" t="s">
        <v>1276</v>
      </c>
      <c r="K961" s="99"/>
      <c r="L961" s="50"/>
      <c r="M961" s="50"/>
      <c r="P961" s="68"/>
    </row>
    <row r="962">
      <c r="A962" s="95">
        <v>1.92114944438E11</v>
      </c>
      <c r="B962" s="131" t="s">
        <v>1308</v>
      </c>
      <c r="C962" s="95" t="s">
        <v>97</v>
      </c>
      <c r="D962" s="95">
        <v>1.0</v>
      </c>
      <c r="E962" s="101">
        <v>24.5</v>
      </c>
      <c r="F962" s="101">
        <f t="shared" si="152"/>
        <v>24.5</v>
      </c>
      <c r="G962" s="101">
        <f t="shared" si="153"/>
        <v>6.125</v>
      </c>
      <c r="H962" s="95" t="s">
        <v>341</v>
      </c>
      <c r="J962" s="120" t="s">
        <v>1276</v>
      </c>
      <c r="K962" s="99"/>
      <c r="L962" s="50"/>
      <c r="M962" s="50"/>
      <c r="P962" s="68"/>
    </row>
    <row r="963">
      <c r="A963" s="95">
        <v>1.92114944445E11</v>
      </c>
      <c r="B963" s="131" t="s">
        <v>1309</v>
      </c>
      <c r="C963" s="95" t="s">
        <v>97</v>
      </c>
      <c r="D963" s="95">
        <v>1.0</v>
      </c>
      <c r="E963" s="101">
        <v>24.5</v>
      </c>
      <c r="F963" s="101">
        <f t="shared" si="152"/>
        <v>24.5</v>
      </c>
      <c r="G963" s="101">
        <f t="shared" si="153"/>
        <v>6.125</v>
      </c>
      <c r="H963" s="95" t="s">
        <v>341</v>
      </c>
      <c r="J963" s="120" t="s">
        <v>1276</v>
      </c>
      <c r="K963" s="99"/>
      <c r="L963" s="50"/>
      <c r="M963" s="50"/>
      <c r="P963" s="68"/>
    </row>
    <row r="964">
      <c r="A964" s="95">
        <v>1.92114992071E11</v>
      </c>
      <c r="B964" s="131" t="s">
        <v>1310</v>
      </c>
      <c r="C964" s="95" t="s">
        <v>97</v>
      </c>
      <c r="D964" s="95">
        <v>1.0</v>
      </c>
      <c r="E964" s="101">
        <v>49.0</v>
      </c>
      <c r="F964" s="101">
        <f t="shared" si="152"/>
        <v>49</v>
      </c>
      <c r="G964" s="101">
        <f t="shared" si="153"/>
        <v>12.25</v>
      </c>
      <c r="H964" s="95" t="s">
        <v>1279</v>
      </c>
      <c r="J964" s="120" t="s">
        <v>1276</v>
      </c>
      <c r="K964" s="99"/>
      <c r="L964" s="50"/>
      <c r="M964" s="50"/>
      <c r="P964" s="68"/>
    </row>
    <row r="965">
      <c r="A965" s="95">
        <v>1.9510585824E11</v>
      </c>
      <c r="B965" s="131" t="s">
        <v>1311</v>
      </c>
      <c r="C965" s="95" t="s">
        <v>97</v>
      </c>
      <c r="D965" s="95">
        <v>1.0</v>
      </c>
      <c r="E965" s="101">
        <v>99.0</v>
      </c>
      <c r="F965" s="101">
        <f t="shared" si="152"/>
        <v>99</v>
      </c>
      <c r="G965" s="101">
        <f t="shared" si="153"/>
        <v>24.75</v>
      </c>
      <c r="H965" s="95" t="s">
        <v>345</v>
      </c>
      <c r="J965" s="120" t="s">
        <v>1276</v>
      </c>
      <c r="K965" s="99"/>
      <c r="L965" s="50"/>
      <c r="M965" s="50"/>
      <c r="P965" s="68"/>
    </row>
    <row r="966">
      <c r="A966" s="95">
        <v>1.95105861493E11</v>
      </c>
      <c r="B966" s="131" t="s">
        <v>1312</v>
      </c>
      <c r="C966" s="95" t="s">
        <v>97</v>
      </c>
      <c r="D966" s="95">
        <v>1.0</v>
      </c>
      <c r="E966" s="101">
        <v>134.0</v>
      </c>
      <c r="F966" s="101">
        <f t="shared" si="152"/>
        <v>134</v>
      </c>
      <c r="G966" s="101">
        <f t="shared" si="153"/>
        <v>33.5</v>
      </c>
      <c r="H966" s="95" t="s">
        <v>341</v>
      </c>
      <c r="J966" s="120" t="s">
        <v>1276</v>
      </c>
      <c r="K966" s="99"/>
      <c r="L966" s="50"/>
      <c r="M966" s="50"/>
      <c r="P966" s="68"/>
    </row>
    <row r="967">
      <c r="A967" s="95">
        <v>1.95105861509E11</v>
      </c>
      <c r="B967" s="131" t="s">
        <v>1313</v>
      </c>
      <c r="C967" s="95" t="s">
        <v>97</v>
      </c>
      <c r="D967" s="95">
        <v>1.0</v>
      </c>
      <c r="E967" s="101">
        <v>134.0</v>
      </c>
      <c r="F967" s="101">
        <f t="shared" si="152"/>
        <v>134</v>
      </c>
      <c r="G967" s="101">
        <f t="shared" si="153"/>
        <v>33.5</v>
      </c>
      <c r="H967" s="95" t="s">
        <v>341</v>
      </c>
      <c r="J967" s="120" t="s">
        <v>1276</v>
      </c>
      <c r="K967" s="99"/>
      <c r="L967" s="50"/>
      <c r="M967" s="50"/>
      <c r="P967" s="68"/>
    </row>
    <row r="968">
      <c r="A968" s="95">
        <v>1.95105863329E11</v>
      </c>
      <c r="B968" s="131" t="s">
        <v>1314</v>
      </c>
      <c r="C968" s="95" t="s">
        <v>97</v>
      </c>
      <c r="D968" s="95">
        <v>1.0</v>
      </c>
      <c r="E968" s="101">
        <v>139.0</v>
      </c>
      <c r="F968" s="101">
        <f t="shared" si="152"/>
        <v>139</v>
      </c>
      <c r="G968" s="101">
        <f t="shared" si="153"/>
        <v>34.75</v>
      </c>
      <c r="H968" s="95" t="s">
        <v>341</v>
      </c>
      <c r="J968" s="120" t="s">
        <v>1276</v>
      </c>
      <c r="K968" s="99"/>
      <c r="L968" s="50"/>
      <c r="M968" s="50"/>
      <c r="P968" s="68"/>
    </row>
    <row r="969">
      <c r="A969" s="95">
        <v>1.95105920824E11</v>
      </c>
      <c r="B969" s="131" t="s">
        <v>1315</v>
      </c>
      <c r="C969" s="95" t="s">
        <v>97</v>
      </c>
      <c r="D969" s="95">
        <v>1.0</v>
      </c>
      <c r="E969" s="101">
        <v>104.0</v>
      </c>
      <c r="F969" s="101">
        <f t="shared" si="152"/>
        <v>104</v>
      </c>
      <c r="G969" s="101">
        <f t="shared" si="153"/>
        <v>26</v>
      </c>
      <c r="H969" s="95" t="s">
        <v>341</v>
      </c>
      <c r="J969" s="120" t="s">
        <v>1276</v>
      </c>
      <c r="K969" s="99"/>
      <c r="L969" s="50"/>
      <c r="M969" s="50"/>
      <c r="P969" s="68"/>
    </row>
    <row r="970">
      <c r="A970" s="95">
        <v>1.95105927076E11</v>
      </c>
      <c r="B970" s="131" t="s">
        <v>1316</v>
      </c>
      <c r="C970" s="95" t="s">
        <v>97</v>
      </c>
      <c r="D970" s="95">
        <v>1.0</v>
      </c>
      <c r="E970" s="101">
        <v>99.0</v>
      </c>
      <c r="F970" s="101">
        <f t="shared" si="152"/>
        <v>99</v>
      </c>
      <c r="G970" s="101">
        <f t="shared" si="153"/>
        <v>24.75</v>
      </c>
      <c r="H970" s="95" t="s">
        <v>341</v>
      </c>
      <c r="J970" s="120" t="s">
        <v>1276</v>
      </c>
      <c r="K970" s="99"/>
      <c r="L970" s="50"/>
      <c r="M970" s="50"/>
      <c r="P970" s="68"/>
    </row>
    <row r="971">
      <c r="A971" s="95">
        <v>1.95105950319E11</v>
      </c>
      <c r="B971" s="131" t="s">
        <v>1317</v>
      </c>
      <c r="C971" s="95" t="s">
        <v>97</v>
      </c>
      <c r="D971" s="95">
        <v>1.0</v>
      </c>
      <c r="E971" s="101">
        <v>129.0</v>
      </c>
      <c r="F971" s="101">
        <f t="shared" si="152"/>
        <v>129</v>
      </c>
      <c r="G971" s="101">
        <f t="shared" si="153"/>
        <v>32.25</v>
      </c>
      <c r="H971" s="95" t="s">
        <v>341</v>
      </c>
      <c r="J971" s="120" t="s">
        <v>1276</v>
      </c>
      <c r="K971" s="99"/>
      <c r="L971" s="50"/>
      <c r="M971" s="50"/>
      <c r="P971" s="68"/>
    </row>
    <row r="972">
      <c r="A972" s="102" t="s">
        <v>1318</v>
      </c>
      <c r="B972" s="209" t="s">
        <v>1319</v>
      </c>
      <c r="C972" s="104"/>
      <c r="D972" s="104"/>
      <c r="E972" s="105"/>
      <c r="F972" s="106"/>
      <c r="G972" s="106"/>
      <c r="H972" s="107"/>
      <c r="J972" s="108"/>
      <c r="K972" s="99"/>
      <c r="L972" s="50"/>
      <c r="M972" s="50"/>
      <c r="P972" s="68"/>
    </row>
    <row r="973">
      <c r="A973" s="210">
        <v>1.90607373765E11</v>
      </c>
      <c r="B973" s="151" t="s">
        <v>1320</v>
      </c>
      <c r="C973" s="95" t="s">
        <v>97</v>
      </c>
      <c r="D973" s="95">
        <v>1.0</v>
      </c>
      <c r="E973" s="101">
        <v>24.5</v>
      </c>
      <c r="F973" s="101">
        <f t="shared" ref="F973:F975" si="154">E973*D973</f>
        <v>24.5</v>
      </c>
      <c r="G973" s="101">
        <f t="shared" ref="G973:G975" si="155">F973/4</f>
        <v>6.125</v>
      </c>
      <c r="H973" s="95" t="s">
        <v>341</v>
      </c>
      <c r="I973" s="70" t="s">
        <v>543</v>
      </c>
      <c r="J973" s="120" t="s">
        <v>1276</v>
      </c>
      <c r="K973" s="99"/>
      <c r="L973" s="50"/>
      <c r="M973" s="50"/>
      <c r="P973" s="68"/>
    </row>
    <row r="974">
      <c r="A974" s="210">
        <v>1.92114157524E11</v>
      </c>
      <c r="B974" s="151" t="s">
        <v>1321</v>
      </c>
      <c r="C974" s="95" t="s">
        <v>97</v>
      </c>
      <c r="D974" s="95">
        <v>1.0</v>
      </c>
      <c r="E974" s="101">
        <v>69.5</v>
      </c>
      <c r="F974" s="101">
        <f t="shared" si="154"/>
        <v>69.5</v>
      </c>
      <c r="G974" s="101">
        <f t="shared" si="155"/>
        <v>17.375</v>
      </c>
      <c r="H974" s="95" t="s">
        <v>341</v>
      </c>
      <c r="I974" s="70" t="s">
        <v>543</v>
      </c>
      <c r="J974" s="120" t="s">
        <v>1276</v>
      </c>
      <c r="K974" s="99"/>
      <c r="L974" s="50"/>
      <c r="M974" s="50"/>
      <c r="P974" s="68"/>
    </row>
    <row r="975">
      <c r="A975" s="210">
        <v>1.95105871546E11</v>
      </c>
      <c r="B975" s="151" t="s">
        <v>1322</v>
      </c>
      <c r="C975" s="95" t="s">
        <v>97</v>
      </c>
      <c r="D975" s="95">
        <v>1.0</v>
      </c>
      <c r="E975" s="101">
        <v>44.99</v>
      </c>
      <c r="F975" s="101">
        <f t="shared" si="154"/>
        <v>44.99</v>
      </c>
      <c r="G975" s="101">
        <f t="shared" si="155"/>
        <v>11.2475</v>
      </c>
      <c r="H975" s="95" t="s">
        <v>1275</v>
      </c>
      <c r="I975" s="70" t="s">
        <v>543</v>
      </c>
      <c r="J975" s="120" t="s">
        <v>1276</v>
      </c>
      <c r="K975" s="99"/>
      <c r="L975" s="50"/>
      <c r="M975" s="50"/>
      <c r="P975" s="68"/>
    </row>
    <row r="976">
      <c r="A976" s="111" t="s">
        <v>115</v>
      </c>
      <c r="B976" s="111" t="s">
        <v>1323</v>
      </c>
      <c r="C976" s="112" t="str">
        <f>MID($B976,6,7)</f>
        <v>mm18853</v>
      </c>
      <c r="D976" s="111"/>
      <c r="E976" s="111"/>
      <c r="F976" s="111"/>
      <c r="G976" s="111"/>
      <c r="H976" s="113">
        <v>44559.0</v>
      </c>
      <c r="J976" s="108" t="str">
        <f>IF(LEFT(B976,3)="Box","BOX","COUNT")</f>
        <v>BOX</v>
      </c>
      <c r="K976" s="99">
        <f>SUMIF($J$4:$J$8712,$C976,$D$4:$D$8712)</f>
        <v>46</v>
      </c>
      <c r="L976" s="50">
        <f>SUMIF($J$4:$J$8712,$C976,$F$4:$F$8712)</f>
        <v>4142.48</v>
      </c>
      <c r="M976" s="50">
        <f>SUMIF($J$4:$J$8712,$C976,$G$4:$G$8712)</f>
        <v>1035.62</v>
      </c>
      <c r="N976" s="70" t="str">
        <f>C976</f>
        <v>mm18853</v>
      </c>
      <c r="O976" s="70" t="str">
        <f>J977</f>
        <v>SHIP</v>
      </c>
      <c r="P976" s="68">
        <f>M976</f>
        <v>1035.62</v>
      </c>
      <c r="Q976" s="168">
        <v>44407.0</v>
      </c>
      <c r="R976" s="37" t="s">
        <v>1324</v>
      </c>
      <c r="S976" s="37" t="s">
        <v>1325</v>
      </c>
    </row>
    <row r="977">
      <c r="A977" s="211"/>
      <c r="B977" s="111" t="s">
        <v>1326</v>
      </c>
      <c r="C977" s="109"/>
      <c r="D977" s="109"/>
      <c r="E977" s="116"/>
      <c r="F977" s="116"/>
      <c r="G977" s="116"/>
      <c r="H977" s="109"/>
      <c r="J977" s="108" t="str">
        <f>IF(B977="","NSHIP","SHIP")</f>
        <v>SHIP</v>
      </c>
      <c r="K977" s="99">
        <f>IF($J977="NSHIP",0,-SUMIF($J$4:$J$8712,$C976,$D$4:$D$8712))</f>
        <v>-46</v>
      </c>
      <c r="L977" s="50">
        <f>IF($J977="NSHIP",0,-SUMIF($J$4:$J$8710,$C976,$F$4:$F$8710))</f>
        <v>-4142.48</v>
      </c>
      <c r="M977" s="50">
        <f>IF($J977="NSHIP",0,-SUMIF($J$4:$J$8710,$C976,$G$4:$G$8710))</f>
        <v>-1035.62</v>
      </c>
      <c r="P977" s="68"/>
    </row>
    <row r="978">
      <c r="A978" s="181">
        <v>1.90607396375E11</v>
      </c>
      <c r="B978" s="100" t="s">
        <v>1327</v>
      </c>
      <c r="C978" s="118" t="s">
        <v>97</v>
      </c>
      <c r="D978" s="100">
        <v>1.0</v>
      </c>
      <c r="E978" s="119">
        <v>99.0</v>
      </c>
      <c r="F978" s="119">
        <f t="shared" ref="F978:F1012" si="156">E978*D978</f>
        <v>99</v>
      </c>
      <c r="G978" s="119">
        <f t="shared" ref="G978:G1012" si="157">F978/4</f>
        <v>24.75</v>
      </c>
      <c r="H978" s="100" t="s">
        <v>341</v>
      </c>
      <c r="I978" s="1"/>
      <c r="J978" s="120" t="s">
        <v>1328</v>
      </c>
      <c r="K978" s="99"/>
      <c r="L978" s="50"/>
      <c r="M978" s="50"/>
      <c r="P978" s="68"/>
    </row>
    <row r="979">
      <c r="A979" s="181">
        <v>1.90607396382E11</v>
      </c>
      <c r="B979" s="100" t="s">
        <v>1278</v>
      </c>
      <c r="C979" s="118" t="s">
        <v>97</v>
      </c>
      <c r="D979" s="100">
        <v>1.0</v>
      </c>
      <c r="E979" s="119">
        <v>99.0</v>
      </c>
      <c r="F979" s="119">
        <f t="shared" si="156"/>
        <v>99</v>
      </c>
      <c r="G979" s="119">
        <f t="shared" si="157"/>
        <v>24.75</v>
      </c>
      <c r="H979" s="100" t="s">
        <v>1279</v>
      </c>
      <c r="I979" s="1"/>
      <c r="J979" s="120" t="s">
        <v>1328</v>
      </c>
      <c r="K979" s="99"/>
      <c r="L979" s="50"/>
      <c r="M979" s="50"/>
      <c r="P979" s="68"/>
    </row>
    <row r="980">
      <c r="A980" s="181">
        <v>1.90607885602E11</v>
      </c>
      <c r="B980" s="100" t="s">
        <v>1329</v>
      </c>
      <c r="C980" s="118" t="s">
        <v>97</v>
      </c>
      <c r="D980" s="100">
        <v>1.0</v>
      </c>
      <c r="E980" s="119">
        <v>24.5</v>
      </c>
      <c r="F980" s="119">
        <f t="shared" si="156"/>
        <v>24.5</v>
      </c>
      <c r="G980" s="119">
        <f t="shared" si="157"/>
        <v>6.125</v>
      </c>
      <c r="H980" s="100" t="s">
        <v>341</v>
      </c>
      <c r="I980" s="1"/>
      <c r="J980" s="120" t="s">
        <v>1328</v>
      </c>
      <c r="K980" s="99"/>
      <c r="L980" s="50"/>
      <c r="M980" s="50"/>
      <c r="P980" s="68"/>
    </row>
    <row r="981">
      <c r="A981" s="181">
        <v>1.90607885633E11</v>
      </c>
      <c r="B981" s="100" t="s">
        <v>1282</v>
      </c>
      <c r="C981" s="118" t="s">
        <v>97</v>
      </c>
      <c r="D981" s="100">
        <v>1.0</v>
      </c>
      <c r="E981" s="119">
        <v>24.5</v>
      </c>
      <c r="F981" s="119">
        <f t="shared" si="156"/>
        <v>24.5</v>
      </c>
      <c r="G981" s="119">
        <f t="shared" si="157"/>
        <v>6.125</v>
      </c>
      <c r="H981" s="100" t="s">
        <v>341</v>
      </c>
      <c r="I981" s="1"/>
      <c r="J981" s="120" t="s">
        <v>1328</v>
      </c>
      <c r="K981" s="99"/>
      <c r="L981" s="50"/>
      <c r="M981" s="50"/>
      <c r="P981" s="68"/>
    </row>
    <row r="982">
      <c r="A982" s="181">
        <v>1.92114003586E11</v>
      </c>
      <c r="B982" s="100" t="s">
        <v>1330</v>
      </c>
      <c r="C982" s="118" t="s">
        <v>97</v>
      </c>
      <c r="D982" s="100">
        <v>1.0</v>
      </c>
      <c r="E982" s="119">
        <v>109.0</v>
      </c>
      <c r="F982" s="119">
        <f t="shared" si="156"/>
        <v>109</v>
      </c>
      <c r="G982" s="119">
        <f t="shared" si="157"/>
        <v>27.25</v>
      </c>
      <c r="H982" s="100" t="s">
        <v>1279</v>
      </c>
      <c r="I982" s="1"/>
      <c r="J982" s="120" t="s">
        <v>1328</v>
      </c>
      <c r="K982" s="99"/>
      <c r="L982" s="50"/>
      <c r="M982" s="50"/>
      <c r="P982" s="68"/>
    </row>
    <row r="983">
      <c r="A983" s="181">
        <v>1.92114005153E11</v>
      </c>
      <c r="B983" s="100" t="s">
        <v>1331</v>
      </c>
      <c r="C983" s="118" t="s">
        <v>97</v>
      </c>
      <c r="D983" s="100">
        <v>1.0</v>
      </c>
      <c r="E983" s="119">
        <v>119.0</v>
      </c>
      <c r="F983" s="119">
        <f t="shared" si="156"/>
        <v>119</v>
      </c>
      <c r="G983" s="119">
        <f t="shared" si="157"/>
        <v>29.75</v>
      </c>
      <c r="H983" s="100" t="s">
        <v>1279</v>
      </c>
      <c r="I983" s="1"/>
      <c r="J983" s="120" t="s">
        <v>1328</v>
      </c>
      <c r="K983" s="99"/>
      <c r="L983" s="50"/>
      <c r="M983" s="50"/>
      <c r="P983" s="68"/>
    </row>
    <row r="984">
      <c r="A984" s="181">
        <v>1.9211400516E11</v>
      </c>
      <c r="B984" s="100" t="s">
        <v>1332</v>
      </c>
      <c r="C984" s="118" t="s">
        <v>97</v>
      </c>
      <c r="D984" s="100">
        <v>1.0</v>
      </c>
      <c r="E984" s="119">
        <v>119.0</v>
      </c>
      <c r="F984" s="119">
        <f t="shared" si="156"/>
        <v>119</v>
      </c>
      <c r="G984" s="119">
        <f t="shared" si="157"/>
        <v>29.75</v>
      </c>
      <c r="H984" s="100" t="s">
        <v>1279</v>
      </c>
      <c r="I984" s="1"/>
      <c r="J984" s="120" t="s">
        <v>1328</v>
      </c>
      <c r="K984" s="99"/>
      <c r="L984" s="50"/>
      <c r="M984" s="50"/>
      <c r="P984" s="68"/>
    </row>
    <row r="985">
      <c r="A985" s="181">
        <v>1.92114005177E11</v>
      </c>
      <c r="B985" s="100" t="s">
        <v>1290</v>
      </c>
      <c r="C985" s="118" t="s">
        <v>97</v>
      </c>
      <c r="D985" s="100">
        <v>1.0</v>
      </c>
      <c r="E985" s="119">
        <v>119.0</v>
      </c>
      <c r="F985" s="119">
        <f t="shared" si="156"/>
        <v>119</v>
      </c>
      <c r="G985" s="119">
        <f t="shared" si="157"/>
        <v>29.75</v>
      </c>
      <c r="H985" s="100" t="s">
        <v>1279</v>
      </c>
      <c r="I985" s="1"/>
      <c r="J985" s="120" t="s">
        <v>1328</v>
      </c>
      <c r="K985" s="99"/>
      <c r="L985" s="50"/>
      <c r="M985" s="50"/>
      <c r="P985" s="68"/>
    </row>
    <row r="986">
      <c r="A986" s="181">
        <v>1.92114005184E11</v>
      </c>
      <c r="B986" s="100" t="s">
        <v>1333</v>
      </c>
      <c r="C986" s="118" t="s">
        <v>97</v>
      </c>
      <c r="D986" s="100">
        <v>1.0</v>
      </c>
      <c r="E986" s="119">
        <v>119.0</v>
      </c>
      <c r="F986" s="119">
        <f t="shared" si="156"/>
        <v>119</v>
      </c>
      <c r="G986" s="119">
        <f t="shared" si="157"/>
        <v>29.75</v>
      </c>
      <c r="H986" s="100" t="s">
        <v>1279</v>
      </c>
      <c r="I986" s="1"/>
      <c r="J986" s="120" t="s">
        <v>1328</v>
      </c>
      <c r="K986" s="99"/>
      <c r="L986" s="50"/>
      <c r="M986" s="50"/>
      <c r="P986" s="68"/>
    </row>
    <row r="987">
      <c r="A987" s="181">
        <v>1.92114005214E11</v>
      </c>
      <c r="B987" s="100" t="s">
        <v>1334</v>
      </c>
      <c r="C987" s="118" t="s">
        <v>97</v>
      </c>
      <c r="D987" s="100">
        <v>1.0</v>
      </c>
      <c r="E987" s="119">
        <v>119.0</v>
      </c>
      <c r="F987" s="119">
        <f t="shared" si="156"/>
        <v>119</v>
      </c>
      <c r="G987" s="119">
        <f t="shared" si="157"/>
        <v>29.75</v>
      </c>
      <c r="H987" s="100" t="s">
        <v>1279</v>
      </c>
      <c r="I987" s="1"/>
      <c r="J987" s="120" t="s">
        <v>1328</v>
      </c>
      <c r="K987" s="99"/>
      <c r="L987" s="50"/>
      <c r="M987" s="50"/>
      <c r="P987" s="68"/>
    </row>
    <row r="988">
      <c r="A988" s="181">
        <v>1.9211400727E11</v>
      </c>
      <c r="B988" s="100" t="s">
        <v>1335</v>
      </c>
      <c r="C988" s="118" t="s">
        <v>97</v>
      </c>
      <c r="D988" s="100">
        <v>1.0</v>
      </c>
      <c r="E988" s="119">
        <v>144.0</v>
      </c>
      <c r="F988" s="119">
        <f t="shared" si="156"/>
        <v>144</v>
      </c>
      <c r="G988" s="119">
        <f t="shared" si="157"/>
        <v>36</v>
      </c>
      <c r="H988" s="100" t="s">
        <v>341</v>
      </c>
      <c r="I988" s="1"/>
      <c r="J988" s="120" t="s">
        <v>1328</v>
      </c>
      <c r="K988" s="99"/>
      <c r="L988" s="50"/>
      <c r="M988" s="50"/>
      <c r="P988" s="68"/>
    </row>
    <row r="989">
      <c r="A989" s="181">
        <v>1.92114012052E11</v>
      </c>
      <c r="B989" s="100" t="s">
        <v>1336</v>
      </c>
      <c r="C989" s="118" t="s">
        <v>97</v>
      </c>
      <c r="D989" s="100">
        <v>1.0</v>
      </c>
      <c r="E989" s="119">
        <v>69.0</v>
      </c>
      <c r="F989" s="119">
        <f t="shared" si="156"/>
        <v>69</v>
      </c>
      <c r="G989" s="119">
        <f t="shared" si="157"/>
        <v>17.25</v>
      </c>
      <c r="H989" s="100" t="s">
        <v>1337</v>
      </c>
      <c r="I989" s="1"/>
      <c r="J989" s="120" t="s">
        <v>1328</v>
      </c>
      <c r="K989" s="99"/>
      <c r="L989" s="50"/>
      <c r="M989" s="50"/>
      <c r="P989" s="68"/>
    </row>
    <row r="990">
      <c r="A990" s="181">
        <v>1.92114057732E11</v>
      </c>
      <c r="B990" s="100" t="s">
        <v>1338</v>
      </c>
      <c r="C990" s="118" t="s">
        <v>97</v>
      </c>
      <c r="D990" s="100">
        <v>1.0</v>
      </c>
      <c r="E990" s="119">
        <v>104.0</v>
      </c>
      <c r="F990" s="119">
        <f t="shared" si="156"/>
        <v>104</v>
      </c>
      <c r="G990" s="119">
        <f t="shared" si="157"/>
        <v>26</v>
      </c>
      <c r="H990" s="100" t="s">
        <v>341</v>
      </c>
      <c r="I990" s="1"/>
      <c r="J990" s="120" t="s">
        <v>1328</v>
      </c>
      <c r="K990" s="99"/>
      <c r="L990" s="50"/>
      <c r="M990" s="50"/>
      <c r="P990" s="68"/>
    </row>
    <row r="991">
      <c r="A991" s="181">
        <v>1.9211405777E11</v>
      </c>
      <c r="B991" s="100" t="s">
        <v>1339</v>
      </c>
      <c r="C991" s="118" t="s">
        <v>97</v>
      </c>
      <c r="D991" s="100">
        <v>1.0</v>
      </c>
      <c r="E991" s="119">
        <v>104.0</v>
      </c>
      <c r="F991" s="119">
        <f t="shared" si="156"/>
        <v>104</v>
      </c>
      <c r="G991" s="119">
        <f t="shared" si="157"/>
        <v>26</v>
      </c>
      <c r="H991" s="100" t="s">
        <v>1279</v>
      </c>
      <c r="I991" s="1"/>
      <c r="J991" s="120" t="s">
        <v>1328</v>
      </c>
      <c r="K991" s="99"/>
      <c r="L991" s="50"/>
      <c r="M991" s="50"/>
      <c r="P991" s="68"/>
    </row>
    <row r="992">
      <c r="A992" s="181">
        <v>1.92114057916E11</v>
      </c>
      <c r="B992" s="100" t="s">
        <v>1340</v>
      </c>
      <c r="C992" s="118" t="s">
        <v>97</v>
      </c>
      <c r="D992" s="100">
        <v>1.0</v>
      </c>
      <c r="E992" s="119">
        <v>99.0</v>
      </c>
      <c r="F992" s="119">
        <f t="shared" si="156"/>
        <v>99</v>
      </c>
      <c r="G992" s="119">
        <f t="shared" si="157"/>
        <v>24.75</v>
      </c>
      <c r="H992" s="100" t="s">
        <v>341</v>
      </c>
      <c r="I992" s="1"/>
      <c r="J992" s="120" t="s">
        <v>1328</v>
      </c>
      <c r="K992" s="99"/>
      <c r="L992" s="50"/>
      <c r="M992" s="50"/>
      <c r="P992" s="68"/>
    </row>
    <row r="993">
      <c r="A993" s="181">
        <v>1.92114069735E11</v>
      </c>
      <c r="B993" s="100" t="s">
        <v>1341</v>
      </c>
      <c r="C993" s="118" t="s">
        <v>97</v>
      </c>
      <c r="D993" s="100">
        <v>1.0</v>
      </c>
      <c r="E993" s="119">
        <v>114.0</v>
      </c>
      <c r="F993" s="119">
        <f t="shared" si="156"/>
        <v>114</v>
      </c>
      <c r="G993" s="119">
        <f t="shared" si="157"/>
        <v>28.5</v>
      </c>
      <c r="H993" s="100" t="s">
        <v>341</v>
      </c>
      <c r="I993" s="1"/>
      <c r="J993" s="120" t="s">
        <v>1328</v>
      </c>
      <c r="K993" s="99"/>
      <c r="L993" s="50"/>
      <c r="M993" s="50"/>
      <c r="P993" s="68"/>
    </row>
    <row r="994">
      <c r="A994" s="181">
        <v>1.92114074319E11</v>
      </c>
      <c r="B994" s="100" t="s">
        <v>1342</v>
      </c>
      <c r="C994" s="118" t="s">
        <v>97</v>
      </c>
      <c r="D994" s="100">
        <v>1.0</v>
      </c>
      <c r="E994" s="119">
        <v>134.0</v>
      </c>
      <c r="F994" s="119">
        <f t="shared" si="156"/>
        <v>134</v>
      </c>
      <c r="G994" s="119">
        <f t="shared" si="157"/>
        <v>33.5</v>
      </c>
      <c r="H994" s="100" t="s">
        <v>341</v>
      </c>
      <c r="I994" s="1"/>
      <c r="J994" s="120" t="s">
        <v>1328</v>
      </c>
      <c r="K994" s="99"/>
      <c r="L994" s="50"/>
      <c r="M994" s="50"/>
      <c r="P994" s="68"/>
    </row>
    <row r="995">
      <c r="A995" s="181">
        <v>1.92114121525E11</v>
      </c>
      <c r="B995" s="100" t="s">
        <v>1343</v>
      </c>
      <c r="C995" s="118" t="s">
        <v>97</v>
      </c>
      <c r="D995" s="100">
        <v>1.0</v>
      </c>
      <c r="E995" s="119">
        <v>99.0</v>
      </c>
      <c r="F995" s="119">
        <f t="shared" si="156"/>
        <v>99</v>
      </c>
      <c r="G995" s="119">
        <f t="shared" si="157"/>
        <v>24.75</v>
      </c>
      <c r="H995" s="100" t="s">
        <v>341</v>
      </c>
      <c r="I995" s="1"/>
      <c r="J995" s="120" t="s">
        <v>1328</v>
      </c>
      <c r="K995" s="99"/>
      <c r="L995" s="50"/>
      <c r="M995" s="50"/>
      <c r="P995" s="68"/>
    </row>
    <row r="996">
      <c r="A996" s="181">
        <v>1.92114124045E11</v>
      </c>
      <c r="B996" s="100" t="s">
        <v>1297</v>
      </c>
      <c r="C996" s="118" t="s">
        <v>97</v>
      </c>
      <c r="D996" s="100">
        <v>1.0</v>
      </c>
      <c r="E996" s="119">
        <v>119.0</v>
      </c>
      <c r="F996" s="119">
        <f t="shared" si="156"/>
        <v>119</v>
      </c>
      <c r="G996" s="119">
        <f t="shared" si="157"/>
        <v>29.75</v>
      </c>
      <c r="H996" s="100" t="s">
        <v>1279</v>
      </c>
      <c r="I996" s="1"/>
      <c r="J996" s="120" t="s">
        <v>1328</v>
      </c>
      <c r="K996" s="99"/>
      <c r="L996" s="50"/>
      <c r="M996" s="50"/>
      <c r="P996" s="68"/>
    </row>
    <row r="997">
      <c r="A997" s="181">
        <v>1.92114125158E11</v>
      </c>
      <c r="B997" s="100" t="s">
        <v>1344</v>
      </c>
      <c r="C997" s="118" t="s">
        <v>97</v>
      </c>
      <c r="D997" s="100">
        <v>1.0</v>
      </c>
      <c r="E997" s="119">
        <v>119.0</v>
      </c>
      <c r="F997" s="119">
        <f t="shared" si="156"/>
        <v>119</v>
      </c>
      <c r="G997" s="119">
        <f t="shared" si="157"/>
        <v>29.75</v>
      </c>
      <c r="H997" s="100" t="s">
        <v>341</v>
      </c>
      <c r="I997" s="1"/>
      <c r="J997" s="120" t="s">
        <v>1328</v>
      </c>
      <c r="K997" s="99"/>
      <c r="L997" s="50"/>
      <c r="M997" s="50"/>
      <c r="P997" s="68"/>
    </row>
    <row r="998">
      <c r="A998" s="181">
        <v>1.92114140083E11</v>
      </c>
      <c r="B998" s="100" t="s">
        <v>1345</v>
      </c>
      <c r="C998" s="118" t="s">
        <v>97</v>
      </c>
      <c r="D998" s="100">
        <v>1.0</v>
      </c>
      <c r="E998" s="119">
        <v>36.75</v>
      </c>
      <c r="F998" s="119">
        <f t="shared" si="156"/>
        <v>36.75</v>
      </c>
      <c r="G998" s="119">
        <f t="shared" si="157"/>
        <v>9.1875</v>
      </c>
      <c r="H998" s="100" t="s">
        <v>345</v>
      </c>
      <c r="I998" s="1"/>
      <c r="J998" s="120" t="s">
        <v>1328</v>
      </c>
      <c r="K998" s="99"/>
      <c r="L998" s="50"/>
      <c r="M998" s="50"/>
      <c r="P998" s="68"/>
    </row>
    <row r="999">
      <c r="A999" s="181">
        <v>1.92114334536E11</v>
      </c>
      <c r="B999" s="100" t="s">
        <v>1346</v>
      </c>
      <c r="C999" s="118" t="s">
        <v>97</v>
      </c>
      <c r="D999" s="100">
        <v>1.0</v>
      </c>
      <c r="E999" s="119">
        <v>69.5</v>
      </c>
      <c r="F999" s="119">
        <f t="shared" si="156"/>
        <v>69.5</v>
      </c>
      <c r="G999" s="119">
        <f t="shared" si="157"/>
        <v>17.375</v>
      </c>
      <c r="H999" s="100" t="s">
        <v>341</v>
      </c>
      <c r="I999" s="1"/>
      <c r="J999" s="120" t="s">
        <v>1328</v>
      </c>
      <c r="K999" s="99"/>
      <c r="L999" s="50"/>
      <c r="M999" s="50"/>
      <c r="P999" s="68"/>
    </row>
    <row r="1000">
      <c r="A1000" s="181">
        <v>1.92114380113E11</v>
      </c>
      <c r="B1000" s="100" t="s">
        <v>1347</v>
      </c>
      <c r="C1000" s="118" t="s">
        <v>97</v>
      </c>
      <c r="D1000" s="100">
        <v>1.0</v>
      </c>
      <c r="E1000" s="119">
        <v>139.0</v>
      </c>
      <c r="F1000" s="119">
        <f t="shared" si="156"/>
        <v>139</v>
      </c>
      <c r="G1000" s="119">
        <f t="shared" si="157"/>
        <v>34.75</v>
      </c>
      <c r="H1000" s="100" t="s">
        <v>341</v>
      </c>
      <c r="I1000" s="1"/>
      <c r="J1000" s="120" t="s">
        <v>1328</v>
      </c>
      <c r="K1000" s="99"/>
      <c r="L1000" s="50"/>
      <c r="M1000" s="50"/>
      <c r="P1000" s="68"/>
    </row>
    <row r="1001">
      <c r="A1001" s="181">
        <v>1.92114380151E11</v>
      </c>
      <c r="B1001" s="100" t="s">
        <v>1348</v>
      </c>
      <c r="C1001" s="118" t="s">
        <v>97</v>
      </c>
      <c r="D1001" s="100">
        <v>1.0</v>
      </c>
      <c r="E1001" s="119">
        <v>139.0</v>
      </c>
      <c r="F1001" s="119">
        <f t="shared" si="156"/>
        <v>139</v>
      </c>
      <c r="G1001" s="119">
        <f t="shared" si="157"/>
        <v>34.75</v>
      </c>
      <c r="H1001" s="100" t="s">
        <v>341</v>
      </c>
      <c r="I1001" s="1"/>
      <c r="J1001" s="120" t="s">
        <v>1328</v>
      </c>
      <c r="K1001" s="99"/>
      <c r="L1001" s="50"/>
      <c r="M1001" s="50"/>
      <c r="P1001" s="68"/>
    </row>
    <row r="1002">
      <c r="A1002" s="181">
        <v>1.92114700812E11</v>
      </c>
      <c r="B1002" s="100" t="s">
        <v>1349</v>
      </c>
      <c r="C1002" s="118" t="s">
        <v>97</v>
      </c>
      <c r="D1002" s="100">
        <v>1.0</v>
      </c>
      <c r="E1002" s="119">
        <v>99.0</v>
      </c>
      <c r="F1002" s="119">
        <f t="shared" si="156"/>
        <v>99</v>
      </c>
      <c r="G1002" s="119">
        <f t="shared" si="157"/>
        <v>24.75</v>
      </c>
      <c r="H1002" s="100" t="s">
        <v>341</v>
      </c>
      <c r="I1002" s="1"/>
      <c r="J1002" s="120" t="s">
        <v>1328</v>
      </c>
      <c r="K1002" s="99"/>
      <c r="L1002" s="50"/>
      <c r="M1002" s="50"/>
      <c r="P1002" s="68"/>
    </row>
    <row r="1003">
      <c r="A1003" s="181">
        <v>1.92114719524E11</v>
      </c>
      <c r="B1003" s="100" t="s">
        <v>1350</v>
      </c>
      <c r="C1003" s="118" t="s">
        <v>97</v>
      </c>
      <c r="D1003" s="100">
        <v>1.0</v>
      </c>
      <c r="E1003" s="119">
        <v>129.0</v>
      </c>
      <c r="F1003" s="119">
        <f t="shared" si="156"/>
        <v>129</v>
      </c>
      <c r="G1003" s="119">
        <f t="shared" si="157"/>
        <v>32.25</v>
      </c>
      <c r="H1003" s="100" t="s">
        <v>341</v>
      </c>
      <c r="I1003" s="1"/>
      <c r="J1003" s="120" t="s">
        <v>1328</v>
      </c>
      <c r="K1003" s="99"/>
      <c r="L1003" s="50"/>
      <c r="M1003" s="50"/>
      <c r="P1003" s="68"/>
    </row>
    <row r="1004">
      <c r="A1004" s="181">
        <v>1.95105858264E11</v>
      </c>
      <c r="B1004" s="100" t="s">
        <v>1351</v>
      </c>
      <c r="C1004" s="118" t="s">
        <v>97</v>
      </c>
      <c r="D1004" s="100">
        <v>1.0</v>
      </c>
      <c r="E1004" s="119">
        <v>99.0</v>
      </c>
      <c r="F1004" s="119">
        <f t="shared" si="156"/>
        <v>99</v>
      </c>
      <c r="G1004" s="119">
        <f t="shared" si="157"/>
        <v>24.75</v>
      </c>
      <c r="H1004" s="100" t="s">
        <v>345</v>
      </c>
      <c r="I1004" s="1"/>
      <c r="J1004" s="120" t="s">
        <v>1328</v>
      </c>
      <c r="K1004" s="99"/>
      <c r="L1004" s="50"/>
      <c r="M1004" s="50"/>
      <c r="P1004" s="68"/>
    </row>
    <row r="1005">
      <c r="A1005" s="181">
        <v>1.95105862827E11</v>
      </c>
      <c r="B1005" s="100" t="s">
        <v>1352</v>
      </c>
      <c r="C1005" s="118" t="s">
        <v>97</v>
      </c>
      <c r="D1005" s="100">
        <v>1.0</v>
      </c>
      <c r="E1005" s="119">
        <v>119.0</v>
      </c>
      <c r="F1005" s="119">
        <f t="shared" si="156"/>
        <v>119</v>
      </c>
      <c r="G1005" s="119">
        <f t="shared" si="157"/>
        <v>29.75</v>
      </c>
      <c r="H1005" s="100" t="s">
        <v>341</v>
      </c>
      <c r="I1005" s="1"/>
      <c r="J1005" s="120" t="s">
        <v>1328</v>
      </c>
      <c r="K1005" s="99"/>
      <c r="L1005" s="50"/>
      <c r="M1005" s="50"/>
      <c r="P1005" s="68"/>
    </row>
    <row r="1006">
      <c r="A1006" s="181">
        <v>1.95105862971E11</v>
      </c>
      <c r="B1006" s="100" t="s">
        <v>1353</v>
      </c>
      <c r="C1006" s="118" t="s">
        <v>97</v>
      </c>
      <c r="D1006" s="100">
        <v>1.0</v>
      </c>
      <c r="E1006" s="119">
        <v>129.0</v>
      </c>
      <c r="F1006" s="119">
        <f t="shared" si="156"/>
        <v>129</v>
      </c>
      <c r="G1006" s="119">
        <f t="shared" si="157"/>
        <v>32.25</v>
      </c>
      <c r="H1006" s="100" t="s">
        <v>341</v>
      </c>
      <c r="I1006" s="1"/>
      <c r="J1006" s="120" t="s">
        <v>1328</v>
      </c>
      <c r="K1006" s="99"/>
      <c r="L1006" s="50"/>
      <c r="M1006" s="50"/>
      <c r="P1006" s="68"/>
    </row>
    <row r="1007">
      <c r="A1007" s="181">
        <v>1.95105864371E11</v>
      </c>
      <c r="B1007" s="100" t="s">
        <v>358</v>
      </c>
      <c r="C1007" s="118" t="s">
        <v>97</v>
      </c>
      <c r="D1007" s="100">
        <v>1.0</v>
      </c>
      <c r="E1007" s="119">
        <v>129.0</v>
      </c>
      <c r="F1007" s="119">
        <f t="shared" si="156"/>
        <v>129</v>
      </c>
      <c r="G1007" s="119">
        <f t="shared" si="157"/>
        <v>32.25</v>
      </c>
      <c r="H1007" s="100" t="s">
        <v>341</v>
      </c>
      <c r="I1007" s="1"/>
      <c r="J1007" s="120" t="s">
        <v>1328</v>
      </c>
      <c r="K1007" s="99"/>
      <c r="L1007" s="50"/>
      <c r="M1007" s="50"/>
      <c r="P1007" s="68"/>
    </row>
    <row r="1008">
      <c r="A1008" s="181">
        <v>1.95105926703E11</v>
      </c>
      <c r="B1008" s="100" t="s">
        <v>1354</v>
      </c>
      <c r="C1008" s="118" t="s">
        <v>97</v>
      </c>
      <c r="D1008" s="100">
        <v>1.0</v>
      </c>
      <c r="E1008" s="119">
        <v>109.0</v>
      </c>
      <c r="F1008" s="119">
        <f t="shared" si="156"/>
        <v>109</v>
      </c>
      <c r="G1008" s="119">
        <f t="shared" si="157"/>
        <v>27.25</v>
      </c>
      <c r="H1008" s="100" t="s">
        <v>341</v>
      </c>
      <c r="I1008" s="1"/>
      <c r="J1008" s="120" t="s">
        <v>1328</v>
      </c>
      <c r="K1008" s="99"/>
      <c r="L1008" s="50"/>
      <c r="M1008" s="50"/>
      <c r="P1008" s="68"/>
    </row>
    <row r="1009">
      <c r="A1009" s="181">
        <v>1.95105950319E11</v>
      </c>
      <c r="B1009" s="100" t="s">
        <v>1317</v>
      </c>
      <c r="C1009" s="118" t="s">
        <v>97</v>
      </c>
      <c r="D1009" s="100">
        <v>1.0</v>
      </c>
      <c r="E1009" s="119">
        <v>129.0</v>
      </c>
      <c r="F1009" s="119">
        <f t="shared" si="156"/>
        <v>129</v>
      </c>
      <c r="G1009" s="119">
        <f t="shared" si="157"/>
        <v>32.25</v>
      </c>
      <c r="H1009" s="100" t="s">
        <v>341</v>
      </c>
      <c r="I1009" s="1"/>
      <c r="J1009" s="120" t="s">
        <v>1328</v>
      </c>
      <c r="K1009" s="99"/>
      <c r="L1009" s="50"/>
      <c r="M1009" s="50"/>
      <c r="P1009" s="68"/>
    </row>
    <row r="1010">
      <c r="A1010" s="181">
        <v>1.95105975305E11</v>
      </c>
      <c r="B1010" s="100" t="s">
        <v>1355</v>
      </c>
      <c r="C1010" s="118" t="s">
        <v>97</v>
      </c>
      <c r="D1010" s="100">
        <v>1.0</v>
      </c>
      <c r="E1010" s="119">
        <v>129.0</v>
      </c>
      <c r="F1010" s="119">
        <f t="shared" si="156"/>
        <v>129</v>
      </c>
      <c r="G1010" s="119">
        <f t="shared" si="157"/>
        <v>32.25</v>
      </c>
      <c r="H1010" s="100" t="s">
        <v>341</v>
      </c>
      <c r="I1010" s="1"/>
      <c r="J1010" s="120" t="s">
        <v>1328</v>
      </c>
      <c r="K1010" s="99"/>
      <c r="L1010" s="50"/>
      <c r="M1010" s="50"/>
      <c r="P1010" s="68"/>
    </row>
    <row r="1011">
      <c r="A1011" s="181">
        <v>1.92114140069E11</v>
      </c>
      <c r="B1011" s="212" t="s">
        <v>1356</v>
      </c>
      <c r="C1011" s="213" t="s">
        <v>97</v>
      </c>
      <c r="D1011" s="214">
        <v>2.0</v>
      </c>
      <c r="E1011" s="215">
        <v>49.0</v>
      </c>
      <c r="F1011" s="215">
        <f t="shared" si="156"/>
        <v>98</v>
      </c>
      <c r="G1011" s="215">
        <f t="shared" si="157"/>
        <v>24.5</v>
      </c>
      <c r="H1011" s="212" t="s">
        <v>1279</v>
      </c>
      <c r="I1011" s="216"/>
      <c r="J1011" s="217" t="s">
        <v>1328</v>
      </c>
      <c r="K1011" s="218"/>
      <c r="L1011" s="219"/>
      <c r="M1011" s="219"/>
      <c r="N1011" s="1"/>
      <c r="O1011" s="1"/>
      <c r="P1011" s="68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81">
        <v>1.92114140076E11</v>
      </c>
      <c r="B1012" s="212" t="s">
        <v>1357</v>
      </c>
      <c r="C1012" s="213" t="s">
        <v>97</v>
      </c>
      <c r="D1012" s="214">
        <v>2.0</v>
      </c>
      <c r="E1012" s="215">
        <v>49.0</v>
      </c>
      <c r="F1012" s="215">
        <f t="shared" si="156"/>
        <v>98</v>
      </c>
      <c r="G1012" s="215">
        <f t="shared" si="157"/>
        <v>24.5</v>
      </c>
      <c r="H1012" s="212" t="s">
        <v>341</v>
      </c>
      <c r="I1012" s="216"/>
      <c r="J1012" s="217" t="s">
        <v>1328</v>
      </c>
      <c r="K1012" s="218"/>
      <c r="L1012" s="219"/>
      <c r="M1012" s="219"/>
      <c r="N1012" s="1"/>
      <c r="O1012" s="1"/>
      <c r="P1012" s="68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21" t="s">
        <v>1358</v>
      </c>
      <c r="B1013" s="122" t="s">
        <v>1359</v>
      </c>
      <c r="C1013" s="118"/>
      <c r="D1013" s="100"/>
      <c r="E1013" s="119"/>
      <c r="F1013" s="119"/>
      <c r="G1013" s="119"/>
      <c r="H1013" s="100"/>
      <c r="I1013" s="1"/>
      <c r="J1013" s="120"/>
      <c r="K1013" s="99"/>
      <c r="L1013" s="50"/>
      <c r="M1013" s="50"/>
      <c r="P1013" s="68"/>
    </row>
    <row r="1014">
      <c r="A1014" s="181">
        <v>1.92114140069E11</v>
      </c>
      <c r="B1014" s="100" t="s">
        <v>1356</v>
      </c>
      <c r="C1014" s="118" t="s">
        <v>97</v>
      </c>
      <c r="D1014" s="110">
        <v>1.0</v>
      </c>
      <c r="E1014" s="119">
        <v>49.0</v>
      </c>
      <c r="F1014" s="119">
        <f t="shared" ref="F1014:F1015" si="158">E1014*D1014</f>
        <v>49</v>
      </c>
      <c r="G1014" s="119">
        <f t="shared" ref="G1014:G1015" si="159">F1014/4</f>
        <v>12.25</v>
      </c>
      <c r="H1014" s="100" t="s">
        <v>1279</v>
      </c>
      <c r="I1014" s="1"/>
      <c r="J1014" s="120" t="s">
        <v>1328</v>
      </c>
      <c r="K1014" s="99"/>
      <c r="L1014" s="50"/>
      <c r="M1014" s="50"/>
      <c r="P1014" s="68"/>
    </row>
    <row r="1015">
      <c r="A1015" s="181">
        <v>1.92114140076E11</v>
      </c>
      <c r="B1015" s="100" t="s">
        <v>1357</v>
      </c>
      <c r="C1015" s="118" t="s">
        <v>97</v>
      </c>
      <c r="D1015" s="110">
        <v>1.0</v>
      </c>
      <c r="E1015" s="119">
        <v>49.0</v>
      </c>
      <c r="F1015" s="119">
        <f t="shared" si="158"/>
        <v>49</v>
      </c>
      <c r="G1015" s="119">
        <f t="shared" si="159"/>
        <v>12.25</v>
      </c>
      <c r="H1015" s="100" t="s">
        <v>341</v>
      </c>
      <c r="I1015" s="1"/>
      <c r="J1015" s="120" t="s">
        <v>1328</v>
      </c>
      <c r="K1015" s="99"/>
      <c r="L1015" s="50"/>
      <c r="M1015" s="50"/>
      <c r="P1015" s="68"/>
    </row>
    <row r="1016">
      <c r="A1016" s="121" t="s">
        <v>974</v>
      </c>
      <c r="B1016" s="122" t="s">
        <v>1360</v>
      </c>
      <c r="C1016" s="118"/>
      <c r="D1016" s="100"/>
      <c r="E1016" s="119"/>
      <c r="F1016" s="119"/>
      <c r="G1016" s="119"/>
      <c r="H1016" s="100"/>
      <c r="I1016" s="1"/>
      <c r="J1016" s="120"/>
      <c r="K1016" s="99"/>
      <c r="L1016" s="50"/>
      <c r="M1016" s="50"/>
      <c r="P1016" s="68"/>
    </row>
    <row r="1017">
      <c r="A1017" s="220">
        <v>1.92114108021E11</v>
      </c>
      <c r="B1017" s="100" t="s">
        <v>1361</v>
      </c>
      <c r="C1017" s="118" t="s">
        <v>97</v>
      </c>
      <c r="D1017" s="100">
        <v>1.0</v>
      </c>
      <c r="E1017" s="119">
        <v>99.0</v>
      </c>
      <c r="F1017" s="119">
        <f t="shared" ref="F1017:F1021" si="160">E1017*D1017</f>
        <v>99</v>
      </c>
      <c r="G1017" s="119">
        <f t="shared" ref="G1017:G1021" si="161">F1017/4</f>
        <v>24.75</v>
      </c>
      <c r="H1017" s="100" t="s">
        <v>341</v>
      </c>
      <c r="I1017" s="198" t="s">
        <v>335</v>
      </c>
      <c r="J1017" s="120" t="s">
        <v>1328</v>
      </c>
      <c r="K1017" s="99"/>
      <c r="L1017" s="50"/>
      <c r="M1017" s="50"/>
      <c r="P1017" s="68"/>
    </row>
    <row r="1018">
      <c r="A1018" s="220">
        <v>1.90607119301E11</v>
      </c>
      <c r="B1018" s="100" t="s">
        <v>1362</v>
      </c>
      <c r="C1018" s="118" t="s">
        <v>97</v>
      </c>
      <c r="D1018" s="100">
        <v>1.0</v>
      </c>
      <c r="E1018" s="119">
        <v>69.5</v>
      </c>
      <c r="F1018" s="119">
        <f t="shared" si="160"/>
        <v>69.5</v>
      </c>
      <c r="G1018" s="119">
        <f t="shared" si="161"/>
        <v>17.375</v>
      </c>
      <c r="H1018" s="100" t="s">
        <v>341</v>
      </c>
      <c r="I1018" s="202" t="s">
        <v>335</v>
      </c>
      <c r="J1018" s="120" t="s">
        <v>1328</v>
      </c>
      <c r="K1018" s="99"/>
      <c r="L1018" s="50"/>
      <c r="M1018" s="50"/>
      <c r="P1018" s="68"/>
    </row>
    <row r="1019">
      <c r="A1019" s="220">
        <v>1.90607263158E11</v>
      </c>
      <c r="B1019" s="100" t="s">
        <v>1363</v>
      </c>
      <c r="C1019" s="118" t="s">
        <v>97</v>
      </c>
      <c r="D1019" s="100">
        <v>1.0</v>
      </c>
      <c r="E1019" s="119">
        <v>89.0</v>
      </c>
      <c r="F1019" s="119">
        <f t="shared" si="160"/>
        <v>89</v>
      </c>
      <c r="G1019" s="119">
        <f t="shared" si="161"/>
        <v>22.25</v>
      </c>
      <c r="H1019" s="100" t="s">
        <v>341</v>
      </c>
      <c r="I1019" s="202" t="s">
        <v>335</v>
      </c>
      <c r="J1019" s="120" t="s">
        <v>1328</v>
      </c>
      <c r="K1019" s="99"/>
      <c r="L1019" s="50"/>
      <c r="M1019" s="50"/>
      <c r="P1019" s="68"/>
    </row>
    <row r="1020">
      <c r="A1020" s="220">
        <v>1.92114004637E11</v>
      </c>
      <c r="B1020" s="100" t="s">
        <v>1364</v>
      </c>
      <c r="C1020" s="118" t="s">
        <v>97</v>
      </c>
      <c r="D1020" s="100">
        <v>1.0</v>
      </c>
      <c r="E1020" s="119">
        <v>99.0</v>
      </c>
      <c r="F1020" s="119">
        <f t="shared" si="160"/>
        <v>99</v>
      </c>
      <c r="G1020" s="119">
        <f t="shared" si="161"/>
        <v>24.75</v>
      </c>
      <c r="H1020" s="100" t="s">
        <v>341</v>
      </c>
      <c r="I1020" s="198" t="s">
        <v>143</v>
      </c>
      <c r="J1020" s="120" t="s">
        <v>1328</v>
      </c>
      <c r="K1020" s="99"/>
      <c r="L1020" s="50"/>
      <c r="M1020" s="50"/>
      <c r="P1020" s="68"/>
    </row>
    <row r="1021">
      <c r="A1021" s="220">
        <v>1.95105861684E11</v>
      </c>
      <c r="B1021" s="100" t="s">
        <v>1365</v>
      </c>
      <c r="C1021" s="118" t="s">
        <v>97</v>
      </c>
      <c r="D1021" s="100">
        <v>1.0</v>
      </c>
      <c r="E1021" s="119">
        <v>139.0</v>
      </c>
      <c r="F1021" s="119">
        <f t="shared" si="160"/>
        <v>139</v>
      </c>
      <c r="G1021" s="119">
        <f t="shared" si="161"/>
        <v>34.75</v>
      </c>
      <c r="H1021" s="100" t="s">
        <v>341</v>
      </c>
      <c r="I1021" s="198" t="s">
        <v>335</v>
      </c>
      <c r="J1021" s="120" t="s">
        <v>1328</v>
      </c>
      <c r="K1021" s="99"/>
      <c r="L1021" s="50"/>
      <c r="M1021" s="50"/>
      <c r="P1021" s="68"/>
    </row>
    <row r="1022">
      <c r="A1022" s="123" t="s">
        <v>132</v>
      </c>
      <c r="B1022" s="112" t="s">
        <v>1366</v>
      </c>
      <c r="C1022" s="124" t="str">
        <f>MID($B1022,6,7)</f>
        <v>mm18854</v>
      </c>
      <c r="D1022" s="125"/>
      <c r="E1022" s="126"/>
      <c r="F1022" s="126"/>
      <c r="G1022" s="126"/>
      <c r="H1022" s="127">
        <v>44559.0</v>
      </c>
      <c r="I1022" s="1"/>
      <c r="J1022" s="108" t="str">
        <f>IF(LEFT(B1022,3)="Box","BOX","COUNT")</f>
        <v>BOX</v>
      </c>
      <c r="K1022" s="99">
        <f>SUMIF($J$4:$J$8712,$C1022,$D$4:$D$8712)</f>
        <v>44</v>
      </c>
      <c r="L1022" s="50">
        <f>SUMIF($J$4:$J$8712,$C1022,$F$4:$F$8712)</f>
        <v>4300.75</v>
      </c>
      <c r="M1022" s="50">
        <f>SUMIF($J$4:$J$8712,$C1022,$G$4:$G$8712)</f>
        <v>1075.1875</v>
      </c>
      <c r="N1022" s="36" t="str">
        <f>C1022</f>
        <v>mm18854</v>
      </c>
      <c r="O1022" s="70" t="str">
        <f>J1023</f>
        <v>SHIP</v>
      </c>
      <c r="P1022" s="68">
        <f>M1022</f>
        <v>1075.1875</v>
      </c>
      <c r="Q1022" s="168">
        <v>44407.0</v>
      </c>
      <c r="R1022" s="37" t="s">
        <v>1324</v>
      </c>
      <c r="S1022" s="37" t="s">
        <v>1325</v>
      </c>
    </row>
    <row r="1023">
      <c r="A1023" s="221"/>
      <c r="B1023" s="111" t="s">
        <v>1367</v>
      </c>
      <c r="C1023" s="129"/>
      <c r="D1023" s="125"/>
      <c r="E1023" s="126"/>
      <c r="F1023" s="126"/>
      <c r="G1023" s="126"/>
      <c r="H1023" s="125"/>
      <c r="I1023" s="1"/>
      <c r="J1023" s="108" t="str">
        <f>IF(B1023="","NSHIP","SHIP")</f>
        <v>SHIP</v>
      </c>
      <c r="K1023" s="99">
        <f>IF($J1023="NSHIP",0,-SUMIF($J$4:$J$8712,$C1022,$D$4:$D$8712))</f>
        <v>-44</v>
      </c>
      <c r="L1023" s="50">
        <f>IF($J1023="NSHIP",0,-SUMIF($J$4:$J$8710,$C1022,$F$4:$F$8710))</f>
        <v>-4300.75</v>
      </c>
      <c r="M1023" s="50">
        <f>IF($J1023="NSHIP",0,-SUMIF($J$4:$J$8710,$C1022,$G$4:$G$8710))</f>
        <v>-1075.1875</v>
      </c>
      <c r="P1023" s="68"/>
    </row>
    <row r="1024">
      <c r="A1024" s="96">
        <v>1.91899801271E11</v>
      </c>
      <c r="B1024" s="186" t="s">
        <v>1368</v>
      </c>
      <c r="C1024" s="100" t="s">
        <v>97</v>
      </c>
      <c r="D1024" s="100">
        <v>1.0</v>
      </c>
      <c r="E1024" s="119">
        <v>148.0</v>
      </c>
      <c r="F1024" s="119">
        <f t="shared" ref="F1024:F1039" si="162">E1024*D1024</f>
        <v>148</v>
      </c>
      <c r="G1024" s="119">
        <f t="shared" ref="G1024:G1039" si="163">F1024/4</f>
        <v>37</v>
      </c>
      <c r="H1024" s="132" t="s">
        <v>1369</v>
      </c>
      <c r="I1024" s="1"/>
      <c r="J1024" s="104" t="s">
        <v>1370</v>
      </c>
      <c r="K1024" s="133"/>
      <c r="L1024" s="105"/>
      <c r="M1024" s="105"/>
      <c r="N1024" s="1"/>
      <c r="O1024" s="1"/>
      <c r="P1024" s="68"/>
    </row>
    <row r="1025">
      <c r="A1025" s="100">
        <v>1.91899950269E11</v>
      </c>
      <c r="B1025" s="186" t="s">
        <v>1371</v>
      </c>
      <c r="C1025" s="100" t="s">
        <v>97</v>
      </c>
      <c r="D1025" s="100">
        <v>1.0</v>
      </c>
      <c r="E1025" s="119">
        <v>228.0</v>
      </c>
      <c r="F1025" s="119">
        <f t="shared" si="162"/>
        <v>228</v>
      </c>
      <c r="G1025" s="119">
        <f t="shared" si="163"/>
        <v>57</v>
      </c>
      <c r="H1025" s="100" t="s">
        <v>1372</v>
      </c>
      <c r="I1025" s="1"/>
      <c r="J1025" s="104" t="s">
        <v>1370</v>
      </c>
      <c r="K1025" s="133"/>
      <c r="L1025" s="105"/>
      <c r="M1025" s="105"/>
      <c r="N1025" s="1"/>
      <c r="O1025" s="1"/>
      <c r="P1025" s="68"/>
    </row>
    <row r="1026">
      <c r="A1026" s="100">
        <v>1.91899950276E11</v>
      </c>
      <c r="B1026" s="186" t="s">
        <v>1373</v>
      </c>
      <c r="C1026" s="100" t="s">
        <v>97</v>
      </c>
      <c r="D1026" s="100">
        <v>1.0</v>
      </c>
      <c r="E1026" s="119">
        <v>228.0</v>
      </c>
      <c r="F1026" s="119">
        <f t="shared" si="162"/>
        <v>228</v>
      </c>
      <c r="G1026" s="119">
        <f t="shared" si="163"/>
        <v>57</v>
      </c>
      <c r="H1026" s="132" t="s">
        <v>1369</v>
      </c>
      <c r="I1026" s="1"/>
      <c r="J1026" s="104" t="s">
        <v>1370</v>
      </c>
      <c r="K1026" s="133"/>
      <c r="L1026" s="105"/>
      <c r="M1026" s="105"/>
      <c r="N1026" s="1"/>
      <c r="O1026" s="1"/>
      <c r="P1026" s="68"/>
    </row>
    <row r="1027">
      <c r="A1027" s="100">
        <v>6.89886467338E11</v>
      </c>
      <c r="B1027" s="186" t="s">
        <v>1374</v>
      </c>
      <c r="C1027" s="100" t="s">
        <v>97</v>
      </c>
      <c r="D1027" s="100">
        <v>3.0</v>
      </c>
      <c r="E1027" s="119">
        <v>49.96</v>
      </c>
      <c r="F1027" s="119">
        <f t="shared" si="162"/>
        <v>149.88</v>
      </c>
      <c r="G1027" s="119">
        <f t="shared" si="163"/>
        <v>37.47</v>
      </c>
      <c r="H1027" s="100" t="s">
        <v>612</v>
      </c>
      <c r="I1027" s="1"/>
      <c r="J1027" s="104" t="s">
        <v>1370</v>
      </c>
      <c r="K1027" s="133"/>
      <c r="L1027" s="105"/>
      <c r="M1027" s="105"/>
      <c r="N1027" s="1"/>
      <c r="O1027" s="1"/>
      <c r="P1027" s="68"/>
    </row>
    <row r="1028">
      <c r="A1028" s="100">
        <v>6.89886467345E11</v>
      </c>
      <c r="B1028" s="186" t="s">
        <v>1375</v>
      </c>
      <c r="C1028" s="100" t="s">
        <v>97</v>
      </c>
      <c r="D1028" s="100">
        <v>2.0</v>
      </c>
      <c r="E1028" s="119">
        <v>49.96</v>
      </c>
      <c r="F1028" s="119">
        <f t="shared" si="162"/>
        <v>99.92</v>
      </c>
      <c r="G1028" s="119">
        <f t="shared" si="163"/>
        <v>24.98</v>
      </c>
      <c r="H1028" s="100" t="s">
        <v>612</v>
      </c>
      <c r="I1028" s="1"/>
      <c r="J1028" s="104" t="s">
        <v>1370</v>
      </c>
      <c r="K1028" s="133"/>
      <c r="L1028" s="105"/>
      <c r="M1028" s="105"/>
      <c r="N1028" s="1"/>
      <c r="O1028" s="1"/>
      <c r="P1028" s="68"/>
    </row>
    <row r="1029">
      <c r="A1029" s="100">
        <v>6.89886467352E11</v>
      </c>
      <c r="B1029" s="186" t="s">
        <v>1376</v>
      </c>
      <c r="C1029" s="100" t="s">
        <v>97</v>
      </c>
      <c r="D1029" s="100">
        <v>3.0</v>
      </c>
      <c r="E1029" s="119">
        <v>168.0</v>
      </c>
      <c r="F1029" s="119">
        <f t="shared" si="162"/>
        <v>504</v>
      </c>
      <c r="G1029" s="119">
        <f t="shared" si="163"/>
        <v>126</v>
      </c>
      <c r="H1029" s="132" t="s">
        <v>1377</v>
      </c>
      <c r="I1029" s="1"/>
      <c r="J1029" s="104" t="s">
        <v>1370</v>
      </c>
      <c r="K1029" s="133"/>
      <c r="L1029" s="105"/>
      <c r="M1029" s="105"/>
      <c r="N1029" s="1"/>
      <c r="O1029" s="1"/>
      <c r="P1029" s="68"/>
    </row>
    <row r="1030">
      <c r="A1030" s="100">
        <v>6.89886467369E11</v>
      </c>
      <c r="B1030" s="186" t="s">
        <v>1378</v>
      </c>
      <c r="C1030" s="100" t="s">
        <v>97</v>
      </c>
      <c r="D1030" s="100">
        <v>2.0</v>
      </c>
      <c r="E1030" s="119">
        <v>49.96</v>
      </c>
      <c r="F1030" s="119">
        <f t="shared" si="162"/>
        <v>99.92</v>
      </c>
      <c r="G1030" s="119">
        <f t="shared" si="163"/>
        <v>24.98</v>
      </c>
      <c r="H1030" s="100" t="s">
        <v>612</v>
      </c>
      <c r="I1030" s="1"/>
      <c r="J1030" s="104" t="s">
        <v>1370</v>
      </c>
      <c r="K1030" s="133"/>
      <c r="L1030" s="105"/>
      <c r="M1030" s="105"/>
      <c r="N1030" s="1"/>
      <c r="O1030" s="1"/>
      <c r="P1030" s="68"/>
    </row>
    <row r="1031">
      <c r="A1031" s="100">
        <v>6.89886467376E11</v>
      </c>
      <c r="B1031" s="186" t="s">
        <v>1379</v>
      </c>
      <c r="C1031" s="100" t="s">
        <v>97</v>
      </c>
      <c r="D1031" s="100">
        <v>2.0</v>
      </c>
      <c r="E1031" s="119">
        <v>168.0</v>
      </c>
      <c r="F1031" s="119">
        <f t="shared" si="162"/>
        <v>336</v>
      </c>
      <c r="G1031" s="119">
        <f t="shared" si="163"/>
        <v>84</v>
      </c>
      <c r="H1031" s="132" t="s">
        <v>1377</v>
      </c>
      <c r="I1031" s="1"/>
      <c r="J1031" s="104" t="s">
        <v>1370</v>
      </c>
      <c r="K1031" s="133"/>
      <c r="L1031" s="105"/>
      <c r="M1031" s="105"/>
      <c r="N1031" s="1"/>
      <c r="O1031" s="1"/>
      <c r="P1031" s="68"/>
    </row>
    <row r="1032">
      <c r="A1032" s="100">
        <v>6.89886489958E11</v>
      </c>
      <c r="B1032" s="186" t="s">
        <v>1380</v>
      </c>
      <c r="C1032" s="100" t="s">
        <v>97</v>
      </c>
      <c r="D1032" s="100">
        <v>1.0</v>
      </c>
      <c r="E1032" s="119">
        <v>79.99</v>
      </c>
      <c r="F1032" s="119">
        <f t="shared" si="162"/>
        <v>79.99</v>
      </c>
      <c r="G1032" s="119">
        <f t="shared" si="163"/>
        <v>19.9975</v>
      </c>
      <c r="H1032" s="100" t="s">
        <v>627</v>
      </c>
      <c r="I1032" s="1"/>
      <c r="J1032" s="104" t="s">
        <v>1370</v>
      </c>
      <c r="K1032" s="133"/>
      <c r="L1032" s="105"/>
      <c r="M1032" s="105"/>
      <c r="N1032" s="1"/>
      <c r="O1032" s="1"/>
      <c r="P1032" s="68"/>
    </row>
    <row r="1033">
      <c r="A1033" s="100">
        <v>7.07762240339E11</v>
      </c>
      <c r="B1033" s="186" t="s">
        <v>1381</v>
      </c>
      <c r="C1033" s="100" t="s">
        <v>97</v>
      </c>
      <c r="D1033" s="100">
        <v>1.0</v>
      </c>
      <c r="E1033" s="119">
        <v>129.0</v>
      </c>
      <c r="F1033" s="119">
        <f t="shared" si="162"/>
        <v>129</v>
      </c>
      <c r="G1033" s="119">
        <f t="shared" si="163"/>
        <v>32.25</v>
      </c>
      <c r="H1033" s="132" t="s">
        <v>187</v>
      </c>
      <c r="I1033" s="1"/>
      <c r="J1033" s="104" t="s">
        <v>1370</v>
      </c>
      <c r="K1033" s="133"/>
      <c r="L1033" s="105"/>
      <c r="M1033" s="105"/>
      <c r="N1033" s="1"/>
      <c r="O1033" s="1"/>
      <c r="P1033" s="68"/>
    </row>
    <row r="1034">
      <c r="A1034" s="100">
        <v>7.08008643877E11</v>
      </c>
      <c r="B1034" s="186" t="s">
        <v>1382</v>
      </c>
      <c r="C1034" s="100" t="s">
        <v>97</v>
      </c>
      <c r="D1034" s="100">
        <v>1.0</v>
      </c>
      <c r="E1034" s="119">
        <v>12.66</v>
      </c>
      <c r="F1034" s="119">
        <f t="shared" si="162"/>
        <v>12.66</v>
      </c>
      <c r="G1034" s="119">
        <f t="shared" si="163"/>
        <v>3.165</v>
      </c>
      <c r="H1034" s="100" t="s">
        <v>1383</v>
      </c>
      <c r="I1034" s="1"/>
      <c r="J1034" s="104" t="s">
        <v>1370</v>
      </c>
      <c r="K1034" s="133"/>
      <c r="L1034" s="105"/>
      <c r="M1034" s="105"/>
      <c r="N1034" s="1"/>
      <c r="O1034" s="1"/>
      <c r="P1034" s="68"/>
    </row>
    <row r="1035">
      <c r="A1035" s="100">
        <v>7.08008671962E11</v>
      </c>
      <c r="B1035" s="131" t="s">
        <v>1384</v>
      </c>
      <c r="C1035" s="100" t="s">
        <v>97</v>
      </c>
      <c r="D1035" s="100">
        <v>1.0</v>
      </c>
      <c r="E1035" s="119">
        <v>69.0</v>
      </c>
      <c r="F1035" s="119">
        <f t="shared" si="162"/>
        <v>69</v>
      </c>
      <c r="G1035" s="119">
        <f t="shared" si="163"/>
        <v>17.25</v>
      </c>
      <c r="H1035" s="132" t="s">
        <v>189</v>
      </c>
      <c r="I1035" s="1"/>
      <c r="J1035" s="104" t="s">
        <v>1370</v>
      </c>
      <c r="K1035" s="133"/>
      <c r="L1035" s="105"/>
      <c r="M1035" s="105"/>
      <c r="N1035" s="1"/>
      <c r="O1035" s="1"/>
      <c r="P1035" s="68"/>
    </row>
    <row r="1036">
      <c r="A1036" s="100">
        <v>7.49709950567E11</v>
      </c>
      <c r="B1036" s="131" t="s">
        <v>1385</v>
      </c>
      <c r="C1036" s="100" t="s">
        <v>97</v>
      </c>
      <c r="D1036" s="100">
        <v>1.0</v>
      </c>
      <c r="E1036" s="119">
        <v>169.0</v>
      </c>
      <c r="F1036" s="119">
        <f t="shared" si="162"/>
        <v>169</v>
      </c>
      <c r="G1036" s="119">
        <f t="shared" si="163"/>
        <v>42.25</v>
      </c>
      <c r="H1036" s="132" t="s">
        <v>747</v>
      </c>
      <c r="I1036" s="1"/>
      <c r="J1036" s="104" t="s">
        <v>1370</v>
      </c>
      <c r="K1036" s="133"/>
      <c r="L1036" s="105"/>
      <c r="M1036" s="105"/>
      <c r="N1036" s="1"/>
      <c r="O1036" s="1"/>
      <c r="P1036" s="68"/>
    </row>
    <row r="1037">
      <c r="A1037" s="100">
        <v>7.49709950581E11</v>
      </c>
      <c r="B1037" s="186" t="s">
        <v>1386</v>
      </c>
      <c r="C1037" s="100" t="s">
        <v>97</v>
      </c>
      <c r="D1037" s="100">
        <v>1.0</v>
      </c>
      <c r="E1037" s="119">
        <v>169.0</v>
      </c>
      <c r="F1037" s="119">
        <f t="shared" si="162"/>
        <v>169</v>
      </c>
      <c r="G1037" s="119">
        <f t="shared" si="163"/>
        <v>42.25</v>
      </c>
      <c r="H1037" s="132" t="s">
        <v>747</v>
      </c>
      <c r="I1037" s="1"/>
      <c r="J1037" s="104" t="s">
        <v>1370</v>
      </c>
      <c r="K1037" s="133"/>
      <c r="L1037" s="105"/>
      <c r="M1037" s="105"/>
      <c r="N1037" s="1"/>
      <c r="O1037" s="1"/>
      <c r="P1037" s="68"/>
    </row>
    <row r="1038">
      <c r="A1038" s="100">
        <v>7.94795097863E11</v>
      </c>
      <c r="B1038" s="186" t="s">
        <v>1387</v>
      </c>
      <c r="C1038" s="100" t="s">
        <v>97</v>
      </c>
      <c r="D1038" s="100">
        <v>2.0</v>
      </c>
      <c r="E1038" s="119">
        <v>139.0</v>
      </c>
      <c r="F1038" s="119">
        <f t="shared" si="162"/>
        <v>278</v>
      </c>
      <c r="G1038" s="119">
        <f t="shared" si="163"/>
        <v>69.5</v>
      </c>
      <c r="H1038" s="132" t="s">
        <v>422</v>
      </c>
      <c r="I1038" s="1"/>
      <c r="J1038" s="104" t="s">
        <v>1370</v>
      </c>
      <c r="K1038" s="133"/>
      <c r="L1038" s="105"/>
      <c r="M1038" s="105"/>
      <c r="N1038" s="1"/>
      <c r="O1038" s="1"/>
      <c r="P1038" s="68"/>
    </row>
    <row r="1039">
      <c r="A1039" s="100">
        <v>8.87840378083E11</v>
      </c>
      <c r="B1039" s="131" t="s">
        <v>1388</v>
      </c>
      <c r="C1039" s="100" t="s">
        <v>97</v>
      </c>
      <c r="D1039" s="100">
        <v>1.0</v>
      </c>
      <c r="E1039" s="119">
        <v>69.0</v>
      </c>
      <c r="F1039" s="119">
        <f t="shared" si="162"/>
        <v>69</v>
      </c>
      <c r="G1039" s="119">
        <f t="shared" si="163"/>
        <v>17.25</v>
      </c>
      <c r="H1039" s="132" t="s">
        <v>486</v>
      </c>
      <c r="I1039" s="1"/>
      <c r="J1039" s="104" t="s">
        <v>1370</v>
      </c>
      <c r="K1039" s="133"/>
      <c r="L1039" s="105"/>
      <c r="M1039" s="105"/>
      <c r="N1039" s="1"/>
      <c r="O1039" s="1"/>
      <c r="P1039" s="68"/>
    </row>
    <row r="1040">
      <c r="A1040" s="135" t="s">
        <v>1389</v>
      </c>
      <c r="B1040" s="103" t="s">
        <v>1390</v>
      </c>
      <c r="C1040" s="100"/>
      <c r="D1040" s="100"/>
      <c r="E1040" s="119"/>
      <c r="F1040" s="119"/>
      <c r="G1040" s="119"/>
      <c r="H1040" s="100"/>
      <c r="I1040" s="1"/>
      <c r="J1040" s="104"/>
      <c r="K1040" s="133"/>
      <c r="L1040" s="105"/>
      <c r="M1040" s="105"/>
      <c r="N1040" s="1"/>
      <c r="O1040" s="1"/>
      <c r="P1040" s="68"/>
    </row>
    <row r="1041">
      <c r="A1041" s="134">
        <v>6.89886504637E11</v>
      </c>
      <c r="B1041" s="131" t="s">
        <v>1391</v>
      </c>
      <c r="C1041" s="100" t="s">
        <v>97</v>
      </c>
      <c r="D1041" s="100">
        <v>1.0</v>
      </c>
      <c r="E1041" s="119">
        <v>89.0</v>
      </c>
      <c r="F1041" s="119">
        <f t="shared" ref="F1041:F1045" si="164">E1041*D1041</f>
        <v>89</v>
      </c>
      <c r="G1041" s="119">
        <f t="shared" ref="G1041:G1045" si="165">F1041/4</f>
        <v>22.25</v>
      </c>
      <c r="H1041" s="132" t="s">
        <v>185</v>
      </c>
      <c r="I1041" s="1"/>
      <c r="J1041" s="104" t="s">
        <v>1370</v>
      </c>
      <c r="K1041" s="133"/>
      <c r="L1041" s="105"/>
      <c r="M1041" s="105"/>
      <c r="N1041" s="1"/>
      <c r="O1041" s="1"/>
      <c r="P1041" s="68"/>
    </row>
    <row r="1042">
      <c r="A1042" s="134">
        <v>7.07762075702E11</v>
      </c>
      <c r="B1042" s="186" t="s">
        <v>1392</v>
      </c>
      <c r="C1042" s="100" t="s">
        <v>97</v>
      </c>
      <c r="D1042" s="100">
        <v>1.0</v>
      </c>
      <c r="E1042" s="119">
        <v>149.0</v>
      </c>
      <c r="F1042" s="119">
        <f t="shared" si="164"/>
        <v>149</v>
      </c>
      <c r="G1042" s="119">
        <f t="shared" si="165"/>
        <v>37.25</v>
      </c>
      <c r="H1042" s="132" t="s">
        <v>187</v>
      </c>
      <c r="I1042" s="1"/>
      <c r="J1042" s="104" t="s">
        <v>1370</v>
      </c>
      <c r="K1042" s="133"/>
      <c r="L1042" s="105"/>
      <c r="M1042" s="105"/>
      <c r="N1042" s="1"/>
      <c r="O1042" s="1"/>
      <c r="P1042" s="68"/>
    </row>
    <row r="1043">
      <c r="A1043" s="134">
        <v>7.94795150131E11</v>
      </c>
      <c r="B1043" s="131" t="s">
        <v>1393</v>
      </c>
      <c r="C1043" s="100" t="s">
        <v>97</v>
      </c>
      <c r="D1043" s="100">
        <v>1.0</v>
      </c>
      <c r="E1043" s="119">
        <v>109.0</v>
      </c>
      <c r="F1043" s="119">
        <f t="shared" si="164"/>
        <v>109</v>
      </c>
      <c r="G1043" s="119">
        <f t="shared" si="165"/>
        <v>27.25</v>
      </c>
      <c r="H1043" s="132" t="s">
        <v>422</v>
      </c>
      <c r="I1043" s="1"/>
      <c r="J1043" s="104" t="s">
        <v>1370</v>
      </c>
      <c r="K1043" s="133"/>
      <c r="L1043" s="105"/>
      <c r="M1043" s="105"/>
      <c r="N1043" s="1"/>
      <c r="O1043" s="1"/>
      <c r="P1043" s="68"/>
    </row>
    <row r="1044">
      <c r="A1044" s="134">
        <v>7.94795150148E11</v>
      </c>
      <c r="B1044" s="186" t="s">
        <v>1394</v>
      </c>
      <c r="C1044" s="100" t="s">
        <v>97</v>
      </c>
      <c r="D1044" s="100">
        <v>1.0</v>
      </c>
      <c r="E1044" s="119">
        <v>109.0</v>
      </c>
      <c r="F1044" s="119">
        <f t="shared" si="164"/>
        <v>109</v>
      </c>
      <c r="G1044" s="119">
        <f t="shared" si="165"/>
        <v>27.25</v>
      </c>
      <c r="H1044" s="132" t="s">
        <v>422</v>
      </c>
      <c r="I1044" s="1"/>
      <c r="J1044" s="104" t="s">
        <v>1370</v>
      </c>
      <c r="K1044" s="133"/>
      <c r="L1044" s="105"/>
      <c r="M1044" s="105"/>
      <c r="N1044" s="1"/>
      <c r="O1044" s="1"/>
      <c r="P1044" s="68"/>
    </row>
    <row r="1045">
      <c r="A1045" s="134">
        <v>7.94795150162E11</v>
      </c>
      <c r="B1045" s="131" t="s">
        <v>1395</v>
      </c>
      <c r="C1045" s="100" t="s">
        <v>97</v>
      </c>
      <c r="D1045" s="100">
        <v>1.0</v>
      </c>
      <c r="E1045" s="119">
        <v>109.0</v>
      </c>
      <c r="F1045" s="119">
        <f t="shared" si="164"/>
        <v>109</v>
      </c>
      <c r="G1045" s="119">
        <f t="shared" si="165"/>
        <v>27.25</v>
      </c>
      <c r="H1045" s="132" t="s">
        <v>422</v>
      </c>
      <c r="I1045" s="1"/>
      <c r="J1045" s="104" t="s">
        <v>1370</v>
      </c>
      <c r="K1045" s="133"/>
      <c r="L1045" s="105"/>
      <c r="M1045" s="105"/>
      <c r="N1045" s="1"/>
      <c r="O1045" s="1"/>
      <c r="P1045" s="68"/>
    </row>
    <row r="1046">
      <c r="A1046" s="135" t="s">
        <v>1396</v>
      </c>
      <c r="B1046" s="103" t="s">
        <v>1397</v>
      </c>
      <c r="C1046" s="100"/>
      <c r="D1046" s="100"/>
      <c r="E1046" s="119"/>
      <c r="F1046" s="119"/>
      <c r="G1046" s="119"/>
      <c r="H1046" s="100"/>
      <c r="I1046" s="1"/>
      <c r="J1046" s="104"/>
      <c r="K1046" s="133"/>
      <c r="L1046" s="105"/>
      <c r="M1046" s="105"/>
      <c r="N1046" s="1"/>
      <c r="O1046" s="1"/>
      <c r="P1046" s="68"/>
    </row>
    <row r="1047">
      <c r="A1047" s="149">
        <v>7.49709950628E11</v>
      </c>
      <c r="B1047" s="131" t="s">
        <v>1398</v>
      </c>
      <c r="C1047" s="100" t="s">
        <v>97</v>
      </c>
      <c r="D1047" s="100">
        <v>1.0</v>
      </c>
      <c r="E1047" s="119">
        <v>169.0</v>
      </c>
      <c r="F1047" s="119">
        <f>E1047*D1047</f>
        <v>169</v>
      </c>
      <c r="G1047" s="119">
        <f>F1047/4</f>
        <v>42.25</v>
      </c>
      <c r="H1047" s="132" t="s">
        <v>747</v>
      </c>
      <c r="I1047" s="176" t="s">
        <v>143</v>
      </c>
      <c r="J1047" s="104" t="s">
        <v>1370</v>
      </c>
      <c r="K1047" s="133"/>
      <c r="L1047" s="105"/>
      <c r="M1047" s="105"/>
      <c r="N1047" s="1"/>
      <c r="O1047" s="1"/>
      <c r="P1047" s="68"/>
    </row>
    <row r="1048">
      <c r="A1048" s="112" t="s">
        <v>153</v>
      </c>
      <c r="B1048" s="112" t="s">
        <v>1399</v>
      </c>
      <c r="C1048" s="112" t="str">
        <f>MID($B1048,6,7)</f>
        <v>mm18856</v>
      </c>
      <c r="D1048" s="112"/>
      <c r="E1048" s="138"/>
      <c r="F1048" s="138"/>
      <c r="G1048" s="138"/>
      <c r="H1048" s="127">
        <v>44559.0</v>
      </c>
      <c r="I1048" s="1"/>
      <c r="J1048" s="104" t="str">
        <f>IF(LEFT(B1048,3)="Box","BOX","COUNT")</f>
        <v>BOX</v>
      </c>
      <c r="K1048" s="139">
        <f>SUMIF($J$4:$J$8692,$C1048,$D$4:$D$8692)</f>
        <v>30</v>
      </c>
      <c r="L1048" s="32">
        <f>SUMIF($J$4:$J$8692,$C1048,$F$4:$F$8692)</f>
        <v>3503.37</v>
      </c>
      <c r="M1048" s="32">
        <f>SUMIF($J$4:$J$8692,$C1048,$G$4:$G$8692)</f>
        <v>875.8425</v>
      </c>
      <c r="N1048" s="1" t="str">
        <f>C1048</f>
        <v>mm18856</v>
      </c>
      <c r="O1048" s="1" t="str">
        <f>J1049</f>
        <v>SHIP</v>
      </c>
      <c r="P1048" s="68">
        <f>M1048</f>
        <v>875.8425</v>
      </c>
      <c r="Q1048" s="114">
        <v>44559.0</v>
      </c>
      <c r="R1048" s="37" t="s">
        <v>1400</v>
      </c>
      <c r="S1048" s="37" t="s">
        <v>1325</v>
      </c>
    </row>
    <row r="1049">
      <c r="A1049" s="211">
        <v>44561.0</v>
      </c>
      <c r="B1049" s="140" t="s">
        <v>1401</v>
      </c>
      <c r="C1049" s="141"/>
      <c r="D1049" s="141"/>
      <c r="E1049" s="142"/>
      <c r="F1049" s="142"/>
      <c r="G1049" s="142"/>
      <c r="H1049" s="150"/>
      <c r="I1049" s="1"/>
      <c r="J1049" s="104" t="str">
        <f>IF(B1049="","NSHIP","SHIP")</f>
        <v>SHIP</v>
      </c>
      <c r="K1049" s="139">
        <f>IF($J1049="NSHIP",0,-SUMIF($J$4:$J$8692,$C1048,$D$4:$D$8692))</f>
        <v>-30</v>
      </c>
      <c r="L1049" s="32">
        <f>IF($J1049="NSHIP",0,-SUMIF($J$4:$J$8690,$C1048,$F$4:$F$8690))</f>
        <v>-3503.37</v>
      </c>
      <c r="M1049" s="32">
        <f>IF($J1049="NSHIP",0,-SUMIF($J$4:$J$8690,$C1048,$G$4:$G$8690))</f>
        <v>-875.8425</v>
      </c>
      <c r="N1049" s="1"/>
      <c r="O1049" s="1"/>
      <c r="P1049" s="68"/>
    </row>
    <row r="1050">
      <c r="A1050" s="100">
        <v>1.1531894402E10</v>
      </c>
      <c r="B1050" s="131" t="s">
        <v>1402</v>
      </c>
      <c r="C1050" s="100" t="s">
        <v>97</v>
      </c>
      <c r="D1050" s="100">
        <v>1.0</v>
      </c>
      <c r="E1050" s="119">
        <v>15.02</v>
      </c>
      <c r="F1050" s="119">
        <f t="shared" ref="F1050:F1078" si="166">E1050*D1050</f>
        <v>15.02</v>
      </c>
      <c r="G1050" s="119">
        <f t="shared" ref="G1050:G1078" si="167">F1050/4</f>
        <v>3.755</v>
      </c>
      <c r="H1050" s="100" t="s">
        <v>284</v>
      </c>
      <c r="I1050" s="1"/>
      <c r="J1050" s="120" t="s">
        <v>1403</v>
      </c>
      <c r="K1050" s="99"/>
      <c r="L1050" s="50"/>
      <c r="M1050" s="50"/>
      <c r="P1050" s="68"/>
    </row>
    <row r="1051">
      <c r="A1051" s="100">
        <v>1.92351061967E11</v>
      </c>
      <c r="B1051" s="131" t="s">
        <v>1404</v>
      </c>
      <c r="C1051" s="100" t="s">
        <v>97</v>
      </c>
      <c r="D1051" s="100">
        <v>1.0</v>
      </c>
      <c r="E1051" s="119">
        <v>89.98</v>
      </c>
      <c r="F1051" s="119">
        <f t="shared" si="166"/>
        <v>89.98</v>
      </c>
      <c r="G1051" s="119">
        <f t="shared" si="167"/>
        <v>22.495</v>
      </c>
      <c r="H1051" s="100" t="s">
        <v>271</v>
      </c>
      <c r="I1051" s="1"/>
      <c r="J1051" s="120" t="s">
        <v>1403</v>
      </c>
      <c r="K1051" s="99"/>
      <c r="L1051" s="50"/>
      <c r="M1051" s="50"/>
      <c r="P1051" s="68"/>
    </row>
    <row r="1052">
      <c r="A1052" s="100">
        <v>1.93623086596E11</v>
      </c>
      <c r="B1052" s="131" t="s">
        <v>1405</v>
      </c>
      <c r="C1052" s="100" t="s">
        <v>97</v>
      </c>
      <c r="D1052" s="100">
        <v>1.0</v>
      </c>
      <c r="E1052" s="119">
        <v>99.0</v>
      </c>
      <c r="F1052" s="119">
        <f t="shared" si="166"/>
        <v>99</v>
      </c>
      <c r="G1052" s="119">
        <f t="shared" si="167"/>
        <v>24.75</v>
      </c>
      <c r="H1052" s="100" t="s">
        <v>271</v>
      </c>
      <c r="I1052" s="1"/>
      <c r="J1052" s="120" t="s">
        <v>1403</v>
      </c>
      <c r="K1052" s="99"/>
      <c r="L1052" s="50"/>
      <c r="M1052" s="50"/>
      <c r="P1052" s="68"/>
    </row>
    <row r="1053">
      <c r="A1053" s="100">
        <v>1.93623428563E11</v>
      </c>
      <c r="B1053" s="131" t="s">
        <v>1406</v>
      </c>
      <c r="C1053" s="100" t="s">
        <v>97</v>
      </c>
      <c r="D1053" s="100">
        <v>1.0</v>
      </c>
      <c r="E1053" s="119">
        <v>199.0</v>
      </c>
      <c r="F1053" s="119">
        <f t="shared" si="166"/>
        <v>199</v>
      </c>
      <c r="G1053" s="119">
        <f t="shared" si="167"/>
        <v>49.75</v>
      </c>
      <c r="H1053" s="100" t="s">
        <v>271</v>
      </c>
      <c r="I1053" s="1"/>
      <c r="J1053" s="120" t="s">
        <v>1403</v>
      </c>
      <c r="K1053" s="99"/>
      <c r="L1053" s="50"/>
      <c r="M1053" s="50"/>
      <c r="P1053" s="68"/>
    </row>
    <row r="1054">
      <c r="A1054" s="100">
        <v>1.93623428686E11</v>
      </c>
      <c r="B1054" s="131" t="s">
        <v>1407</v>
      </c>
      <c r="C1054" s="100" t="s">
        <v>97</v>
      </c>
      <c r="D1054" s="100">
        <v>1.0</v>
      </c>
      <c r="E1054" s="119">
        <v>199.0</v>
      </c>
      <c r="F1054" s="119">
        <f t="shared" si="166"/>
        <v>199</v>
      </c>
      <c r="G1054" s="119">
        <f t="shared" si="167"/>
        <v>49.75</v>
      </c>
      <c r="H1054" s="100" t="s">
        <v>271</v>
      </c>
      <c r="I1054" s="1"/>
      <c r="J1054" s="120" t="s">
        <v>1403</v>
      </c>
      <c r="K1054" s="99"/>
      <c r="L1054" s="50"/>
      <c r="M1054" s="50"/>
      <c r="P1054" s="68"/>
    </row>
    <row r="1055">
      <c r="A1055" s="100">
        <v>1.93623438265E11</v>
      </c>
      <c r="B1055" s="131" t="s">
        <v>1408</v>
      </c>
      <c r="C1055" s="100" t="s">
        <v>97</v>
      </c>
      <c r="D1055" s="100">
        <v>1.0</v>
      </c>
      <c r="E1055" s="119">
        <v>320.0</v>
      </c>
      <c r="F1055" s="119">
        <f t="shared" si="166"/>
        <v>320</v>
      </c>
      <c r="G1055" s="119">
        <f t="shared" si="167"/>
        <v>80</v>
      </c>
      <c r="H1055" s="100" t="s">
        <v>279</v>
      </c>
      <c r="I1055" s="1"/>
      <c r="J1055" s="120" t="s">
        <v>1403</v>
      </c>
      <c r="K1055" s="99"/>
      <c r="L1055" s="50"/>
      <c r="M1055" s="50"/>
      <c r="P1055" s="68"/>
    </row>
    <row r="1056">
      <c r="A1056" s="100">
        <v>1.93623465391E11</v>
      </c>
      <c r="B1056" s="131" t="s">
        <v>1409</v>
      </c>
      <c r="C1056" s="100" t="s">
        <v>97</v>
      </c>
      <c r="D1056" s="100">
        <v>1.0</v>
      </c>
      <c r="E1056" s="119">
        <v>144.0</v>
      </c>
      <c r="F1056" s="119">
        <f t="shared" si="166"/>
        <v>144</v>
      </c>
      <c r="G1056" s="119">
        <f t="shared" si="167"/>
        <v>36</v>
      </c>
      <c r="H1056" s="100" t="s">
        <v>271</v>
      </c>
      <c r="I1056" s="1"/>
      <c r="J1056" s="120" t="s">
        <v>1403</v>
      </c>
      <c r="K1056" s="99"/>
      <c r="L1056" s="50"/>
      <c r="M1056" s="50"/>
      <c r="P1056" s="68"/>
    </row>
    <row r="1057">
      <c r="A1057" s="100">
        <v>1.93623490706E11</v>
      </c>
      <c r="B1057" s="131" t="s">
        <v>1410</v>
      </c>
      <c r="C1057" s="100" t="s">
        <v>97</v>
      </c>
      <c r="D1057" s="100">
        <v>1.0</v>
      </c>
      <c r="E1057" s="119">
        <v>109.0</v>
      </c>
      <c r="F1057" s="119">
        <f t="shared" si="166"/>
        <v>109</v>
      </c>
      <c r="G1057" s="119">
        <f t="shared" si="167"/>
        <v>27.25</v>
      </c>
      <c r="H1057" s="100" t="s">
        <v>271</v>
      </c>
      <c r="I1057" s="1"/>
      <c r="J1057" s="120" t="s">
        <v>1403</v>
      </c>
      <c r="K1057" s="99"/>
      <c r="L1057" s="50"/>
      <c r="M1057" s="50"/>
      <c r="P1057" s="68"/>
    </row>
    <row r="1058">
      <c r="A1058" s="100">
        <v>1.93623509781E11</v>
      </c>
      <c r="B1058" s="131" t="s">
        <v>1411</v>
      </c>
      <c r="C1058" s="100" t="s">
        <v>97</v>
      </c>
      <c r="D1058" s="100">
        <v>1.0</v>
      </c>
      <c r="E1058" s="119">
        <v>89.98</v>
      </c>
      <c r="F1058" s="119">
        <f t="shared" si="166"/>
        <v>89.98</v>
      </c>
      <c r="G1058" s="119">
        <f t="shared" si="167"/>
        <v>22.495</v>
      </c>
      <c r="H1058" s="100" t="s">
        <v>271</v>
      </c>
      <c r="I1058" s="1"/>
      <c r="J1058" s="120" t="s">
        <v>1403</v>
      </c>
      <c r="K1058" s="99"/>
      <c r="L1058" s="50"/>
      <c r="M1058" s="50"/>
      <c r="P1058" s="68"/>
    </row>
    <row r="1059">
      <c r="A1059" s="100">
        <v>1.93623744762E11</v>
      </c>
      <c r="B1059" s="131" t="s">
        <v>1412</v>
      </c>
      <c r="C1059" s="100" t="s">
        <v>97</v>
      </c>
      <c r="D1059" s="100">
        <v>1.0</v>
      </c>
      <c r="E1059" s="119">
        <v>89.98</v>
      </c>
      <c r="F1059" s="119">
        <f t="shared" si="166"/>
        <v>89.98</v>
      </c>
      <c r="G1059" s="119">
        <f t="shared" si="167"/>
        <v>22.495</v>
      </c>
      <c r="H1059" s="100" t="s">
        <v>271</v>
      </c>
      <c r="I1059" s="1"/>
      <c r="J1059" s="120" t="s">
        <v>1403</v>
      </c>
      <c r="K1059" s="99"/>
      <c r="L1059" s="50"/>
      <c r="M1059" s="50"/>
      <c r="P1059" s="68"/>
    </row>
    <row r="1060">
      <c r="A1060" s="100">
        <v>1.9362385328E11</v>
      </c>
      <c r="B1060" s="131" t="s">
        <v>1413</v>
      </c>
      <c r="C1060" s="100" t="s">
        <v>97</v>
      </c>
      <c r="D1060" s="100">
        <v>1.0</v>
      </c>
      <c r="E1060" s="119">
        <v>89.98</v>
      </c>
      <c r="F1060" s="119">
        <f t="shared" si="166"/>
        <v>89.98</v>
      </c>
      <c r="G1060" s="119">
        <f t="shared" si="167"/>
        <v>22.495</v>
      </c>
      <c r="H1060" s="100" t="s">
        <v>279</v>
      </c>
      <c r="I1060" s="1"/>
      <c r="J1060" s="120" t="s">
        <v>1403</v>
      </c>
      <c r="K1060" s="99"/>
      <c r="L1060" s="50"/>
      <c r="M1060" s="50"/>
      <c r="P1060" s="68"/>
    </row>
    <row r="1061">
      <c r="A1061" s="100">
        <v>1.93623993306E11</v>
      </c>
      <c r="B1061" s="131" t="s">
        <v>1414</v>
      </c>
      <c r="C1061" s="100" t="s">
        <v>97</v>
      </c>
      <c r="D1061" s="100">
        <v>1.0</v>
      </c>
      <c r="E1061" s="119">
        <v>229.0</v>
      </c>
      <c r="F1061" s="119">
        <f t="shared" si="166"/>
        <v>229</v>
      </c>
      <c r="G1061" s="119">
        <f t="shared" si="167"/>
        <v>57.25</v>
      </c>
      <c r="H1061" s="100" t="s">
        <v>271</v>
      </c>
      <c r="I1061" s="1"/>
      <c r="J1061" s="120" t="s">
        <v>1403</v>
      </c>
      <c r="K1061" s="99"/>
      <c r="L1061" s="50"/>
      <c r="M1061" s="50"/>
      <c r="P1061" s="68"/>
    </row>
    <row r="1062">
      <c r="A1062" s="100">
        <v>1.94414615872E11</v>
      </c>
      <c r="B1062" s="131" t="s">
        <v>1415</v>
      </c>
      <c r="C1062" s="100" t="s">
        <v>97</v>
      </c>
      <c r="D1062" s="100">
        <v>1.0</v>
      </c>
      <c r="E1062" s="119">
        <v>229.0</v>
      </c>
      <c r="F1062" s="119">
        <f t="shared" si="166"/>
        <v>229</v>
      </c>
      <c r="G1062" s="119">
        <f t="shared" si="167"/>
        <v>57.25</v>
      </c>
      <c r="H1062" s="100" t="s">
        <v>271</v>
      </c>
      <c r="I1062" s="1"/>
      <c r="J1062" s="120" t="s">
        <v>1403</v>
      </c>
      <c r="K1062" s="99"/>
      <c r="L1062" s="50"/>
      <c r="M1062" s="50"/>
      <c r="P1062" s="68"/>
    </row>
    <row r="1063">
      <c r="A1063" s="100">
        <v>1.94414623501E11</v>
      </c>
      <c r="B1063" s="131" t="s">
        <v>1416</v>
      </c>
      <c r="C1063" s="100" t="s">
        <v>97</v>
      </c>
      <c r="D1063" s="100">
        <v>1.0</v>
      </c>
      <c r="E1063" s="119">
        <v>199.0</v>
      </c>
      <c r="F1063" s="119">
        <f t="shared" si="166"/>
        <v>199</v>
      </c>
      <c r="G1063" s="119">
        <f t="shared" si="167"/>
        <v>49.75</v>
      </c>
      <c r="H1063" s="100" t="s">
        <v>271</v>
      </c>
      <c r="I1063" s="1"/>
      <c r="J1063" s="120" t="s">
        <v>1403</v>
      </c>
      <c r="K1063" s="99"/>
      <c r="L1063" s="50"/>
      <c r="M1063" s="50"/>
      <c r="P1063" s="68"/>
    </row>
    <row r="1064">
      <c r="A1064" s="100">
        <v>1.94414662463E11</v>
      </c>
      <c r="B1064" s="131" t="s">
        <v>1417</v>
      </c>
      <c r="C1064" s="100" t="s">
        <v>97</v>
      </c>
      <c r="D1064" s="100">
        <v>1.0</v>
      </c>
      <c r="E1064" s="119">
        <v>134.0</v>
      </c>
      <c r="F1064" s="119">
        <f t="shared" si="166"/>
        <v>134</v>
      </c>
      <c r="G1064" s="119">
        <f t="shared" si="167"/>
        <v>33.5</v>
      </c>
      <c r="H1064" s="100" t="s">
        <v>271</v>
      </c>
      <c r="I1064" s="1"/>
      <c r="J1064" s="120" t="s">
        <v>1403</v>
      </c>
      <c r="K1064" s="99"/>
      <c r="L1064" s="50"/>
      <c r="M1064" s="50"/>
      <c r="P1064" s="68"/>
    </row>
    <row r="1065">
      <c r="A1065" s="100">
        <v>1.94414960231E11</v>
      </c>
      <c r="B1065" s="131" t="s">
        <v>1418</v>
      </c>
      <c r="C1065" s="100" t="s">
        <v>97</v>
      </c>
      <c r="D1065" s="100">
        <v>1.0</v>
      </c>
      <c r="E1065" s="119">
        <v>134.0</v>
      </c>
      <c r="F1065" s="119">
        <f t="shared" si="166"/>
        <v>134</v>
      </c>
      <c r="G1065" s="119">
        <f t="shared" si="167"/>
        <v>33.5</v>
      </c>
      <c r="H1065" s="100" t="s">
        <v>271</v>
      </c>
      <c r="I1065" s="1"/>
      <c r="J1065" s="120" t="s">
        <v>1403</v>
      </c>
      <c r="K1065" s="99"/>
      <c r="L1065" s="50"/>
      <c r="M1065" s="50"/>
      <c r="P1065" s="68"/>
    </row>
    <row r="1066">
      <c r="A1066" s="100">
        <v>1.94414965427E11</v>
      </c>
      <c r="B1066" s="131" t="s">
        <v>1419</v>
      </c>
      <c r="C1066" s="100" t="s">
        <v>97</v>
      </c>
      <c r="D1066" s="100">
        <v>1.0</v>
      </c>
      <c r="E1066" s="119">
        <v>139.0</v>
      </c>
      <c r="F1066" s="119">
        <f t="shared" si="166"/>
        <v>139</v>
      </c>
      <c r="G1066" s="119">
        <f t="shared" si="167"/>
        <v>34.75</v>
      </c>
      <c r="H1066" s="100" t="s">
        <v>279</v>
      </c>
      <c r="I1066" s="1"/>
      <c r="J1066" s="120" t="s">
        <v>1403</v>
      </c>
      <c r="K1066" s="99"/>
      <c r="L1066" s="50"/>
      <c r="M1066" s="50"/>
      <c r="P1066" s="68"/>
    </row>
    <row r="1067">
      <c r="A1067" s="100">
        <v>1.94414965434E11</v>
      </c>
      <c r="B1067" s="131" t="s">
        <v>1420</v>
      </c>
      <c r="C1067" s="100" t="s">
        <v>97</v>
      </c>
      <c r="D1067" s="100">
        <v>1.0</v>
      </c>
      <c r="E1067" s="119">
        <v>139.0</v>
      </c>
      <c r="F1067" s="119">
        <f t="shared" si="166"/>
        <v>139</v>
      </c>
      <c r="G1067" s="119">
        <f t="shared" si="167"/>
        <v>34.75</v>
      </c>
      <c r="H1067" s="100" t="s">
        <v>279</v>
      </c>
      <c r="I1067" s="1"/>
      <c r="J1067" s="120" t="s">
        <v>1403</v>
      </c>
      <c r="K1067" s="99"/>
      <c r="L1067" s="50"/>
      <c r="M1067" s="50"/>
      <c r="P1067" s="68"/>
    </row>
    <row r="1068">
      <c r="A1068" s="100">
        <v>1.94414968084E11</v>
      </c>
      <c r="B1068" s="131" t="s">
        <v>1421</v>
      </c>
      <c r="C1068" s="100" t="s">
        <v>97</v>
      </c>
      <c r="D1068" s="100">
        <v>1.0</v>
      </c>
      <c r="E1068" s="119">
        <v>89.98</v>
      </c>
      <c r="F1068" s="119">
        <f t="shared" si="166"/>
        <v>89.98</v>
      </c>
      <c r="G1068" s="119">
        <f t="shared" si="167"/>
        <v>22.495</v>
      </c>
      <c r="H1068" s="100" t="s">
        <v>271</v>
      </c>
      <c r="I1068" s="1"/>
      <c r="J1068" s="120" t="s">
        <v>1403</v>
      </c>
      <c r="K1068" s="99"/>
      <c r="L1068" s="50"/>
      <c r="M1068" s="50"/>
      <c r="P1068" s="68"/>
    </row>
    <row r="1069">
      <c r="A1069" s="100">
        <v>1.94414969388E11</v>
      </c>
      <c r="B1069" s="131" t="s">
        <v>1422</v>
      </c>
      <c r="C1069" s="100" t="s">
        <v>97</v>
      </c>
      <c r="D1069" s="100">
        <v>1.0</v>
      </c>
      <c r="E1069" s="119">
        <v>149.0</v>
      </c>
      <c r="F1069" s="119">
        <f t="shared" si="166"/>
        <v>149</v>
      </c>
      <c r="G1069" s="119">
        <f t="shared" si="167"/>
        <v>37.25</v>
      </c>
      <c r="H1069" s="100" t="s">
        <v>271</v>
      </c>
      <c r="I1069" s="1"/>
      <c r="J1069" s="120" t="s">
        <v>1403</v>
      </c>
      <c r="K1069" s="99"/>
      <c r="L1069" s="50"/>
      <c r="M1069" s="50"/>
      <c r="P1069" s="68"/>
    </row>
    <row r="1070">
      <c r="A1070" s="100">
        <v>1.95046530533E11</v>
      </c>
      <c r="B1070" s="131" t="s">
        <v>1423</v>
      </c>
      <c r="C1070" s="100" t="s">
        <v>97</v>
      </c>
      <c r="D1070" s="100">
        <v>1.0</v>
      </c>
      <c r="E1070" s="119">
        <v>69.5</v>
      </c>
      <c r="F1070" s="119">
        <f t="shared" si="166"/>
        <v>69.5</v>
      </c>
      <c r="G1070" s="119">
        <f t="shared" si="167"/>
        <v>17.375</v>
      </c>
      <c r="H1070" s="100" t="s">
        <v>1424</v>
      </c>
      <c r="I1070" s="1"/>
      <c r="J1070" s="120" t="s">
        <v>1403</v>
      </c>
      <c r="K1070" s="99"/>
      <c r="L1070" s="50"/>
      <c r="M1070" s="50"/>
      <c r="P1070" s="68"/>
    </row>
    <row r="1071">
      <c r="A1071" s="100">
        <v>1.95046718184E11</v>
      </c>
      <c r="B1071" s="131" t="s">
        <v>1425</v>
      </c>
      <c r="C1071" s="100" t="s">
        <v>97</v>
      </c>
      <c r="D1071" s="100">
        <v>1.0</v>
      </c>
      <c r="E1071" s="119">
        <v>89.5</v>
      </c>
      <c r="F1071" s="119">
        <f t="shared" si="166"/>
        <v>89.5</v>
      </c>
      <c r="G1071" s="119">
        <f t="shared" si="167"/>
        <v>22.375</v>
      </c>
      <c r="H1071" s="100" t="s">
        <v>1424</v>
      </c>
      <c r="I1071" s="1"/>
      <c r="J1071" s="120" t="s">
        <v>1403</v>
      </c>
      <c r="K1071" s="99"/>
      <c r="L1071" s="50"/>
      <c r="M1071" s="50"/>
      <c r="P1071" s="68"/>
    </row>
    <row r="1072">
      <c r="A1072" s="100">
        <v>1.95046755325E11</v>
      </c>
      <c r="B1072" s="131" t="s">
        <v>1426</v>
      </c>
      <c r="C1072" s="100" t="s">
        <v>97</v>
      </c>
      <c r="D1072" s="100">
        <v>1.0</v>
      </c>
      <c r="E1072" s="119">
        <v>129.0</v>
      </c>
      <c r="F1072" s="119">
        <f t="shared" si="166"/>
        <v>129</v>
      </c>
      <c r="G1072" s="119">
        <f t="shared" si="167"/>
        <v>32.25</v>
      </c>
      <c r="H1072" s="100" t="s">
        <v>271</v>
      </c>
      <c r="I1072" s="1"/>
      <c r="J1072" s="120" t="s">
        <v>1403</v>
      </c>
      <c r="K1072" s="99"/>
      <c r="L1072" s="50"/>
      <c r="M1072" s="50"/>
      <c r="P1072" s="68"/>
    </row>
    <row r="1073">
      <c r="A1073" s="100">
        <v>1.95046903849E11</v>
      </c>
      <c r="B1073" s="131" t="s">
        <v>1427</v>
      </c>
      <c r="C1073" s="100" t="s">
        <v>97</v>
      </c>
      <c r="D1073" s="100">
        <v>1.0</v>
      </c>
      <c r="E1073" s="119">
        <v>134.0</v>
      </c>
      <c r="F1073" s="119">
        <f t="shared" si="166"/>
        <v>134</v>
      </c>
      <c r="G1073" s="119">
        <f t="shared" si="167"/>
        <v>33.5</v>
      </c>
      <c r="H1073" s="100" t="s">
        <v>271</v>
      </c>
      <c r="I1073" s="1"/>
      <c r="J1073" s="120" t="s">
        <v>1403</v>
      </c>
      <c r="K1073" s="99"/>
      <c r="L1073" s="50"/>
      <c r="M1073" s="50"/>
      <c r="P1073" s="68"/>
    </row>
    <row r="1074">
      <c r="A1074" s="100">
        <v>1.95046906598E11</v>
      </c>
      <c r="B1074" s="131" t="s">
        <v>1428</v>
      </c>
      <c r="C1074" s="100" t="s">
        <v>97</v>
      </c>
      <c r="D1074" s="100">
        <v>1.0</v>
      </c>
      <c r="E1074" s="119">
        <v>134.0</v>
      </c>
      <c r="F1074" s="119">
        <f t="shared" si="166"/>
        <v>134</v>
      </c>
      <c r="G1074" s="119">
        <f t="shared" si="167"/>
        <v>33.5</v>
      </c>
      <c r="H1074" s="100" t="s">
        <v>271</v>
      </c>
      <c r="I1074" s="1"/>
      <c r="J1074" s="120" t="s">
        <v>1403</v>
      </c>
      <c r="K1074" s="99"/>
      <c r="L1074" s="50"/>
      <c r="M1074" s="50"/>
      <c r="P1074" s="68"/>
    </row>
    <row r="1075">
      <c r="A1075" s="100">
        <v>1.95046908653E11</v>
      </c>
      <c r="B1075" s="131" t="s">
        <v>1429</v>
      </c>
      <c r="C1075" s="100" t="s">
        <v>97</v>
      </c>
      <c r="D1075" s="100">
        <v>1.0</v>
      </c>
      <c r="E1075" s="119">
        <v>134.0</v>
      </c>
      <c r="F1075" s="119">
        <f t="shared" si="166"/>
        <v>134</v>
      </c>
      <c r="G1075" s="119">
        <f t="shared" si="167"/>
        <v>33.5</v>
      </c>
      <c r="H1075" s="100" t="s">
        <v>271</v>
      </c>
      <c r="I1075" s="1"/>
      <c r="J1075" s="120" t="s">
        <v>1403</v>
      </c>
      <c r="K1075" s="99"/>
      <c r="L1075" s="50"/>
      <c r="M1075" s="50"/>
      <c r="P1075" s="68"/>
    </row>
    <row r="1076">
      <c r="A1076" s="100">
        <v>7.00289285944E11</v>
      </c>
      <c r="B1076" s="131" t="s">
        <v>1430</v>
      </c>
      <c r="C1076" s="100" t="s">
        <v>97</v>
      </c>
      <c r="D1076" s="100">
        <v>1.0</v>
      </c>
      <c r="E1076" s="119">
        <v>49.98</v>
      </c>
      <c r="F1076" s="119">
        <f t="shared" si="166"/>
        <v>49.98</v>
      </c>
      <c r="G1076" s="119">
        <f t="shared" si="167"/>
        <v>12.495</v>
      </c>
      <c r="H1076" s="100" t="s">
        <v>271</v>
      </c>
      <c r="I1076" s="1"/>
      <c r="J1076" s="120" t="s">
        <v>1403</v>
      </c>
      <c r="K1076" s="99"/>
      <c r="L1076" s="50"/>
      <c r="M1076" s="50"/>
      <c r="P1076" s="68"/>
    </row>
    <row r="1077">
      <c r="A1077" s="100">
        <v>7.00289285951E11</v>
      </c>
      <c r="B1077" s="131" t="s">
        <v>1431</v>
      </c>
      <c r="C1077" s="100" t="s">
        <v>97</v>
      </c>
      <c r="D1077" s="100">
        <v>1.0</v>
      </c>
      <c r="E1077" s="119">
        <v>49.98</v>
      </c>
      <c r="F1077" s="119">
        <f t="shared" si="166"/>
        <v>49.98</v>
      </c>
      <c r="G1077" s="119">
        <f t="shared" si="167"/>
        <v>12.495</v>
      </c>
      <c r="H1077" s="100" t="s">
        <v>271</v>
      </c>
      <c r="I1077" s="1"/>
      <c r="J1077" s="120" t="s">
        <v>1403</v>
      </c>
      <c r="K1077" s="99"/>
      <c r="L1077" s="50"/>
      <c r="M1077" s="50"/>
      <c r="P1077" s="68"/>
    </row>
    <row r="1078">
      <c r="A1078" s="100">
        <v>7.00289285975E11</v>
      </c>
      <c r="B1078" s="131" t="s">
        <v>1432</v>
      </c>
      <c r="C1078" s="100" t="s">
        <v>97</v>
      </c>
      <c r="D1078" s="100">
        <v>2.0</v>
      </c>
      <c r="E1078" s="119">
        <v>49.98</v>
      </c>
      <c r="F1078" s="119">
        <f t="shared" si="166"/>
        <v>99.96</v>
      </c>
      <c r="G1078" s="119">
        <f t="shared" si="167"/>
        <v>24.99</v>
      </c>
      <c r="H1078" s="100" t="s">
        <v>271</v>
      </c>
      <c r="I1078" s="1"/>
      <c r="J1078" s="120" t="s">
        <v>1403</v>
      </c>
      <c r="K1078" s="99"/>
      <c r="L1078" s="50"/>
      <c r="M1078" s="50"/>
      <c r="P1078" s="68"/>
    </row>
    <row r="1079">
      <c r="A1079" s="144" t="s">
        <v>1433</v>
      </c>
      <c r="B1079" s="145" t="s">
        <v>1434</v>
      </c>
      <c r="C1079" s="146"/>
      <c r="D1079" s="146"/>
      <c r="E1079" s="147"/>
      <c r="F1079" s="147"/>
      <c r="G1079" s="147"/>
      <c r="H1079" s="148"/>
      <c r="I1079" s="1"/>
      <c r="J1079" s="35"/>
      <c r="K1079" s="99"/>
      <c r="L1079" s="50"/>
      <c r="M1079" s="50"/>
      <c r="P1079" s="68"/>
    </row>
    <row r="1080">
      <c r="A1080" s="134">
        <v>1.93623432041E11</v>
      </c>
      <c r="B1080" s="131" t="s">
        <v>1435</v>
      </c>
      <c r="C1080" s="100" t="s">
        <v>97</v>
      </c>
      <c r="D1080" s="100">
        <v>1.0</v>
      </c>
      <c r="E1080" s="119">
        <v>199.0</v>
      </c>
      <c r="F1080" s="119">
        <f>E1080*D1080</f>
        <v>199</v>
      </c>
      <c r="G1080" s="119">
        <f>F1080/4</f>
        <v>49.75</v>
      </c>
      <c r="H1080" s="143" t="s">
        <v>271</v>
      </c>
      <c r="I1080" s="1"/>
      <c r="J1080" s="120" t="s">
        <v>1403</v>
      </c>
      <c r="K1080" s="99"/>
      <c r="L1080" s="50"/>
      <c r="M1080" s="50"/>
      <c r="P1080" s="68"/>
    </row>
    <row r="1081">
      <c r="A1081" s="144" t="s">
        <v>429</v>
      </c>
      <c r="B1081" s="145" t="s">
        <v>1436</v>
      </c>
      <c r="C1081" s="100"/>
      <c r="D1081" s="100"/>
      <c r="E1081" s="119"/>
      <c r="F1081" s="119"/>
      <c r="G1081" s="119"/>
      <c r="H1081" s="143"/>
      <c r="I1081" s="1"/>
      <c r="J1081" s="35"/>
      <c r="K1081" s="99"/>
      <c r="L1081" s="50"/>
      <c r="M1081" s="50"/>
      <c r="P1081" s="68"/>
    </row>
    <row r="1082">
      <c r="A1082" s="174">
        <v>1.9362375473E11</v>
      </c>
      <c r="B1082" s="131" t="s">
        <v>1437</v>
      </c>
      <c r="C1082" s="100" t="s">
        <v>97</v>
      </c>
      <c r="D1082" s="100">
        <v>1.0</v>
      </c>
      <c r="E1082" s="119">
        <v>89.98</v>
      </c>
      <c r="F1082" s="119">
        <f t="shared" ref="F1082:F1088" si="168">E1082*D1082</f>
        <v>89.98</v>
      </c>
      <c r="G1082" s="119">
        <f t="shared" ref="G1082:G1088" si="169">F1082/4</f>
        <v>22.495</v>
      </c>
      <c r="H1082" s="143" t="s">
        <v>271</v>
      </c>
      <c r="I1082" s="178" t="s">
        <v>703</v>
      </c>
      <c r="J1082" s="120" t="s">
        <v>1403</v>
      </c>
      <c r="K1082" s="99"/>
      <c r="L1082" s="50"/>
      <c r="M1082" s="50"/>
      <c r="P1082" s="68"/>
    </row>
    <row r="1083">
      <c r="A1083" s="174">
        <v>1.94414134359E11</v>
      </c>
      <c r="B1083" s="131" t="s">
        <v>1438</v>
      </c>
      <c r="C1083" s="100" t="s">
        <v>97</v>
      </c>
      <c r="D1083" s="100">
        <v>1.0</v>
      </c>
      <c r="E1083" s="119">
        <v>199.0</v>
      </c>
      <c r="F1083" s="119">
        <f t="shared" si="168"/>
        <v>199</v>
      </c>
      <c r="G1083" s="119">
        <f t="shared" si="169"/>
        <v>49.75</v>
      </c>
      <c r="H1083" s="143" t="s">
        <v>271</v>
      </c>
      <c r="I1083" s="178" t="s">
        <v>703</v>
      </c>
      <c r="J1083" s="120" t="s">
        <v>1403</v>
      </c>
      <c r="K1083" s="99"/>
      <c r="L1083" s="50"/>
      <c r="M1083" s="50"/>
      <c r="P1083" s="68"/>
    </row>
    <row r="1084">
      <c r="A1084" s="174">
        <v>1.9441418178E11</v>
      </c>
      <c r="B1084" s="131" t="s">
        <v>1439</v>
      </c>
      <c r="C1084" s="100" t="s">
        <v>97</v>
      </c>
      <c r="D1084" s="100">
        <v>1.0</v>
      </c>
      <c r="E1084" s="119">
        <v>66.75</v>
      </c>
      <c r="F1084" s="119">
        <f t="shared" si="168"/>
        <v>66.75</v>
      </c>
      <c r="G1084" s="119">
        <f t="shared" si="169"/>
        <v>16.6875</v>
      </c>
      <c r="H1084" s="143" t="s">
        <v>271</v>
      </c>
      <c r="I1084" s="178" t="s">
        <v>703</v>
      </c>
      <c r="J1084" s="120" t="s">
        <v>1403</v>
      </c>
      <c r="K1084" s="99"/>
      <c r="L1084" s="50"/>
      <c r="M1084" s="50"/>
      <c r="P1084" s="68"/>
    </row>
    <row r="1085">
      <c r="A1085" s="174">
        <v>1.95046592388E11</v>
      </c>
      <c r="B1085" s="131" t="s">
        <v>1440</v>
      </c>
      <c r="C1085" s="100" t="s">
        <v>97</v>
      </c>
      <c r="D1085" s="100">
        <v>1.0</v>
      </c>
      <c r="E1085" s="119">
        <v>89.5</v>
      </c>
      <c r="F1085" s="119">
        <f t="shared" si="168"/>
        <v>89.5</v>
      </c>
      <c r="G1085" s="119">
        <f t="shared" si="169"/>
        <v>22.375</v>
      </c>
      <c r="H1085" s="143" t="s">
        <v>1424</v>
      </c>
      <c r="I1085" s="178" t="s">
        <v>703</v>
      </c>
      <c r="J1085" s="120" t="s">
        <v>1403</v>
      </c>
      <c r="K1085" s="99"/>
      <c r="L1085" s="50"/>
      <c r="M1085" s="50"/>
      <c r="P1085" s="68"/>
    </row>
    <row r="1086">
      <c r="A1086" s="174">
        <v>1.95046708086E11</v>
      </c>
      <c r="B1086" s="131" t="s">
        <v>1441</v>
      </c>
      <c r="C1086" s="100" t="s">
        <v>97</v>
      </c>
      <c r="D1086" s="100">
        <v>1.0</v>
      </c>
      <c r="E1086" s="119">
        <v>99.5</v>
      </c>
      <c r="F1086" s="119">
        <f t="shared" si="168"/>
        <v>99.5</v>
      </c>
      <c r="G1086" s="119">
        <f t="shared" si="169"/>
        <v>24.875</v>
      </c>
      <c r="H1086" s="143" t="s">
        <v>1424</v>
      </c>
      <c r="I1086" s="178" t="s">
        <v>703</v>
      </c>
      <c r="J1086" s="120" t="s">
        <v>1403</v>
      </c>
      <c r="K1086" s="99"/>
      <c r="L1086" s="50"/>
      <c r="M1086" s="50"/>
      <c r="P1086" s="68"/>
    </row>
    <row r="1087">
      <c r="A1087" s="174">
        <v>1.95046734504E11</v>
      </c>
      <c r="B1087" s="131" t="s">
        <v>1442</v>
      </c>
      <c r="C1087" s="100" t="s">
        <v>97</v>
      </c>
      <c r="D1087" s="100">
        <v>1.0</v>
      </c>
      <c r="E1087" s="119">
        <v>99.5</v>
      </c>
      <c r="F1087" s="119">
        <f t="shared" si="168"/>
        <v>99.5</v>
      </c>
      <c r="G1087" s="119">
        <f t="shared" si="169"/>
        <v>24.875</v>
      </c>
      <c r="H1087" s="143" t="s">
        <v>1424</v>
      </c>
      <c r="I1087" s="178" t="s">
        <v>703</v>
      </c>
      <c r="J1087" s="120" t="s">
        <v>1403</v>
      </c>
      <c r="K1087" s="99"/>
      <c r="L1087" s="50"/>
      <c r="M1087" s="50"/>
      <c r="P1087" s="68"/>
    </row>
    <row r="1088">
      <c r="A1088" s="174">
        <v>1.95046897575E11</v>
      </c>
      <c r="B1088" s="131" t="s">
        <v>1443</v>
      </c>
      <c r="C1088" s="100" t="s">
        <v>97</v>
      </c>
      <c r="D1088" s="100">
        <v>1.0</v>
      </c>
      <c r="E1088" s="119">
        <v>69.5</v>
      </c>
      <c r="F1088" s="119">
        <f t="shared" si="168"/>
        <v>69.5</v>
      </c>
      <c r="G1088" s="119">
        <f t="shared" si="169"/>
        <v>17.375</v>
      </c>
      <c r="H1088" s="143" t="s">
        <v>271</v>
      </c>
      <c r="I1088" s="178" t="s">
        <v>703</v>
      </c>
      <c r="J1088" s="120" t="s">
        <v>1403</v>
      </c>
      <c r="K1088" s="99"/>
      <c r="L1088" s="50"/>
      <c r="M1088" s="50"/>
      <c r="P1088" s="68"/>
    </row>
    <row r="1089">
      <c r="A1089" s="112" t="s">
        <v>224</v>
      </c>
      <c r="B1089" s="112" t="s">
        <v>1444</v>
      </c>
      <c r="C1089" s="112" t="str">
        <f>MID($B1089,6,7)</f>
        <v>mm18855</v>
      </c>
      <c r="D1089" s="112"/>
      <c r="E1089" s="112"/>
      <c r="F1089" s="112"/>
      <c r="G1089" s="112"/>
      <c r="H1089" s="127">
        <v>44559.0</v>
      </c>
      <c r="I1089" s="1"/>
      <c r="J1089" s="108" t="str">
        <f>IF(LEFT(B1089,3)="Box","BOX","COUNT")</f>
        <v>BOX</v>
      </c>
      <c r="K1089" s="99">
        <f>SUMIF($J$4:$J$8712,$C1089,$D$4:$D$8712)</f>
        <v>38</v>
      </c>
      <c r="L1089" s="50">
        <f>SUMIF($J$4:$J$8712,$C1089,$F$4:$F$8712)</f>
        <v>4689.57</v>
      </c>
      <c r="M1089" s="50">
        <f>SUMIF($J$4:$J$8712,$C1089,$G$4:$G$8712)</f>
        <v>1172.3925</v>
      </c>
      <c r="N1089" s="70" t="str">
        <f>C1089</f>
        <v>mm18855</v>
      </c>
      <c r="O1089" s="70" t="str">
        <f>J1090</f>
        <v>SHIP</v>
      </c>
      <c r="P1089" s="68">
        <f>M1089</f>
        <v>1172.3925</v>
      </c>
      <c r="Q1089" s="114">
        <v>44559.0</v>
      </c>
      <c r="R1089" s="37" t="s">
        <v>1400</v>
      </c>
      <c r="S1089" s="37" t="s">
        <v>1325</v>
      </c>
    </row>
    <row r="1090">
      <c r="A1090" s="222"/>
      <c r="B1090" s="112" t="s">
        <v>1445</v>
      </c>
      <c r="C1090" s="141"/>
      <c r="D1090" s="141"/>
      <c r="E1090" s="142"/>
      <c r="F1090" s="142"/>
      <c r="G1090" s="142"/>
      <c r="H1090" s="223"/>
      <c r="I1090" s="1"/>
      <c r="J1090" s="108" t="str">
        <f>IF(B1090="","NSHIP","SHIP")</f>
        <v>SHIP</v>
      </c>
      <c r="K1090" s="99">
        <f>IF($J1090="NSHIP",0,-SUMIF($J$4:$J$8712,$C1089,$D$4:$D$8712))</f>
        <v>-38</v>
      </c>
      <c r="L1090" s="50">
        <f>IF($J1090="NSHIP",0,-SUMIF($J$4:$J$8710,$C1089,$F$4:$F$8710))</f>
        <v>-4689.57</v>
      </c>
      <c r="M1090" s="50">
        <f>IF($J1090="NSHIP",0,-SUMIF($J$4:$J$8710,$C1089,$G$4:$G$8710))</f>
        <v>-1172.3925</v>
      </c>
      <c r="P1090" s="68"/>
    </row>
    <row r="1091">
      <c r="A1091" s="95">
        <v>1.92673331366E11</v>
      </c>
      <c r="B1091" s="151" t="s">
        <v>1446</v>
      </c>
      <c r="C1091" s="95" t="s">
        <v>97</v>
      </c>
      <c r="D1091" s="95">
        <v>1.0</v>
      </c>
      <c r="E1091" s="101">
        <v>98.0</v>
      </c>
      <c r="F1091" s="101">
        <f t="shared" ref="F1091:F1112" si="170">E1091*D1091</f>
        <v>98</v>
      </c>
      <c r="G1091" s="101">
        <f t="shared" ref="G1091:G1112" si="171">F1091/4</f>
        <v>24.5</v>
      </c>
      <c r="H1091" s="95" t="s">
        <v>1447</v>
      </c>
      <c r="J1091" s="120" t="s">
        <v>1448</v>
      </c>
      <c r="K1091" s="99"/>
      <c r="L1091" s="50"/>
      <c r="M1091" s="50"/>
      <c r="P1091" s="68"/>
    </row>
    <row r="1092">
      <c r="A1092" s="95">
        <v>1.95170005495E11</v>
      </c>
      <c r="B1092" s="151" t="s">
        <v>1449</v>
      </c>
      <c r="C1092" s="95" t="s">
        <v>97</v>
      </c>
      <c r="D1092" s="95">
        <v>1.0</v>
      </c>
      <c r="E1092" s="101">
        <v>95.4</v>
      </c>
      <c r="F1092" s="101">
        <f t="shared" si="170"/>
        <v>95.4</v>
      </c>
      <c r="G1092" s="101">
        <f t="shared" si="171"/>
        <v>23.85</v>
      </c>
      <c r="H1092" s="95" t="s">
        <v>1450</v>
      </c>
      <c r="J1092" s="120" t="s">
        <v>1448</v>
      </c>
      <c r="K1092" s="99"/>
      <c r="L1092" s="50"/>
      <c r="M1092" s="50"/>
      <c r="P1092" s="68"/>
    </row>
    <row r="1093">
      <c r="A1093" s="95">
        <v>1.95170005525E11</v>
      </c>
      <c r="B1093" s="151" t="s">
        <v>1451</v>
      </c>
      <c r="C1093" s="95" t="s">
        <v>97</v>
      </c>
      <c r="D1093" s="95">
        <v>1.0</v>
      </c>
      <c r="E1093" s="101">
        <v>159.0</v>
      </c>
      <c r="F1093" s="101">
        <f t="shared" si="170"/>
        <v>159</v>
      </c>
      <c r="G1093" s="101">
        <f t="shared" si="171"/>
        <v>39.75</v>
      </c>
      <c r="H1093" s="95" t="s">
        <v>171</v>
      </c>
      <c r="J1093" s="120" t="s">
        <v>1448</v>
      </c>
      <c r="K1093" s="99"/>
      <c r="L1093" s="50"/>
      <c r="M1093" s="50"/>
      <c r="P1093" s="68"/>
    </row>
    <row r="1094">
      <c r="A1094" s="95">
        <v>1.95170005983E11</v>
      </c>
      <c r="B1094" s="151" t="s">
        <v>1452</v>
      </c>
      <c r="C1094" s="95" t="s">
        <v>97</v>
      </c>
      <c r="D1094" s="95">
        <v>1.0</v>
      </c>
      <c r="E1094" s="101">
        <v>149.0</v>
      </c>
      <c r="F1094" s="101">
        <f t="shared" si="170"/>
        <v>149</v>
      </c>
      <c r="G1094" s="101">
        <f t="shared" si="171"/>
        <v>37.25</v>
      </c>
      <c r="H1094" s="95" t="s">
        <v>171</v>
      </c>
      <c r="J1094" s="120" t="s">
        <v>1448</v>
      </c>
      <c r="K1094" s="99"/>
      <c r="L1094" s="50"/>
      <c r="M1094" s="50"/>
      <c r="P1094" s="68"/>
    </row>
    <row r="1095">
      <c r="A1095" s="95">
        <v>1.95170006041E11</v>
      </c>
      <c r="B1095" s="151" t="s">
        <v>1453</v>
      </c>
      <c r="C1095" s="95" t="s">
        <v>97</v>
      </c>
      <c r="D1095" s="95">
        <v>1.0</v>
      </c>
      <c r="E1095" s="101">
        <v>149.0</v>
      </c>
      <c r="F1095" s="101">
        <f t="shared" si="170"/>
        <v>149</v>
      </c>
      <c r="G1095" s="101">
        <f t="shared" si="171"/>
        <v>37.25</v>
      </c>
      <c r="H1095" s="95" t="s">
        <v>171</v>
      </c>
      <c r="J1095" s="120" t="s">
        <v>1448</v>
      </c>
      <c r="K1095" s="99"/>
      <c r="L1095" s="50"/>
      <c r="M1095" s="50"/>
      <c r="P1095" s="68"/>
    </row>
    <row r="1096">
      <c r="A1096" s="95">
        <v>6.51481556953E11</v>
      </c>
      <c r="B1096" s="151" t="s">
        <v>1454</v>
      </c>
      <c r="C1096" s="95" t="s">
        <v>97</v>
      </c>
      <c r="D1096" s="95">
        <v>1.0</v>
      </c>
      <c r="E1096" s="101">
        <v>69.0</v>
      </c>
      <c r="F1096" s="101">
        <f t="shared" si="170"/>
        <v>69</v>
      </c>
      <c r="G1096" s="101">
        <f t="shared" si="171"/>
        <v>17.25</v>
      </c>
      <c r="H1096" s="95" t="s">
        <v>1455</v>
      </c>
      <c r="J1096" s="120" t="s">
        <v>1448</v>
      </c>
      <c r="K1096" s="99"/>
      <c r="L1096" s="50"/>
      <c r="M1096" s="50"/>
      <c r="P1096" s="68"/>
    </row>
    <row r="1097">
      <c r="A1097" s="95">
        <v>6.89886467369E11</v>
      </c>
      <c r="B1097" s="151" t="s">
        <v>1378</v>
      </c>
      <c r="C1097" s="95" t="s">
        <v>97</v>
      </c>
      <c r="D1097" s="95">
        <v>1.0</v>
      </c>
      <c r="E1097" s="101">
        <v>49.96</v>
      </c>
      <c r="F1097" s="101">
        <f t="shared" si="170"/>
        <v>49.96</v>
      </c>
      <c r="G1097" s="101">
        <f t="shared" si="171"/>
        <v>12.49</v>
      </c>
      <c r="H1097" s="95" t="s">
        <v>612</v>
      </c>
      <c r="J1097" s="120" t="s">
        <v>1448</v>
      </c>
      <c r="K1097" s="99"/>
      <c r="L1097" s="50"/>
      <c r="M1097" s="50"/>
      <c r="P1097" s="68"/>
    </row>
    <row r="1098">
      <c r="A1098" s="95">
        <v>7.08008531495E11</v>
      </c>
      <c r="B1098" s="151" t="s">
        <v>1456</v>
      </c>
      <c r="C1098" s="95" t="s">
        <v>97</v>
      </c>
      <c r="D1098" s="95">
        <v>1.0</v>
      </c>
      <c r="E1098" s="101">
        <v>89.0</v>
      </c>
      <c r="F1098" s="101">
        <f t="shared" si="170"/>
        <v>89</v>
      </c>
      <c r="G1098" s="101">
        <f t="shared" si="171"/>
        <v>22.25</v>
      </c>
      <c r="H1098" s="95" t="s">
        <v>189</v>
      </c>
      <c r="J1098" s="120" t="s">
        <v>1448</v>
      </c>
      <c r="K1098" s="99"/>
      <c r="L1098" s="50"/>
      <c r="M1098" s="50"/>
      <c r="P1098" s="68"/>
    </row>
    <row r="1099">
      <c r="A1099" s="95">
        <v>7.08008596203E11</v>
      </c>
      <c r="B1099" s="151" t="s">
        <v>1457</v>
      </c>
      <c r="C1099" s="95" t="s">
        <v>97</v>
      </c>
      <c r="D1099" s="95">
        <v>1.0</v>
      </c>
      <c r="E1099" s="101">
        <v>50.99</v>
      </c>
      <c r="F1099" s="101">
        <f t="shared" si="170"/>
        <v>50.99</v>
      </c>
      <c r="G1099" s="101">
        <f t="shared" si="171"/>
        <v>12.7475</v>
      </c>
      <c r="H1099" s="95" t="s">
        <v>189</v>
      </c>
      <c r="J1099" s="120" t="s">
        <v>1448</v>
      </c>
      <c r="K1099" s="99"/>
      <c r="L1099" s="50"/>
      <c r="M1099" s="50"/>
      <c r="P1099" s="68"/>
    </row>
    <row r="1100">
      <c r="A1100" s="95">
        <v>7.08008596241E11</v>
      </c>
      <c r="B1100" s="151" t="s">
        <v>1458</v>
      </c>
      <c r="C1100" s="95" t="s">
        <v>97</v>
      </c>
      <c r="D1100" s="95">
        <v>2.0</v>
      </c>
      <c r="E1100" s="101">
        <v>50.99</v>
      </c>
      <c r="F1100" s="101">
        <f t="shared" si="170"/>
        <v>101.98</v>
      </c>
      <c r="G1100" s="101">
        <f t="shared" si="171"/>
        <v>25.495</v>
      </c>
      <c r="H1100" s="95" t="s">
        <v>189</v>
      </c>
      <c r="J1100" s="120" t="s">
        <v>1448</v>
      </c>
      <c r="K1100" s="99"/>
      <c r="L1100" s="50"/>
      <c r="M1100" s="50"/>
      <c r="P1100" s="68"/>
    </row>
    <row r="1101">
      <c r="A1101" s="95">
        <v>7.08008633656E11</v>
      </c>
      <c r="B1101" s="151" t="s">
        <v>1459</v>
      </c>
      <c r="C1101" s="95" t="s">
        <v>97</v>
      </c>
      <c r="D1101" s="95">
        <v>1.0</v>
      </c>
      <c r="E1101" s="101">
        <v>99.0</v>
      </c>
      <c r="F1101" s="101">
        <f t="shared" si="170"/>
        <v>99</v>
      </c>
      <c r="G1101" s="101">
        <f t="shared" si="171"/>
        <v>24.75</v>
      </c>
      <c r="H1101" s="95" t="s">
        <v>189</v>
      </c>
      <c r="J1101" s="120" t="s">
        <v>1448</v>
      </c>
      <c r="K1101" s="99"/>
      <c r="L1101" s="50"/>
      <c r="M1101" s="50"/>
      <c r="P1101" s="68"/>
    </row>
    <row r="1102">
      <c r="A1102" s="95">
        <v>7.08008671894E11</v>
      </c>
      <c r="B1102" s="151" t="s">
        <v>1460</v>
      </c>
      <c r="C1102" s="95" t="s">
        <v>97</v>
      </c>
      <c r="D1102" s="95">
        <v>1.0</v>
      </c>
      <c r="E1102" s="101">
        <v>69.0</v>
      </c>
      <c r="F1102" s="101">
        <f t="shared" si="170"/>
        <v>69</v>
      </c>
      <c r="G1102" s="101">
        <f t="shared" si="171"/>
        <v>17.25</v>
      </c>
      <c r="H1102" s="95" t="s">
        <v>189</v>
      </c>
      <c r="J1102" s="120" t="s">
        <v>1448</v>
      </c>
      <c r="K1102" s="99"/>
      <c r="L1102" s="50"/>
      <c r="M1102" s="50"/>
      <c r="P1102" s="68"/>
    </row>
    <row r="1103">
      <c r="A1103" s="95">
        <v>7.08008671931E11</v>
      </c>
      <c r="B1103" s="151" t="s">
        <v>1461</v>
      </c>
      <c r="C1103" s="95" t="s">
        <v>97</v>
      </c>
      <c r="D1103" s="95">
        <v>1.0</v>
      </c>
      <c r="E1103" s="101">
        <v>69.0</v>
      </c>
      <c r="F1103" s="101">
        <f t="shared" si="170"/>
        <v>69</v>
      </c>
      <c r="G1103" s="101">
        <f t="shared" si="171"/>
        <v>17.25</v>
      </c>
      <c r="H1103" s="95" t="s">
        <v>189</v>
      </c>
      <c r="J1103" s="120" t="s">
        <v>1448</v>
      </c>
      <c r="K1103" s="99"/>
      <c r="L1103" s="50"/>
      <c r="M1103" s="50"/>
      <c r="P1103" s="68"/>
    </row>
    <row r="1104">
      <c r="A1104" s="95">
        <v>7.08008671948E11</v>
      </c>
      <c r="B1104" s="151" t="s">
        <v>1462</v>
      </c>
      <c r="C1104" s="95" t="s">
        <v>97</v>
      </c>
      <c r="D1104" s="95">
        <v>1.0</v>
      </c>
      <c r="E1104" s="101">
        <v>69.0</v>
      </c>
      <c r="F1104" s="101">
        <f t="shared" si="170"/>
        <v>69</v>
      </c>
      <c r="G1104" s="101">
        <f t="shared" si="171"/>
        <v>17.25</v>
      </c>
      <c r="H1104" s="95" t="s">
        <v>189</v>
      </c>
      <c r="J1104" s="120" t="s">
        <v>1448</v>
      </c>
      <c r="K1104" s="99"/>
      <c r="L1104" s="50"/>
      <c r="M1104" s="50"/>
      <c r="P1104" s="68"/>
    </row>
    <row r="1105">
      <c r="A1105" s="95">
        <v>7.47941785671E11</v>
      </c>
      <c r="B1105" s="151" t="s">
        <v>1463</v>
      </c>
      <c r="C1105" s="95" t="s">
        <v>97</v>
      </c>
      <c r="D1105" s="95">
        <v>1.0</v>
      </c>
      <c r="E1105" s="101">
        <v>79.0</v>
      </c>
      <c r="F1105" s="101">
        <f t="shared" si="170"/>
        <v>79</v>
      </c>
      <c r="G1105" s="101">
        <f t="shared" si="171"/>
        <v>19.75</v>
      </c>
      <c r="H1105" s="95" t="s">
        <v>419</v>
      </c>
      <c r="J1105" s="120" t="s">
        <v>1448</v>
      </c>
      <c r="K1105" s="99"/>
      <c r="L1105" s="50"/>
      <c r="M1105" s="50"/>
      <c r="P1105" s="68"/>
    </row>
    <row r="1106">
      <c r="A1106" s="95">
        <v>7.49709963284E11</v>
      </c>
      <c r="B1106" s="151" t="s">
        <v>1464</v>
      </c>
      <c r="C1106" s="95" t="s">
        <v>97</v>
      </c>
      <c r="D1106" s="95">
        <v>1.0</v>
      </c>
      <c r="E1106" s="101">
        <v>169.0</v>
      </c>
      <c r="F1106" s="101">
        <f t="shared" si="170"/>
        <v>169</v>
      </c>
      <c r="G1106" s="101">
        <f t="shared" si="171"/>
        <v>42.25</v>
      </c>
      <c r="H1106" s="95" t="s">
        <v>171</v>
      </c>
      <c r="J1106" s="120" t="s">
        <v>1448</v>
      </c>
      <c r="K1106" s="99"/>
      <c r="L1106" s="50"/>
      <c r="M1106" s="50"/>
      <c r="P1106" s="68"/>
    </row>
    <row r="1107">
      <c r="A1107" s="95">
        <v>8.82191087141E11</v>
      </c>
      <c r="B1107" s="151" t="s">
        <v>1465</v>
      </c>
      <c r="C1107" s="95" t="s">
        <v>97</v>
      </c>
      <c r="D1107" s="95">
        <v>1.0</v>
      </c>
      <c r="E1107" s="101">
        <v>129.0</v>
      </c>
      <c r="F1107" s="101">
        <f t="shared" si="170"/>
        <v>129</v>
      </c>
      <c r="G1107" s="101">
        <f t="shared" si="171"/>
        <v>32.25</v>
      </c>
      <c r="H1107" s="95" t="s">
        <v>187</v>
      </c>
      <c r="J1107" s="120" t="s">
        <v>1448</v>
      </c>
      <c r="K1107" s="99"/>
      <c r="L1107" s="50"/>
      <c r="M1107" s="50"/>
      <c r="P1107" s="68"/>
    </row>
    <row r="1108">
      <c r="A1108" s="95">
        <v>8.8219150569E11</v>
      </c>
      <c r="B1108" s="151" t="s">
        <v>1466</v>
      </c>
      <c r="C1108" s="95" t="s">
        <v>97</v>
      </c>
      <c r="D1108" s="95">
        <v>1.0</v>
      </c>
      <c r="E1108" s="101">
        <v>99.0</v>
      </c>
      <c r="F1108" s="101">
        <f t="shared" si="170"/>
        <v>99</v>
      </c>
      <c r="G1108" s="101">
        <f t="shared" si="171"/>
        <v>24.75</v>
      </c>
      <c r="H1108" s="95" t="s">
        <v>187</v>
      </c>
      <c r="J1108" s="120" t="s">
        <v>1448</v>
      </c>
      <c r="K1108" s="99"/>
      <c r="L1108" s="50"/>
      <c r="M1108" s="50"/>
      <c r="P1108" s="68"/>
    </row>
    <row r="1109">
      <c r="A1109" s="95">
        <v>8.89648566815E11</v>
      </c>
      <c r="B1109" s="151" t="s">
        <v>1467</v>
      </c>
      <c r="C1109" s="95" t="s">
        <v>97</v>
      </c>
      <c r="D1109" s="95">
        <v>1.0</v>
      </c>
      <c r="E1109" s="101">
        <v>89.0</v>
      </c>
      <c r="F1109" s="101">
        <f t="shared" si="170"/>
        <v>89</v>
      </c>
      <c r="G1109" s="101">
        <f t="shared" si="171"/>
        <v>22.25</v>
      </c>
      <c r="H1109" s="95" t="s">
        <v>425</v>
      </c>
      <c r="J1109" s="120" t="s">
        <v>1448</v>
      </c>
      <c r="K1109" s="99"/>
      <c r="L1109" s="50"/>
      <c r="M1109" s="50"/>
      <c r="P1109" s="68"/>
    </row>
    <row r="1110">
      <c r="A1110" s="95">
        <v>8.89648569892E11</v>
      </c>
      <c r="B1110" s="151" t="s">
        <v>1468</v>
      </c>
      <c r="C1110" s="95" t="s">
        <v>97</v>
      </c>
      <c r="D1110" s="95">
        <v>1.0</v>
      </c>
      <c r="E1110" s="101">
        <v>89.0</v>
      </c>
      <c r="F1110" s="101">
        <f t="shared" si="170"/>
        <v>89</v>
      </c>
      <c r="G1110" s="101">
        <f t="shared" si="171"/>
        <v>22.25</v>
      </c>
      <c r="H1110" s="95" t="s">
        <v>425</v>
      </c>
      <c r="J1110" s="120" t="s">
        <v>1448</v>
      </c>
      <c r="K1110" s="99"/>
      <c r="L1110" s="50"/>
      <c r="M1110" s="50"/>
      <c r="P1110" s="68"/>
    </row>
    <row r="1111">
      <c r="A1111" s="95">
        <v>8.89648569908E11</v>
      </c>
      <c r="B1111" s="151" t="s">
        <v>1469</v>
      </c>
      <c r="C1111" s="95" t="s">
        <v>97</v>
      </c>
      <c r="D1111" s="95">
        <v>1.0</v>
      </c>
      <c r="E1111" s="101">
        <v>89.0</v>
      </c>
      <c r="F1111" s="101">
        <f t="shared" si="170"/>
        <v>89</v>
      </c>
      <c r="G1111" s="101">
        <f t="shared" si="171"/>
        <v>22.25</v>
      </c>
      <c r="H1111" s="95" t="s">
        <v>425</v>
      </c>
      <c r="J1111" s="120" t="s">
        <v>1448</v>
      </c>
      <c r="K1111" s="99"/>
      <c r="L1111" s="50"/>
      <c r="M1111" s="50"/>
      <c r="P1111" s="68"/>
    </row>
    <row r="1112">
      <c r="A1112" s="95">
        <v>6.89886489965E11</v>
      </c>
      <c r="B1112" s="151" t="s">
        <v>1470</v>
      </c>
      <c r="C1112" s="95" t="s">
        <v>97</v>
      </c>
      <c r="D1112" s="95">
        <v>2.0</v>
      </c>
      <c r="E1112" s="101">
        <v>119.0</v>
      </c>
      <c r="F1112" s="101">
        <f t="shared" si="170"/>
        <v>238</v>
      </c>
      <c r="G1112" s="101">
        <f t="shared" si="171"/>
        <v>59.5</v>
      </c>
      <c r="H1112" s="95" t="s">
        <v>185</v>
      </c>
      <c r="J1112" s="120" t="s">
        <v>1448</v>
      </c>
      <c r="K1112" s="99"/>
      <c r="L1112" s="50"/>
      <c r="M1112" s="50"/>
      <c r="P1112" s="68"/>
    </row>
    <row r="1113">
      <c r="A1113" s="152" t="s">
        <v>1471</v>
      </c>
      <c r="B1113" s="122" t="s">
        <v>1472</v>
      </c>
      <c r="C1113" s="153"/>
      <c r="D1113" s="154"/>
      <c r="E1113" s="154"/>
      <c r="F1113" s="154"/>
      <c r="G1113" s="154"/>
      <c r="H1113" s="155"/>
      <c r="I1113" s="98"/>
      <c r="J1113" s="156"/>
      <c r="K1113" s="157"/>
      <c r="L1113" s="158"/>
      <c r="M1113" s="158"/>
      <c r="N1113" s="98"/>
      <c r="O1113" s="98"/>
      <c r="P1113" s="68"/>
      <c r="Q1113" s="98"/>
      <c r="R1113" s="98"/>
      <c r="S1113" s="98"/>
      <c r="T1113" s="98"/>
      <c r="U1113" s="98"/>
      <c r="V1113" s="98"/>
      <c r="W1113" s="98"/>
      <c r="X1113" s="98"/>
      <c r="Y1113" s="98"/>
      <c r="Z1113" s="98"/>
    </row>
    <row r="1114">
      <c r="A1114" s="95">
        <v>6.89886489965E11</v>
      </c>
      <c r="B1114" s="151" t="s">
        <v>1470</v>
      </c>
      <c r="C1114" s="95" t="s">
        <v>97</v>
      </c>
      <c r="D1114" s="95">
        <v>1.0</v>
      </c>
      <c r="E1114" s="101">
        <v>119.0</v>
      </c>
      <c r="F1114" s="101">
        <f t="shared" ref="F1114:F1115" si="172">E1114*D1114</f>
        <v>119</v>
      </c>
      <c r="G1114" s="101">
        <f t="shared" ref="G1114:G1115" si="173">F1114/4</f>
        <v>29.75</v>
      </c>
      <c r="H1114" s="95" t="s">
        <v>185</v>
      </c>
      <c r="J1114" s="120" t="s">
        <v>1448</v>
      </c>
      <c r="K1114" s="99"/>
      <c r="L1114" s="50"/>
      <c r="M1114" s="50"/>
      <c r="P1114" s="68"/>
    </row>
    <row r="1115">
      <c r="A1115" s="95">
        <v>6.51481559275E11</v>
      </c>
      <c r="B1115" s="151" t="s">
        <v>1473</v>
      </c>
      <c r="C1115" s="95" t="s">
        <v>97</v>
      </c>
      <c r="D1115" s="95">
        <v>1.0</v>
      </c>
      <c r="E1115" s="101">
        <v>69.0</v>
      </c>
      <c r="F1115" s="101">
        <f t="shared" si="172"/>
        <v>69</v>
      </c>
      <c r="G1115" s="101">
        <f t="shared" si="173"/>
        <v>17.25</v>
      </c>
      <c r="H1115" s="95" t="s">
        <v>181</v>
      </c>
      <c r="J1115" s="120" t="s">
        <v>1448</v>
      </c>
      <c r="K1115" s="99"/>
      <c r="L1115" s="50"/>
      <c r="M1115" s="50"/>
      <c r="P1115" s="68"/>
    </row>
    <row r="1116">
      <c r="A1116" s="152" t="s">
        <v>265</v>
      </c>
      <c r="B1116" s="122" t="s">
        <v>1474</v>
      </c>
      <c r="C1116" s="153"/>
      <c r="D1116" s="154"/>
      <c r="E1116" s="154"/>
      <c r="F1116" s="154"/>
      <c r="G1116" s="154"/>
      <c r="H1116" s="155"/>
      <c r="I1116" s="98"/>
      <c r="J1116" s="156"/>
      <c r="K1116" s="157"/>
      <c r="L1116" s="158"/>
      <c r="M1116" s="158"/>
      <c r="N1116" s="98"/>
      <c r="O1116" s="98"/>
      <c r="P1116" s="68"/>
      <c r="Q1116" s="98"/>
      <c r="R1116" s="98"/>
      <c r="S1116" s="98"/>
      <c r="T1116" s="98"/>
      <c r="U1116" s="98"/>
      <c r="V1116" s="98"/>
      <c r="W1116" s="98"/>
      <c r="X1116" s="98"/>
      <c r="Y1116" s="98"/>
      <c r="Z1116" s="98"/>
    </row>
    <row r="1117">
      <c r="A1117" s="111" t="s">
        <v>267</v>
      </c>
      <c r="B1117" s="111" t="s">
        <v>1475</v>
      </c>
      <c r="C1117" s="112" t="str">
        <f>MID($B1117,6,7)</f>
        <v>mm18857</v>
      </c>
      <c r="D1117" s="111"/>
      <c r="E1117" s="111"/>
      <c r="F1117" s="111"/>
      <c r="G1117" s="111"/>
      <c r="H1117" s="113">
        <v>44559.0</v>
      </c>
      <c r="I1117" s="159"/>
      <c r="J1117" s="160" t="str">
        <f>IF(LEFT(B1117,3)="Box","BOX","COUNT")</f>
        <v>BOX</v>
      </c>
      <c r="K1117" s="161">
        <f>SUMIF($J$4:$J$8712,$C1117,$D$4:$D$8712)</f>
        <v>26</v>
      </c>
      <c r="L1117" s="162">
        <f>SUMIF($J$4:$J$8712,$C1117,$F$4:$F$8712)</f>
        <v>2486.33</v>
      </c>
      <c r="M1117" s="162">
        <f>SUMIF($J$4:$J$8712,$C1117,$G$4:$G$8712)</f>
        <v>621.5825</v>
      </c>
      <c r="N1117" s="159" t="str">
        <f>C1117</f>
        <v>mm18857</v>
      </c>
      <c r="O1117" s="159" t="str">
        <f>J1118</f>
        <v>SHIP</v>
      </c>
      <c r="P1117" s="68">
        <f>M1117</f>
        <v>621.5825</v>
      </c>
      <c r="Q1117" s="114">
        <v>44559.0</v>
      </c>
      <c r="R1117" s="37" t="s">
        <v>1400</v>
      </c>
      <c r="S1117" s="37" t="s">
        <v>1325</v>
      </c>
      <c r="T1117" s="159"/>
      <c r="U1117" s="159"/>
      <c r="V1117" s="159"/>
      <c r="W1117" s="159"/>
      <c r="X1117" s="159"/>
      <c r="Y1117" s="159"/>
      <c r="Z1117" s="159"/>
    </row>
    <row r="1118">
      <c r="A1118" s="211"/>
      <c r="B1118" s="111" t="s">
        <v>1476</v>
      </c>
      <c r="C1118" s="109"/>
      <c r="D1118" s="109"/>
      <c r="E1118" s="116"/>
      <c r="F1118" s="116"/>
      <c r="G1118" s="116"/>
      <c r="H1118" s="109"/>
      <c r="J1118" s="108" t="str">
        <f>IF(B1118="","NSHIP","SHIP")</f>
        <v>SHIP</v>
      </c>
      <c r="K1118" s="99">
        <f>IF($J1118="NSHIP",0,-SUMIF($J$4:$J$8712,$C1117,$D$4:$D$8712))</f>
        <v>-26</v>
      </c>
      <c r="L1118" s="50">
        <f>IF($J1118="NSHIP",0,-SUMIF($J$4:$J$8710,$C1117,$F$4:$F$8710))</f>
        <v>-2486.33</v>
      </c>
      <c r="M1118" s="50">
        <f>IF($J1118="NSHIP",0,-SUMIF($J$4:$J$8710,$C1117,$G$4:$G$8710))</f>
        <v>-621.5825</v>
      </c>
      <c r="P1118" s="68"/>
    </row>
    <row r="1119">
      <c r="A1119" s="95">
        <v>1.9060723172E11</v>
      </c>
      <c r="B1119" s="164" t="s">
        <v>1477</v>
      </c>
      <c r="C1119" s="95" t="s">
        <v>97</v>
      </c>
      <c r="D1119" s="95">
        <v>1.0</v>
      </c>
      <c r="E1119" s="101">
        <v>129.0</v>
      </c>
      <c r="F1119" s="101">
        <f t="shared" ref="F1119:F1131" si="174">E1119*D1119</f>
        <v>129</v>
      </c>
      <c r="G1119" s="101">
        <f t="shared" ref="G1119:G1131" si="175">F1119/4</f>
        <v>32.25</v>
      </c>
      <c r="H1119" s="95" t="s">
        <v>341</v>
      </c>
      <c r="J1119" s="120" t="s">
        <v>1478</v>
      </c>
      <c r="K1119" s="99"/>
      <c r="L1119" s="50"/>
      <c r="M1119" s="50"/>
      <c r="P1119" s="68"/>
    </row>
    <row r="1120">
      <c r="A1120" s="95">
        <v>1.90607396351E11</v>
      </c>
      <c r="B1120" s="131" t="s">
        <v>340</v>
      </c>
      <c r="C1120" s="95" t="s">
        <v>97</v>
      </c>
      <c r="D1120" s="95">
        <v>1.0</v>
      </c>
      <c r="E1120" s="101">
        <v>99.0</v>
      </c>
      <c r="F1120" s="101">
        <f t="shared" si="174"/>
        <v>99</v>
      </c>
      <c r="G1120" s="101">
        <f t="shared" si="175"/>
        <v>24.75</v>
      </c>
      <c r="H1120" s="95" t="s">
        <v>341</v>
      </c>
      <c r="J1120" s="120" t="s">
        <v>1478</v>
      </c>
      <c r="K1120" s="99"/>
      <c r="L1120" s="50"/>
      <c r="M1120" s="50"/>
      <c r="P1120" s="68"/>
    </row>
    <row r="1121">
      <c r="A1121" s="95">
        <v>1.92114057763E11</v>
      </c>
      <c r="B1121" s="131" t="s">
        <v>1479</v>
      </c>
      <c r="C1121" s="95" t="s">
        <v>97</v>
      </c>
      <c r="D1121" s="95">
        <v>1.0</v>
      </c>
      <c r="E1121" s="101">
        <v>104.0</v>
      </c>
      <c r="F1121" s="101">
        <f t="shared" si="174"/>
        <v>104</v>
      </c>
      <c r="G1121" s="101">
        <f t="shared" si="175"/>
        <v>26</v>
      </c>
      <c r="H1121" s="95" t="s">
        <v>341</v>
      </c>
      <c r="J1121" s="120" t="s">
        <v>1478</v>
      </c>
      <c r="K1121" s="99"/>
      <c r="L1121" s="50"/>
      <c r="M1121" s="50"/>
      <c r="P1121" s="68"/>
    </row>
    <row r="1122">
      <c r="A1122" s="95">
        <v>1.92114119744E11</v>
      </c>
      <c r="B1122" s="131" t="s">
        <v>1480</v>
      </c>
      <c r="C1122" s="95" t="s">
        <v>97</v>
      </c>
      <c r="D1122" s="95">
        <v>1.0</v>
      </c>
      <c r="E1122" s="101">
        <v>99.0</v>
      </c>
      <c r="F1122" s="101">
        <f t="shared" si="174"/>
        <v>99</v>
      </c>
      <c r="G1122" s="101">
        <f t="shared" si="175"/>
        <v>24.75</v>
      </c>
      <c r="H1122" s="95" t="s">
        <v>341</v>
      </c>
      <c r="J1122" s="120" t="s">
        <v>1478</v>
      </c>
      <c r="K1122" s="99"/>
      <c r="L1122" s="50"/>
      <c r="M1122" s="50"/>
      <c r="P1122" s="68"/>
    </row>
    <row r="1123">
      <c r="A1123" s="95">
        <v>1.92114133788E11</v>
      </c>
      <c r="B1123" s="131" t="s">
        <v>1481</v>
      </c>
      <c r="C1123" s="95" t="s">
        <v>97</v>
      </c>
      <c r="D1123" s="95">
        <v>1.0</v>
      </c>
      <c r="E1123" s="101">
        <v>119.0</v>
      </c>
      <c r="F1123" s="101">
        <f t="shared" si="174"/>
        <v>119</v>
      </c>
      <c r="G1123" s="101">
        <f t="shared" si="175"/>
        <v>29.75</v>
      </c>
      <c r="H1123" s="95" t="s">
        <v>341</v>
      </c>
      <c r="J1123" s="120" t="s">
        <v>1478</v>
      </c>
      <c r="K1123" s="99"/>
      <c r="L1123" s="50"/>
      <c r="M1123" s="50"/>
      <c r="P1123" s="68"/>
    </row>
    <row r="1124">
      <c r="A1124" s="95">
        <v>1.92114138042E11</v>
      </c>
      <c r="B1124" s="131" t="s">
        <v>351</v>
      </c>
      <c r="C1124" s="95" t="s">
        <v>97</v>
      </c>
      <c r="D1124" s="95">
        <v>1.0</v>
      </c>
      <c r="E1124" s="101">
        <v>49.0</v>
      </c>
      <c r="F1124" s="101">
        <f t="shared" si="174"/>
        <v>49</v>
      </c>
      <c r="G1124" s="101">
        <f t="shared" si="175"/>
        <v>12.25</v>
      </c>
      <c r="H1124" s="95" t="s">
        <v>341</v>
      </c>
      <c r="J1124" s="120" t="s">
        <v>1478</v>
      </c>
      <c r="K1124" s="99"/>
      <c r="L1124" s="50"/>
      <c r="M1124" s="50"/>
      <c r="P1124" s="68"/>
    </row>
    <row r="1125">
      <c r="A1125" s="95">
        <v>1.92114140052E11</v>
      </c>
      <c r="B1125" s="131" t="s">
        <v>1482</v>
      </c>
      <c r="C1125" s="95" t="s">
        <v>97</v>
      </c>
      <c r="D1125" s="95">
        <v>1.0</v>
      </c>
      <c r="E1125" s="101">
        <v>49.0</v>
      </c>
      <c r="F1125" s="101">
        <f t="shared" si="174"/>
        <v>49</v>
      </c>
      <c r="G1125" s="101">
        <f t="shared" si="175"/>
        <v>12.25</v>
      </c>
      <c r="H1125" s="95" t="s">
        <v>341</v>
      </c>
      <c r="J1125" s="120" t="s">
        <v>1478</v>
      </c>
      <c r="K1125" s="99"/>
      <c r="L1125" s="50"/>
      <c r="M1125" s="50"/>
      <c r="P1125" s="68"/>
    </row>
    <row r="1126">
      <c r="A1126" s="95">
        <v>1.92114144814E11</v>
      </c>
      <c r="B1126" s="131" t="s">
        <v>1483</v>
      </c>
      <c r="C1126" s="95" t="s">
        <v>97</v>
      </c>
      <c r="D1126" s="95">
        <v>1.0</v>
      </c>
      <c r="E1126" s="101">
        <v>134.0</v>
      </c>
      <c r="F1126" s="101">
        <f t="shared" si="174"/>
        <v>134</v>
      </c>
      <c r="G1126" s="101">
        <f t="shared" si="175"/>
        <v>33.5</v>
      </c>
      <c r="H1126" s="95" t="s">
        <v>341</v>
      </c>
      <c r="J1126" s="120" t="s">
        <v>1478</v>
      </c>
      <c r="K1126" s="99"/>
      <c r="L1126" s="50"/>
      <c r="M1126" s="50"/>
      <c r="P1126" s="68"/>
    </row>
    <row r="1127">
      <c r="A1127" s="95">
        <v>1.95105861745E11</v>
      </c>
      <c r="B1127" s="131" t="s">
        <v>1484</v>
      </c>
      <c r="C1127" s="95" t="s">
        <v>97</v>
      </c>
      <c r="D1127" s="95">
        <v>1.0</v>
      </c>
      <c r="E1127" s="101">
        <v>139.0</v>
      </c>
      <c r="F1127" s="101">
        <f t="shared" si="174"/>
        <v>139</v>
      </c>
      <c r="G1127" s="101">
        <f t="shared" si="175"/>
        <v>34.75</v>
      </c>
      <c r="H1127" s="95" t="s">
        <v>341</v>
      </c>
      <c r="J1127" s="120" t="s">
        <v>1478</v>
      </c>
      <c r="K1127" s="99"/>
      <c r="L1127" s="50"/>
      <c r="M1127" s="50"/>
      <c r="P1127" s="68"/>
    </row>
    <row r="1128">
      <c r="A1128" s="95">
        <v>1.9510586281E11</v>
      </c>
      <c r="B1128" s="131" t="s">
        <v>1485</v>
      </c>
      <c r="C1128" s="95" t="s">
        <v>97</v>
      </c>
      <c r="D1128" s="95">
        <v>1.0</v>
      </c>
      <c r="E1128" s="101">
        <v>119.0</v>
      </c>
      <c r="F1128" s="101">
        <f t="shared" si="174"/>
        <v>119</v>
      </c>
      <c r="G1128" s="101">
        <f t="shared" si="175"/>
        <v>29.75</v>
      </c>
      <c r="H1128" s="95" t="s">
        <v>345</v>
      </c>
      <c r="J1128" s="120" t="s">
        <v>1478</v>
      </c>
      <c r="K1128" s="99"/>
      <c r="L1128" s="50"/>
      <c r="M1128" s="50"/>
      <c r="P1128" s="68"/>
    </row>
    <row r="1129">
      <c r="A1129" s="95">
        <v>1.95105863053E11</v>
      </c>
      <c r="B1129" s="131" t="s">
        <v>357</v>
      </c>
      <c r="C1129" s="95" t="s">
        <v>97</v>
      </c>
      <c r="D1129" s="95">
        <v>1.0</v>
      </c>
      <c r="E1129" s="101">
        <v>129.0</v>
      </c>
      <c r="F1129" s="101">
        <f t="shared" si="174"/>
        <v>129</v>
      </c>
      <c r="G1129" s="101">
        <f t="shared" si="175"/>
        <v>32.25</v>
      </c>
      <c r="H1129" s="95" t="s">
        <v>341</v>
      </c>
      <c r="J1129" s="120" t="s">
        <v>1478</v>
      </c>
      <c r="K1129" s="99"/>
      <c r="L1129" s="50"/>
      <c r="M1129" s="50"/>
      <c r="P1129" s="68"/>
    </row>
    <row r="1130">
      <c r="A1130" s="95">
        <v>1.95105864371E11</v>
      </c>
      <c r="B1130" s="131" t="s">
        <v>358</v>
      </c>
      <c r="C1130" s="95" t="s">
        <v>97</v>
      </c>
      <c r="D1130" s="95">
        <v>1.0</v>
      </c>
      <c r="E1130" s="101">
        <v>129.0</v>
      </c>
      <c r="F1130" s="101">
        <f t="shared" si="174"/>
        <v>129</v>
      </c>
      <c r="G1130" s="101">
        <f t="shared" si="175"/>
        <v>32.25</v>
      </c>
      <c r="H1130" s="95" t="s">
        <v>341</v>
      </c>
      <c r="J1130" s="120" t="s">
        <v>1478</v>
      </c>
      <c r="K1130" s="99"/>
      <c r="L1130" s="50"/>
      <c r="M1130" s="50"/>
      <c r="P1130" s="68"/>
    </row>
    <row r="1131">
      <c r="A1131" s="95">
        <v>1.95105975329E11</v>
      </c>
      <c r="B1131" s="131" t="s">
        <v>1486</v>
      </c>
      <c r="C1131" s="95" t="s">
        <v>97</v>
      </c>
      <c r="D1131" s="95">
        <v>1.0</v>
      </c>
      <c r="E1131" s="101">
        <v>129.0</v>
      </c>
      <c r="F1131" s="101">
        <f t="shared" si="174"/>
        <v>129</v>
      </c>
      <c r="G1131" s="101">
        <f t="shared" si="175"/>
        <v>32.25</v>
      </c>
      <c r="H1131" s="95" t="s">
        <v>341</v>
      </c>
      <c r="J1131" s="120" t="s">
        <v>1478</v>
      </c>
      <c r="K1131" s="99"/>
      <c r="L1131" s="50"/>
      <c r="M1131" s="50"/>
      <c r="P1131" s="68"/>
    </row>
    <row r="1132">
      <c r="A1132" s="102" t="s">
        <v>111</v>
      </c>
      <c r="B1132" s="209" t="s">
        <v>1487</v>
      </c>
      <c r="C1132" s="104"/>
      <c r="D1132" s="104"/>
      <c r="E1132" s="105"/>
      <c r="F1132" s="106"/>
      <c r="G1132" s="106"/>
      <c r="H1132" s="107"/>
      <c r="J1132" s="108"/>
      <c r="K1132" s="99"/>
      <c r="L1132" s="50"/>
      <c r="M1132" s="50"/>
      <c r="P1132" s="68"/>
    </row>
    <row r="1133">
      <c r="A1133" s="95">
        <v>1.90607160297E11</v>
      </c>
      <c r="B1133" s="192" t="s">
        <v>1488</v>
      </c>
      <c r="C1133" s="95" t="s">
        <v>97</v>
      </c>
      <c r="D1133" s="95">
        <v>1.0</v>
      </c>
      <c r="E1133" s="101">
        <v>89.0</v>
      </c>
      <c r="F1133" s="101">
        <f>E1133*D1133</f>
        <v>89</v>
      </c>
      <c r="G1133" s="101">
        <f>F1133/4</f>
        <v>22.25</v>
      </c>
      <c r="H1133" s="95" t="s">
        <v>341</v>
      </c>
      <c r="J1133" s="120" t="s">
        <v>1478</v>
      </c>
      <c r="K1133" s="99"/>
      <c r="L1133" s="50"/>
      <c r="M1133" s="50"/>
      <c r="P1133" s="68"/>
    </row>
    <row r="1134">
      <c r="A1134" s="102" t="s">
        <v>113</v>
      </c>
      <c r="B1134" s="209" t="s">
        <v>1489</v>
      </c>
      <c r="C1134" s="104"/>
      <c r="D1134" s="104"/>
      <c r="E1134" s="105"/>
      <c r="F1134" s="106"/>
      <c r="G1134" s="106"/>
      <c r="H1134" s="107"/>
      <c r="J1134" s="108"/>
      <c r="K1134" s="99"/>
      <c r="L1134" s="50"/>
      <c r="M1134" s="50"/>
      <c r="P1134" s="68"/>
    </row>
    <row r="1135">
      <c r="A1135" s="210">
        <v>1.90607119301E11</v>
      </c>
      <c r="B1135" s="151" t="s">
        <v>1362</v>
      </c>
      <c r="C1135" s="95" t="s">
        <v>97</v>
      </c>
      <c r="D1135" s="95">
        <v>1.0</v>
      </c>
      <c r="E1135" s="101">
        <v>69.5</v>
      </c>
      <c r="F1135" s="101">
        <f t="shared" ref="F1135:F1136" si="176">E1135*D1135</f>
        <v>69.5</v>
      </c>
      <c r="G1135" s="101">
        <f t="shared" ref="G1135:G1136" si="177">F1135/4</f>
        <v>17.375</v>
      </c>
      <c r="H1135" s="95" t="s">
        <v>341</v>
      </c>
      <c r="I1135" s="70" t="s">
        <v>543</v>
      </c>
      <c r="J1135" s="120" t="s">
        <v>1478</v>
      </c>
      <c r="K1135" s="99"/>
      <c r="L1135" s="50"/>
      <c r="M1135" s="50"/>
      <c r="P1135" s="68"/>
    </row>
    <row r="1136">
      <c r="A1136" s="210">
        <v>1.95105863015E11</v>
      </c>
      <c r="B1136" s="151" t="s">
        <v>1490</v>
      </c>
      <c r="C1136" s="95" t="s">
        <v>97</v>
      </c>
      <c r="D1136" s="95">
        <v>1.0</v>
      </c>
      <c r="E1136" s="101">
        <v>129.0</v>
      </c>
      <c r="F1136" s="101">
        <f t="shared" si="176"/>
        <v>129</v>
      </c>
      <c r="G1136" s="101">
        <f t="shared" si="177"/>
        <v>32.25</v>
      </c>
      <c r="H1136" s="95" t="s">
        <v>341</v>
      </c>
      <c r="I1136" s="70" t="s">
        <v>543</v>
      </c>
      <c r="J1136" s="120" t="s">
        <v>1478</v>
      </c>
      <c r="K1136" s="99"/>
      <c r="L1136" s="50"/>
      <c r="M1136" s="50"/>
      <c r="P1136" s="68"/>
    </row>
    <row r="1137">
      <c r="A1137" s="111" t="s">
        <v>115</v>
      </c>
      <c r="B1137" s="111" t="s">
        <v>1491</v>
      </c>
      <c r="C1137" s="112" t="str">
        <f>MID($B1137,6,7)</f>
        <v>mm18858</v>
      </c>
      <c r="D1137" s="111"/>
      <c r="E1137" s="111"/>
      <c r="F1137" s="111"/>
      <c r="G1137" s="111"/>
      <c r="H1137" s="113">
        <v>44559.0</v>
      </c>
      <c r="J1137" s="108" t="str">
        <f>IF(LEFT(B1137,3)="Box","BOX","COUNT")</f>
        <v>BOX</v>
      </c>
      <c r="K1137" s="99">
        <f>SUMIF($J$4:$J$8712,$C1137,$D$4:$D$8712)</f>
        <v>16</v>
      </c>
      <c r="L1137" s="50">
        <f>SUMIF($J$4:$J$8712,$C1137,$F$4:$F$8712)</f>
        <v>1714.5</v>
      </c>
      <c r="M1137" s="50">
        <f>SUMIF($J$4:$J$8712,$C1137,$G$4:$G$8712)</f>
        <v>428.625</v>
      </c>
      <c r="N1137" s="70" t="str">
        <f>C1137</f>
        <v>mm18858</v>
      </c>
      <c r="O1137" s="70" t="str">
        <f>J1138</f>
        <v>SHIP</v>
      </c>
      <c r="P1137" s="68">
        <f>M1137</f>
        <v>428.625</v>
      </c>
      <c r="Q1137" s="168">
        <v>44407.0</v>
      </c>
      <c r="R1137" s="37" t="s">
        <v>1324</v>
      </c>
      <c r="S1137" s="37" t="s">
        <v>1325</v>
      </c>
    </row>
    <row r="1138">
      <c r="A1138" s="211"/>
      <c r="B1138" s="111" t="s">
        <v>1492</v>
      </c>
      <c r="C1138" s="109"/>
      <c r="D1138" s="109"/>
      <c r="E1138" s="116"/>
      <c r="F1138" s="116"/>
      <c r="G1138" s="116"/>
      <c r="H1138" s="109"/>
      <c r="J1138" s="108" t="str">
        <f>IF(B1138="","NSHIP","SHIP")</f>
        <v>SHIP</v>
      </c>
      <c r="K1138" s="99">
        <f>IF($J1138="NSHIP",0,-SUMIF($J$4:$J$8712,$C1137,$D$4:$D$8712))</f>
        <v>-16</v>
      </c>
      <c r="L1138" s="50">
        <f>IF($J1138="NSHIP",0,-SUMIF($J$4:$J$8710,$C1137,$F$4:$F$8710))</f>
        <v>-1714.5</v>
      </c>
      <c r="M1138" s="50">
        <f>IF($J1138="NSHIP",0,-SUMIF($J$4:$J$8710,$C1137,$G$4:$G$8710))</f>
        <v>-428.625</v>
      </c>
      <c r="P1138" s="68"/>
    </row>
    <row r="1139">
      <c r="A1139" s="117">
        <v>1.91797075033E11</v>
      </c>
      <c r="B1139" s="100" t="s">
        <v>1493</v>
      </c>
      <c r="C1139" s="118" t="s">
        <v>97</v>
      </c>
      <c r="D1139" s="100">
        <v>1.0</v>
      </c>
      <c r="E1139" s="119">
        <v>99.98</v>
      </c>
      <c r="F1139" s="119">
        <f t="shared" ref="F1139:F1169" si="178">E1139*D1139</f>
        <v>99.98</v>
      </c>
      <c r="G1139" s="119">
        <f t="shared" ref="G1139:G1169" si="179">F1139/4</f>
        <v>24.995</v>
      </c>
      <c r="H1139" s="100" t="s">
        <v>279</v>
      </c>
      <c r="I1139" s="197"/>
      <c r="J1139" s="120" t="s">
        <v>1494</v>
      </c>
      <c r="K1139" s="99"/>
      <c r="L1139" s="50"/>
      <c r="M1139" s="50"/>
      <c r="P1139" s="68"/>
    </row>
    <row r="1140">
      <c r="A1140" s="117">
        <v>1.92114006068E11</v>
      </c>
      <c r="B1140" s="100" t="s">
        <v>1495</v>
      </c>
      <c r="C1140" s="118" t="s">
        <v>97</v>
      </c>
      <c r="D1140" s="100">
        <v>1.0</v>
      </c>
      <c r="E1140" s="119">
        <v>134.0</v>
      </c>
      <c r="F1140" s="119">
        <f t="shared" si="178"/>
        <v>134</v>
      </c>
      <c r="G1140" s="119">
        <f t="shared" si="179"/>
        <v>33.5</v>
      </c>
      <c r="H1140" s="100" t="s">
        <v>341</v>
      </c>
      <c r="I1140" s="1"/>
      <c r="J1140" s="120" t="s">
        <v>1494</v>
      </c>
      <c r="K1140" s="99"/>
      <c r="L1140" s="50"/>
      <c r="M1140" s="50"/>
      <c r="P1140" s="68"/>
    </row>
    <row r="1141">
      <c r="A1141" s="181">
        <v>1.9235106898E11</v>
      </c>
      <c r="B1141" s="100" t="s">
        <v>1496</v>
      </c>
      <c r="C1141" s="118" t="s">
        <v>97</v>
      </c>
      <c r="D1141" s="100">
        <v>1.0</v>
      </c>
      <c r="E1141" s="119">
        <v>149.0</v>
      </c>
      <c r="F1141" s="119">
        <f t="shared" si="178"/>
        <v>149</v>
      </c>
      <c r="G1141" s="119">
        <f t="shared" si="179"/>
        <v>37.25</v>
      </c>
      <c r="H1141" s="100" t="s">
        <v>279</v>
      </c>
      <c r="I1141" s="1"/>
      <c r="J1141" s="120" t="s">
        <v>1494</v>
      </c>
      <c r="K1141" s="99"/>
      <c r="L1141" s="50"/>
      <c r="M1141" s="50"/>
      <c r="P1141" s="68"/>
    </row>
    <row r="1142">
      <c r="A1142" s="181">
        <v>1.92351069024E11</v>
      </c>
      <c r="B1142" s="100" t="s">
        <v>1497</v>
      </c>
      <c r="C1142" s="118" t="s">
        <v>97</v>
      </c>
      <c r="D1142" s="100">
        <v>1.0</v>
      </c>
      <c r="E1142" s="119">
        <v>149.0</v>
      </c>
      <c r="F1142" s="119">
        <f t="shared" si="178"/>
        <v>149</v>
      </c>
      <c r="G1142" s="119">
        <f t="shared" si="179"/>
        <v>37.25</v>
      </c>
      <c r="H1142" s="100" t="s">
        <v>271</v>
      </c>
      <c r="I1142" s="1"/>
      <c r="J1142" s="120" t="s">
        <v>1494</v>
      </c>
      <c r="K1142" s="99"/>
      <c r="L1142" s="50"/>
      <c r="M1142" s="50"/>
      <c r="P1142" s="68"/>
    </row>
    <row r="1143">
      <c r="A1143" s="181">
        <v>1.92351580246E11</v>
      </c>
      <c r="B1143" s="100" t="s">
        <v>1498</v>
      </c>
      <c r="C1143" s="118" t="s">
        <v>97</v>
      </c>
      <c r="D1143" s="100">
        <v>1.0</v>
      </c>
      <c r="E1143" s="119">
        <v>99.0</v>
      </c>
      <c r="F1143" s="119">
        <f t="shared" si="178"/>
        <v>99</v>
      </c>
      <c r="G1143" s="119">
        <f t="shared" si="179"/>
        <v>24.75</v>
      </c>
      <c r="H1143" s="100" t="s">
        <v>279</v>
      </c>
      <c r="I1143" s="1"/>
      <c r="J1143" s="120" t="s">
        <v>1494</v>
      </c>
      <c r="K1143" s="99"/>
      <c r="L1143" s="50"/>
      <c r="M1143" s="50"/>
      <c r="P1143" s="68"/>
    </row>
    <row r="1144">
      <c r="A1144" s="181">
        <v>1.93623308995E11</v>
      </c>
      <c r="B1144" s="100" t="s">
        <v>1499</v>
      </c>
      <c r="C1144" s="118" t="s">
        <v>97</v>
      </c>
      <c r="D1144" s="100">
        <v>1.0</v>
      </c>
      <c r="E1144" s="119">
        <v>119.0</v>
      </c>
      <c r="F1144" s="119">
        <f t="shared" si="178"/>
        <v>119</v>
      </c>
      <c r="G1144" s="119">
        <f t="shared" si="179"/>
        <v>29.75</v>
      </c>
      <c r="H1144" s="100" t="s">
        <v>271</v>
      </c>
      <c r="I1144" s="1"/>
      <c r="J1144" s="120" t="s">
        <v>1494</v>
      </c>
      <c r="K1144" s="99"/>
      <c r="L1144" s="50"/>
      <c r="M1144" s="50"/>
      <c r="P1144" s="68"/>
    </row>
    <row r="1145">
      <c r="A1145" s="181">
        <v>1.93623320386E11</v>
      </c>
      <c r="B1145" s="100" t="s">
        <v>1500</v>
      </c>
      <c r="C1145" s="118" t="s">
        <v>97</v>
      </c>
      <c r="D1145" s="100">
        <v>1.0</v>
      </c>
      <c r="E1145" s="119">
        <v>134.0</v>
      </c>
      <c r="F1145" s="119">
        <f t="shared" si="178"/>
        <v>134</v>
      </c>
      <c r="G1145" s="119">
        <f t="shared" si="179"/>
        <v>33.5</v>
      </c>
      <c r="H1145" s="100" t="s">
        <v>271</v>
      </c>
      <c r="I1145" s="1"/>
      <c r="J1145" s="120" t="s">
        <v>1494</v>
      </c>
      <c r="K1145" s="99"/>
      <c r="L1145" s="50"/>
      <c r="M1145" s="50"/>
      <c r="P1145" s="68"/>
    </row>
    <row r="1146">
      <c r="A1146" s="181">
        <v>1.93623472511E11</v>
      </c>
      <c r="B1146" s="100" t="s">
        <v>1501</v>
      </c>
      <c r="C1146" s="118" t="s">
        <v>97</v>
      </c>
      <c r="D1146" s="100">
        <v>1.0</v>
      </c>
      <c r="E1146" s="119">
        <v>139.0</v>
      </c>
      <c r="F1146" s="119">
        <f t="shared" si="178"/>
        <v>139</v>
      </c>
      <c r="G1146" s="119">
        <f t="shared" si="179"/>
        <v>34.75</v>
      </c>
      <c r="H1146" s="100" t="s">
        <v>271</v>
      </c>
      <c r="I1146" s="1"/>
      <c r="J1146" s="120" t="s">
        <v>1494</v>
      </c>
      <c r="K1146" s="99"/>
      <c r="L1146" s="50"/>
      <c r="M1146" s="50"/>
      <c r="P1146" s="68"/>
    </row>
    <row r="1147">
      <c r="A1147" s="181">
        <v>1.93623472528E11</v>
      </c>
      <c r="B1147" s="100" t="s">
        <v>1502</v>
      </c>
      <c r="C1147" s="118" t="s">
        <v>97</v>
      </c>
      <c r="D1147" s="100">
        <v>1.0</v>
      </c>
      <c r="E1147" s="119">
        <v>139.0</v>
      </c>
      <c r="F1147" s="119">
        <f t="shared" si="178"/>
        <v>139</v>
      </c>
      <c r="G1147" s="119">
        <f t="shared" si="179"/>
        <v>34.75</v>
      </c>
      <c r="H1147" s="100" t="s">
        <v>271</v>
      </c>
      <c r="I1147" s="1"/>
      <c r="J1147" s="120" t="s">
        <v>1494</v>
      </c>
      <c r="K1147" s="99"/>
      <c r="L1147" s="50"/>
      <c r="M1147" s="50"/>
      <c r="P1147" s="68"/>
    </row>
    <row r="1148">
      <c r="A1148" s="181">
        <v>1.93623853297E11</v>
      </c>
      <c r="B1148" s="100" t="s">
        <v>1503</v>
      </c>
      <c r="C1148" s="118" t="s">
        <v>97</v>
      </c>
      <c r="D1148" s="100">
        <v>2.0</v>
      </c>
      <c r="E1148" s="119">
        <v>89.98</v>
      </c>
      <c r="F1148" s="119">
        <f t="shared" si="178"/>
        <v>179.96</v>
      </c>
      <c r="G1148" s="119">
        <f t="shared" si="179"/>
        <v>44.99</v>
      </c>
      <c r="H1148" s="100" t="s">
        <v>271</v>
      </c>
      <c r="I1148" s="1"/>
      <c r="J1148" s="120" t="s">
        <v>1494</v>
      </c>
      <c r="K1148" s="99"/>
      <c r="L1148" s="50"/>
      <c r="M1148" s="50"/>
      <c r="P1148" s="68"/>
    </row>
    <row r="1149">
      <c r="A1149" s="181">
        <v>1.93623853303E11</v>
      </c>
      <c r="B1149" s="100" t="s">
        <v>1504</v>
      </c>
      <c r="C1149" s="118" t="s">
        <v>97</v>
      </c>
      <c r="D1149" s="100">
        <v>1.0</v>
      </c>
      <c r="E1149" s="119">
        <v>89.98</v>
      </c>
      <c r="F1149" s="119">
        <f t="shared" si="178"/>
        <v>89.98</v>
      </c>
      <c r="G1149" s="119">
        <f t="shared" si="179"/>
        <v>22.495</v>
      </c>
      <c r="H1149" s="100" t="s">
        <v>271</v>
      </c>
      <c r="I1149" s="1"/>
      <c r="J1149" s="120" t="s">
        <v>1494</v>
      </c>
      <c r="K1149" s="99"/>
      <c r="L1149" s="50"/>
      <c r="M1149" s="50"/>
      <c r="P1149" s="68"/>
    </row>
    <row r="1150">
      <c r="A1150" s="181">
        <v>1.9362399329E11</v>
      </c>
      <c r="B1150" s="100" t="s">
        <v>1505</v>
      </c>
      <c r="C1150" s="118" t="s">
        <v>97</v>
      </c>
      <c r="D1150" s="100">
        <v>1.0</v>
      </c>
      <c r="E1150" s="119">
        <v>229.0</v>
      </c>
      <c r="F1150" s="119">
        <f t="shared" si="178"/>
        <v>229</v>
      </c>
      <c r="G1150" s="119">
        <f t="shared" si="179"/>
        <v>57.25</v>
      </c>
      <c r="H1150" s="100" t="s">
        <v>279</v>
      </c>
      <c r="I1150" s="1"/>
      <c r="J1150" s="120" t="s">
        <v>1494</v>
      </c>
      <c r="K1150" s="99"/>
      <c r="L1150" s="50"/>
      <c r="M1150" s="50"/>
      <c r="P1150" s="68"/>
    </row>
    <row r="1151">
      <c r="A1151" s="181">
        <v>1.94414498E11</v>
      </c>
      <c r="B1151" s="100" t="s">
        <v>1506</v>
      </c>
      <c r="C1151" s="118" t="s">
        <v>97</v>
      </c>
      <c r="D1151" s="100">
        <v>1.0</v>
      </c>
      <c r="E1151" s="119">
        <v>59.5</v>
      </c>
      <c r="F1151" s="119">
        <f t="shared" si="178"/>
        <v>59.5</v>
      </c>
      <c r="G1151" s="119">
        <f t="shared" si="179"/>
        <v>14.875</v>
      </c>
      <c r="H1151" s="100" t="s">
        <v>1507</v>
      </c>
      <c r="I1151" s="1"/>
      <c r="J1151" s="120" t="s">
        <v>1494</v>
      </c>
      <c r="K1151" s="99"/>
      <c r="L1151" s="50"/>
      <c r="M1151" s="50"/>
      <c r="P1151" s="68"/>
    </row>
    <row r="1152">
      <c r="A1152" s="181">
        <v>1.94414656868E11</v>
      </c>
      <c r="B1152" s="100" t="s">
        <v>1508</v>
      </c>
      <c r="C1152" s="118" t="s">
        <v>97</v>
      </c>
      <c r="D1152" s="100">
        <v>1.0</v>
      </c>
      <c r="E1152" s="119">
        <v>134.0</v>
      </c>
      <c r="F1152" s="119">
        <f t="shared" si="178"/>
        <v>134</v>
      </c>
      <c r="G1152" s="119">
        <f t="shared" si="179"/>
        <v>33.5</v>
      </c>
      <c r="H1152" s="100" t="s">
        <v>271</v>
      </c>
      <c r="I1152" s="1"/>
      <c r="J1152" s="120" t="s">
        <v>1494</v>
      </c>
      <c r="K1152" s="99"/>
      <c r="L1152" s="50"/>
      <c r="M1152" s="50"/>
      <c r="P1152" s="68"/>
    </row>
    <row r="1153">
      <c r="A1153" s="181">
        <v>1.94414664467E11</v>
      </c>
      <c r="B1153" s="100" t="s">
        <v>1509</v>
      </c>
      <c r="C1153" s="118" t="s">
        <v>97</v>
      </c>
      <c r="D1153" s="100">
        <v>1.0</v>
      </c>
      <c r="E1153" s="119">
        <v>134.0</v>
      </c>
      <c r="F1153" s="119">
        <f t="shared" si="178"/>
        <v>134</v>
      </c>
      <c r="G1153" s="119">
        <f t="shared" si="179"/>
        <v>33.5</v>
      </c>
      <c r="H1153" s="100" t="s">
        <v>279</v>
      </c>
      <c r="I1153" s="1"/>
      <c r="J1153" s="120" t="s">
        <v>1494</v>
      </c>
      <c r="K1153" s="99"/>
      <c r="L1153" s="50"/>
      <c r="M1153" s="50"/>
      <c r="P1153" s="68"/>
    </row>
    <row r="1154">
      <c r="A1154" s="181">
        <v>1.94414951116E11</v>
      </c>
      <c r="B1154" s="100" t="s">
        <v>1510</v>
      </c>
      <c r="C1154" s="118" t="s">
        <v>97</v>
      </c>
      <c r="D1154" s="100">
        <v>1.0</v>
      </c>
      <c r="E1154" s="119">
        <v>44.98</v>
      </c>
      <c r="F1154" s="119">
        <f t="shared" si="178"/>
        <v>44.98</v>
      </c>
      <c r="G1154" s="119">
        <f t="shared" si="179"/>
        <v>11.245</v>
      </c>
      <c r="H1154" s="100" t="s">
        <v>284</v>
      </c>
      <c r="I1154" s="1"/>
      <c r="J1154" s="120" t="s">
        <v>1494</v>
      </c>
      <c r="K1154" s="99"/>
      <c r="L1154" s="50"/>
      <c r="M1154" s="50"/>
      <c r="P1154" s="68"/>
    </row>
    <row r="1155">
      <c r="A1155" s="181">
        <v>1.94414963973E11</v>
      </c>
      <c r="B1155" s="100" t="s">
        <v>1511</v>
      </c>
      <c r="C1155" s="118" t="s">
        <v>97</v>
      </c>
      <c r="D1155" s="100">
        <v>1.0</v>
      </c>
      <c r="E1155" s="119">
        <v>39.98</v>
      </c>
      <c r="F1155" s="119">
        <f t="shared" si="178"/>
        <v>39.98</v>
      </c>
      <c r="G1155" s="119">
        <f t="shared" si="179"/>
        <v>9.995</v>
      </c>
      <c r="H1155" s="100" t="s">
        <v>271</v>
      </c>
      <c r="I1155" s="1"/>
      <c r="J1155" s="120" t="s">
        <v>1494</v>
      </c>
      <c r="K1155" s="99"/>
      <c r="L1155" s="50"/>
      <c r="M1155" s="50"/>
      <c r="P1155" s="68"/>
    </row>
    <row r="1156">
      <c r="A1156" s="181">
        <v>1.94414965403E11</v>
      </c>
      <c r="B1156" s="100" t="s">
        <v>1512</v>
      </c>
      <c r="C1156" s="118" t="s">
        <v>97</v>
      </c>
      <c r="D1156" s="100">
        <v>1.0</v>
      </c>
      <c r="E1156" s="119">
        <v>139.0</v>
      </c>
      <c r="F1156" s="119">
        <f t="shared" si="178"/>
        <v>139</v>
      </c>
      <c r="G1156" s="119">
        <f t="shared" si="179"/>
        <v>34.75</v>
      </c>
      <c r="H1156" s="100" t="s">
        <v>271</v>
      </c>
      <c r="I1156" s="1"/>
      <c r="J1156" s="120" t="s">
        <v>1494</v>
      </c>
      <c r="K1156" s="99"/>
      <c r="L1156" s="50"/>
      <c r="M1156" s="50"/>
      <c r="P1156" s="68"/>
    </row>
    <row r="1157">
      <c r="A1157" s="181">
        <v>1.94414967797E11</v>
      </c>
      <c r="B1157" s="100" t="s">
        <v>1513</v>
      </c>
      <c r="C1157" s="118" t="s">
        <v>97</v>
      </c>
      <c r="D1157" s="100">
        <v>1.0</v>
      </c>
      <c r="E1157" s="119">
        <v>89.98</v>
      </c>
      <c r="F1157" s="119">
        <f t="shared" si="178"/>
        <v>89.98</v>
      </c>
      <c r="G1157" s="119">
        <f t="shared" si="179"/>
        <v>22.495</v>
      </c>
      <c r="H1157" s="100" t="s">
        <v>279</v>
      </c>
      <c r="I1157" s="1"/>
      <c r="J1157" s="120" t="s">
        <v>1494</v>
      </c>
      <c r="K1157" s="99"/>
      <c r="L1157" s="50"/>
      <c r="M1157" s="50"/>
      <c r="P1157" s="68"/>
    </row>
    <row r="1158">
      <c r="A1158" s="181">
        <v>1.94414967841E11</v>
      </c>
      <c r="B1158" s="100" t="s">
        <v>1514</v>
      </c>
      <c r="C1158" s="118" t="s">
        <v>97</v>
      </c>
      <c r="D1158" s="100">
        <v>1.0</v>
      </c>
      <c r="E1158" s="119">
        <v>89.98</v>
      </c>
      <c r="F1158" s="119">
        <f t="shared" si="178"/>
        <v>89.98</v>
      </c>
      <c r="G1158" s="119">
        <f t="shared" si="179"/>
        <v>22.495</v>
      </c>
      <c r="H1158" s="100" t="s">
        <v>271</v>
      </c>
      <c r="I1158" s="1"/>
      <c r="J1158" s="120" t="s">
        <v>1494</v>
      </c>
      <c r="K1158" s="99"/>
      <c r="L1158" s="50"/>
      <c r="M1158" s="50"/>
      <c r="P1158" s="68"/>
    </row>
    <row r="1159">
      <c r="A1159" s="181">
        <v>1.94414970803E11</v>
      </c>
      <c r="B1159" s="100" t="s">
        <v>1515</v>
      </c>
      <c r="C1159" s="118" t="s">
        <v>97</v>
      </c>
      <c r="D1159" s="100">
        <v>1.0</v>
      </c>
      <c r="E1159" s="119">
        <v>134.0</v>
      </c>
      <c r="F1159" s="119">
        <f t="shared" si="178"/>
        <v>134</v>
      </c>
      <c r="G1159" s="119">
        <f t="shared" si="179"/>
        <v>33.5</v>
      </c>
      <c r="H1159" s="100" t="s">
        <v>271</v>
      </c>
      <c r="I1159" s="1"/>
      <c r="J1159" s="120" t="s">
        <v>1494</v>
      </c>
      <c r="K1159" s="99"/>
      <c r="L1159" s="50"/>
      <c r="M1159" s="50"/>
      <c r="P1159" s="68"/>
    </row>
    <row r="1160">
      <c r="A1160" s="181">
        <v>1.94414971077E11</v>
      </c>
      <c r="B1160" s="100" t="s">
        <v>1516</v>
      </c>
      <c r="C1160" s="118" t="s">
        <v>97</v>
      </c>
      <c r="D1160" s="100">
        <v>1.0</v>
      </c>
      <c r="E1160" s="119">
        <v>149.0</v>
      </c>
      <c r="F1160" s="119">
        <f t="shared" si="178"/>
        <v>149</v>
      </c>
      <c r="G1160" s="119">
        <f t="shared" si="179"/>
        <v>37.25</v>
      </c>
      <c r="H1160" s="100" t="s">
        <v>279</v>
      </c>
      <c r="I1160" s="1"/>
      <c r="J1160" s="120" t="s">
        <v>1494</v>
      </c>
      <c r="K1160" s="99"/>
      <c r="L1160" s="50"/>
      <c r="M1160" s="50"/>
      <c r="P1160" s="68"/>
    </row>
    <row r="1161">
      <c r="A1161" s="181">
        <v>1.95046380633E11</v>
      </c>
      <c r="B1161" s="100" t="s">
        <v>1517</v>
      </c>
      <c r="C1161" s="118" t="s">
        <v>97</v>
      </c>
      <c r="D1161" s="100">
        <v>1.0</v>
      </c>
      <c r="E1161" s="119">
        <v>79.5</v>
      </c>
      <c r="F1161" s="119">
        <f t="shared" si="178"/>
        <v>79.5</v>
      </c>
      <c r="G1161" s="119">
        <f t="shared" si="179"/>
        <v>19.875</v>
      </c>
      <c r="H1161" s="100" t="s">
        <v>1424</v>
      </c>
      <c r="I1161" s="1"/>
      <c r="J1161" s="120" t="s">
        <v>1494</v>
      </c>
      <c r="K1161" s="99"/>
      <c r="L1161" s="50"/>
      <c r="M1161" s="50"/>
      <c r="P1161" s="68"/>
    </row>
    <row r="1162">
      <c r="A1162" s="181">
        <v>1.950465314E11</v>
      </c>
      <c r="B1162" s="100" t="s">
        <v>1518</v>
      </c>
      <c r="C1162" s="118" t="s">
        <v>97</v>
      </c>
      <c r="D1162" s="100">
        <v>1.0</v>
      </c>
      <c r="E1162" s="119">
        <v>79.5</v>
      </c>
      <c r="F1162" s="119">
        <f t="shared" si="178"/>
        <v>79.5</v>
      </c>
      <c r="G1162" s="119">
        <f t="shared" si="179"/>
        <v>19.875</v>
      </c>
      <c r="H1162" s="100" t="s">
        <v>1424</v>
      </c>
      <c r="I1162" s="1"/>
      <c r="J1162" s="120" t="s">
        <v>1494</v>
      </c>
      <c r="K1162" s="99"/>
      <c r="L1162" s="50"/>
      <c r="M1162" s="50"/>
      <c r="P1162" s="68"/>
    </row>
    <row r="1163">
      <c r="A1163" s="181">
        <v>1.95046531448E11</v>
      </c>
      <c r="B1163" s="100" t="s">
        <v>1519</v>
      </c>
      <c r="C1163" s="118" t="s">
        <v>97</v>
      </c>
      <c r="D1163" s="100">
        <v>1.0</v>
      </c>
      <c r="E1163" s="119">
        <v>79.5</v>
      </c>
      <c r="F1163" s="119">
        <f t="shared" si="178"/>
        <v>79.5</v>
      </c>
      <c r="G1163" s="119">
        <f t="shared" si="179"/>
        <v>19.875</v>
      </c>
      <c r="H1163" s="100" t="s">
        <v>1424</v>
      </c>
      <c r="I1163" s="1"/>
      <c r="J1163" s="120" t="s">
        <v>1494</v>
      </c>
      <c r="K1163" s="99"/>
      <c r="L1163" s="50"/>
      <c r="M1163" s="50"/>
      <c r="P1163" s="68"/>
    </row>
    <row r="1164">
      <c r="A1164" s="181">
        <v>1.95046665136E11</v>
      </c>
      <c r="B1164" s="100" t="s">
        <v>1520</v>
      </c>
      <c r="C1164" s="118" t="s">
        <v>97</v>
      </c>
      <c r="D1164" s="100">
        <v>2.0</v>
      </c>
      <c r="E1164" s="119">
        <v>99.0</v>
      </c>
      <c r="F1164" s="119">
        <f t="shared" si="178"/>
        <v>198</v>
      </c>
      <c r="G1164" s="119">
        <f t="shared" si="179"/>
        <v>49.5</v>
      </c>
      <c r="H1164" s="100" t="s">
        <v>271</v>
      </c>
      <c r="I1164" s="1"/>
      <c r="J1164" s="120" t="s">
        <v>1494</v>
      </c>
      <c r="K1164" s="99"/>
      <c r="L1164" s="50"/>
      <c r="M1164" s="50"/>
      <c r="P1164" s="68"/>
    </row>
    <row r="1165">
      <c r="A1165" s="181">
        <v>1.95046670659E11</v>
      </c>
      <c r="B1165" s="100" t="s">
        <v>1521</v>
      </c>
      <c r="C1165" s="118" t="s">
        <v>97</v>
      </c>
      <c r="D1165" s="100">
        <v>1.0</v>
      </c>
      <c r="E1165" s="119">
        <v>129.5</v>
      </c>
      <c r="F1165" s="119">
        <f t="shared" si="178"/>
        <v>129.5</v>
      </c>
      <c r="G1165" s="119">
        <f t="shared" si="179"/>
        <v>32.375</v>
      </c>
      <c r="H1165" s="100" t="s">
        <v>1424</v>
      </c>
      <c r="I1165" s="1"/>
      <c r="J1165" s="120" t="s">
        <v>1494</v>
      </c>
      <c r="K1165" s="99"/>
      <c r="L1165" s="50"/>
      <c r="M1165" s="50"/>
      <c r="P1165" s="68"/>
    </row>
    <row r="1166">
      <c r="A1166" s="181">
        <v>1.9504669035E11</v>
      </c>
      <c r="B1166" s="100" t="s">
        <v>1522</v>
      </c>
      <c r="C1166" s="118" t="s">
        <v>97</v>
      </c>
      <c r="D1166" s="100">
        <v>1.0</v>
      </c>
      <c r="E1166" s="119">
        <v>69.5</v>
      </c>
      <c r="F1166" s="119">
        <f t="shared" si="178"/>
        <v>69.5</v>
      </c>
      <c r="G1166" s="119">
        <f t="shared" si="179"/>
        <v>17.375</v>
      </c>
      <c r="H1166" s="100" t="s">
        <v>1424</v>
      </c>
      <c r="I1166" s="1"/>
      <c r="J1166" s="120" t="s">
        <v>1494</v>
      </c>
      <c r="K1166" s="99"/>
      <c r="L1166" s="50"/>
      <c r="M1166" s="50"/>
      <c r="P1166" s="68"/>
    </row>
    <row r="1167">
      <c r="A1167" s="181">
        <v>1.95046893935E11</v>
      </c>
      <c r="B1167" s="100" t="s">
        <v>1523</v>
      </c>
      <c r="C1167" s="118" t="s">
        <v>97</v>
      </c>
      <c r="D1167" s="100">
        <v>1.0</v>
      </c>
      <c r="E1167" s="119">
        <v>39.98</v>
      </c>
      <c r="F1167" s="119">
        <f t="shared" si="178"/>
        <v>39.98</v>
      </c>
      <c r="G1167" s="119">
        <f t="shared" si="179"/>
        <v>9.995</v>
      </c>
      <c r="H1167" s="100" t="s">
        <v>279</v>
      </c>
      <c r="I1167" s="1"/>
      <c r="J1167" s="120" t="s">
        <v>1494</v>
      </c>
      <c r="K1167" s="99"/>
      <c r="L1167" s="50"/>
      <c r="M1167" s="50"/>
      <c r="P1167" s="68"/>
    </row>
    <row r="1168">
      <c r="A1168" s="181">
        <v>1.95046897889E11</v>
      </c>
      <c r="B1168" s="100" t="s">
        <v>1524</v>
      </c>
      <c r="C1168" s="118" t="s">
        <v>97</v>
      </c>
      <c r="D1168" s="100">
        <v>1.0</v>
      </c>
      <c r="E1168" s="119">
        <v>39.98</v>
      </c>
      <c r="F1168" s="119">
        <f t="shared" si="178"/>
        <v>39.98</v>
      </c>
      <c r="G1168" s="119">
        <f t="shared" si="179"/>
        <v>9.995</v>
      </c>
      <c r="H1168" s="100" t="s">
        <v>284</v>
      </c>
      <c r="I1168" s="1"/>
      <c r="J1168" s="120" t="s">
        <v>1494</v>
      </c>
      <c r="K1168" s="99"/>
      <c r="L1168" s="50"/>
      <c r="M1168" s="50"/>
      <c r="P1168" s="68"/>
    </row>
    <row r="1169">
      <c r="A1169" s="181">
        <v>7.00289285968E11</v>
      </c>
      <c r="B1169" s="100" t="s">
        <v>1525</v>
      </c>
      <c r="C1169" s="118" t="s">
        <v>97</v>
      </c>
      <c r="D1169" s="100">
        <v>1.0</v>
      </c>
      <c r="E1169" s="119">
        <v>49.98</v>
      </c>
      <c r="F1169" s="119">
        <f t="shared" si="178"/>
        <v>49.98</v>
      </c>
      <c r="G1169" s="119">
        <f t="shared" si="179"/>
        <v>12.495</v>
      </c>
      <c r="H1169" s="100" t="s">
        <v>271</v>
      </c>
      <c r="I1169" s="1"/>
      <c r="J1169" s="120" t="s">
        <v>1494</v>
      </c>
      <c r="K1169" s="99"/>
      <c r="L1169" s="50"/>
      <c r="M1169" s="50"/>
      <c r="P1169" s="68"/>
    </row>
    <row r="1170">
      <c r="A1170" s="121" t="s">
        <v>1526</v>
      </c>
      <c r="B1170" s="122" t="s">
        <v>1527</v>
      </c>
      <c r="C1170" s="118"/>
      <c r="D1170" s="100"/>
      <c r="E1170" s="119"/>
      <c r="F1170" s="119"/>
      <c r="G1170" s="119"/>
      <c r="H1170" s="100"/>
      <c r="I1170" s="1"/>
      <c r="J1170" s="120"/>
      <c r="K1170" s="99"/>
      <c r="L1170" s="50"/>
      <c r="M1170" s="50"/>
      <c r="P1170" s="68"/>
    </row>
    <row r="1171">
      <c r="A1171" s="181">
        <v>1.9362346903E11</v>
      </c>
      <c r="B1171" s="100" t="s">
        <v>1528</v>
      </c>
      <c r="C1171" s="118" t="s">
        <v>97</v>
      </c>
      <c r="D1171" s="100">
        <v>1.0</v>
      </c>
      <c r="E1171" s="119">
        <v>229.0</v>
      </c>
      <c r="F1171" s="119">
        <f t="shared" ref="F1171:F1173" si="180">E1171*D1171</f>
        <v>229</v>
      </c>
      <c r="G1171" s="119">
        <f t="shared" ref="G1171:G1173" si="181">F1171/4</f>
        <v>57.25</v>
      </c>
      <c r="H1171" s="100" t="s">
        <v>271</v>
      </c>
      <c r="I1171" s="1"/>
      <c r="J1171" s="120" t="s">
        <v>1494</v>
      </c>
      <c r="K1171" s="99"/>
      <c r="L1171" s="50"/>
      <c r="M1171" s="50"/>
      <c r="P1171" s="68"/>
    </row>
    <row r="1172">
      <c r="A1172" s="181">
        <v>7.88627441542E11</v>
      </c>
      <c r="B1172" s="100" t="s">
        <v>1529</v>
      </c>
      <c r="C1172" s="118" t="s">
        <v>97</v>
      </c>
      <c r="D1172" s="100">
        <v>1.0</v>
      </c>
      <c r="E1172" s="119">
        <v>69.5</v>
      </c>
      <c r="F1172" s="119">
        <f t="shared" si="180"/>
        <v>69.5</v>
      </c>
      <c r="G1172" s="119">
        <f t="shared" si="181"/>
        <v>17.375</v>
      </c>
      <c r="H1172" s="100" t="s">
        <v>1424</v>
      </c>
      <c r="I1172" s="1"/>
      <c r="J1172" s="120" t="s">
        <v>1494</v>
      </c>
      <c r="K1172" s="99"/>
      <c r="L1172" s="50"/>
      <c r="M1172" s="50"/>
      <c r="P1172" s="68"/>
    </row>
    <row r="1173">
      <c r="A1173" s="181">
        <v>1.94414939596E11</v>
      </c>
      <c r="B1173" s="100" t="s">
        <v>1530</v>
      </c>
      <c r="C1173" s="118" t="s">
        <v>97</v>
      </c>
      <c r="D1173" s="100">
        <v>1.0</v>
      </c>
      <c r="E1173" s="119">
        <v>219.0</v>
      </c>
      <c r="F1173" s="119">
        <f t="shared" si="180"/>
        <v>219</v>
      </c>
      <c r="G1173" s="119">
        <f t="shared" si="181"/>
        <v>54.75</v>
      </c>
      <c r="H1173" s="100" t="s">
        <v>271</v>
      </c>
      <c r="I1173" s="1"/>
      <c r="J1173" s="120" t="s">
        <v>1494</v>
      </c>
      <c r="K1173" s="99"/>
      <c r="L1173" s="50"/>
      <c r="M1173" s="50"/>
      <c r="P1173" s="68"/>
    </row>
    <row r="1174">
      <c r="A1174" s="121" t="s">
        <v>1531</v>
      </c>
      <c r="B1174" s="122" t="s">
        <v>1532</v>
      </c>
      <c r="C1174" s="118"/>
      <c r="D1174" s="100"/>
      <c r="E1174" s="119"/>
      <c r="F1174" s="119"/>
      <c r="G1174" s="119"/>
      <c r="H1174" s="100"/>
      <c r="I1174" s="1"/>
      <c r="J1174" s="120"/>
      <c r="K1174" s="99"/>
      <c r="L1174" s="50"/>
      <c r="M1174" s="50"/>
      <c r="P1174" s="68"/>
    </row>
    <row r="1175">
      <c r="A1175" s="220">
        <v>1.9504661523E11</v>
      </c>
      <c r="B1175" s="100" t="s">
        <v>1533</v>
      </c>
      <c r="C1175" s="118" t="s">
        <v>97</v>
      </c>
      <c r="D1175" s="100">
        <v>1.0</v>
      </c>
      <c r="E1175" s="119">
        <v>49.5</v>
      </c>
      <c r="F1175" s="119">
        <f t="shared" ref="F1175:F1179" si="182">E1175*D1175</f>
        <v>49.5</v>
      </c>
      <c r="G1175" s="119">
        <f t="shared" ref="G1175:G1179" si="183">F1175/4</f>
        <v>12.375</v>
      </c>
      <c r="H1175" s="100" t="s">
        <v>1424</v>
      </c>
      <c r="I1175" s="198" t="s">
        <v>335</v>
      </c>
      <c r="J1175" s="120" t="s">
        <v>1494</v>
      </c>
      <c r="K1175" s="99"/>
      <c r="L1175" s="50"/>
      <c r="M1175" s="50"/>
      <c r="P1175" s="68"/>
    </row>
    <row r="1176">
      <c r="A1176" s="220">
        <v>1.95046730865E11</v>
      </c>
      <c r="B1176" s="100" t="s">
        <v>1534</v>
      </c>
      <c r="C1176" s="118" t="s">
        <v>97</v>
      </c>
      <c r="D1176" s="100">
        <v>1.0</v>
      </c>
      <c r="E1176" s="119">
        <v>59.5</v>
      </c>
      <c r="F1176" s="119">
        <f t="shared" si="182"/>
        <v>59.5</v>
      </c>
      <c r="G1176" s="119">
        <f t="shared" si="183"/>
        <v>14.875</v>
      </c>
      <c r="H1176" s="100" t="s">
        <v>271</v>
      </c>
      <c r="I1176" s="198" t="s">
        <v>335</v>
      </c>
      <c r="J1176" s="120" t="s">
        <v>1494</v>
      </c>
      <c r="K1176" s="99"/>
      <c r="L1176" s="50"/>
      <c r="M1176" s="50"/>
      <c r="P1176" s="68"/>
    </row>
    <row r="1177">
      <c r="A1177" s="220">
        <v>1.95046897544E11</v>
      </c>
      <c r="B1177" s="100" t="s">
        <v>1535</v>
      </c>
      <c r="C1177" s="118" t="s">
        <v>97</v>
      </c>
      <c r="D1177" s="100">
        <v>1.0</v>
      </c>
      <c r="E1177" s="119">
        <v>69.5</v>
      </c>
      <c r="F1177" s="119">
        <f t="shared" si="182"/>
        <v>69.5</v>
      </c>
      <c r="G1177" s="119">
        <f t="shared" si="183"/>
        <v>17.375</v>
      </c>
      <c r="H1177" s="100" t="s">
        <v>271</v>
      </c>
      <c r="I1177" s="198" t="s">
        <v>335</v>
      </c>
      <c r="J1177" s="120" t="s">
        <v>1494</v>
      </c>
      <c r="K1177" s="99"/>
      <c r="L1177" s="50"/>
      <c r="M1177" s="50"/>
      <c r="P1177" s="68"/>
    </row>
    <row r="1178">
      <c r="A1178" s="220">
        <v>1.95046869596E11</v>
      </c>
      <c r="B1178" s="100" t="s">
        <v>1536</v>
      </c>
      <c r="C1178" s="118" t="s">
        <v>97</v>
      </c>
      <c r="D1178" s="100">
        <v>1.0</v>
      </c>
      <c r="E1178" s="119">
        <v>134.0</v>
      </c>
      <c r="F1178" s="119">
        <f t="shared" si="182"/>
        <v>134</v>
      </c>
      <c r="G1178" s="119">
        <f t="shared" si="183"/>
        <v>33.5</v>
      </c>
      <c r="H1178" s="100" t="s">
        <v>271</v>
      </c>
      <c r="I1178" s="198" t="s">
        <v>335</v>
      </c>
      <c r="J1178" s="120" t="s">
        <v>1494</v>
      </c>
      <c r="K1178" s="99"/>
      <c r="L1178" s="50"/>
      <c r="M1178" s="50"/>
      <c r="P1178" s="68"/>
    </row>
    <row r="1179">
      <c r="A1179" s="220">
        <v>1.94414146192E11</v>
      </c>
      <c r="B1179" s="100" t="s">
        <v>1537</v>
      </c>
      <c r="C1179" s="118" t="s">
        <v>97</v>
      </c>
      <c r="D1179" s="100">
        <v>1.0</v>
      </c>
      <c r="E1179" s="119">
        <v>74.25</v>
      </c>
      <c r="F1179" s="119">
        <f t="shared" si="182"/>
        <v>74.25</v>
      </c>
      <c r="G1179" s="119">
        <f t="shared" si="183"/>
        <v>18.5625</v>
      </c>
      <c r="H1179" s="100" t="s">
        <v>271</v>
      </c>
      <c r="I1179" s="198" t="s">
        <v>335</v>
      </c>
      <c r="J1179" s="120" t="s">
        <v>1494</v>
      </c>
      <c r="K1179" s="99"/>
      <c r="L1179" s="50"/>
      <c r="M1179" s="50"/>
      <c r="P1179" s="68"/>
    </row>
    <row r="1180">
      <c r="A1180" s="123" t="s">
        <v>132</v>
      </c>
      <c r="B1180" s="112" t="s">
        <v>1538</v>
      </c>
      <c r="C1180" s="124" t="str">
        <f>MID($B1180,6,7)</f>
        <v>mm18859</v>
      </c>
      <c r="D1180" s="125"/>
      <c r="E1180" s="126"/>
      <c r="F1180" s="126"/>
      <c r="G1180" s="126"/>
      <c r="H1180" s="127">
        <v>44559.0</v>
      </c>
      <c r="I1180" s="1"/>
      <c r="J1180" s="108" t="str">
        <f>IF(LEFT(B1180,3)="Box","BOX","COUNT")</f>
        <v>BOX</v>
      </c>
      <c r="K1180" s="99">
        <f>SUMIF($J$4:$J$8712,$C1180,$D$4:$D$8712)</f>
        <v>41</v>
      </c>
      <c r="L1180" s="50">
        <f>SUMIF($J$4:$J$8712,$C1180,$F$4:$F$8712)</f>
        <v>4345.03</v>
      </c>
      <c r="M1180" s="50">
        <f>SUMIF($J$4:$J$8712,$C1180,$G$4:$G$8712)</f>
        <v>1086.2575</v>
      </c>
      <c r="N1180" s="36" t="str">
        <f>C1180</f>
        <v>mm18859</v>
      </c>
      <c r="O1180" s="70" t="str">
        <f>J1181</f>
        <v>SHIP</v>
      </c>
      <c r="P1180" s="68">
        <f>M1180</f>
        <v>1086.2575</v>
      </c>
      <c r="Q1180" s="114">
        <v>44559.0</v>
      </c>
      <c r="R1180" s="37" t="s">
        <v>1400</v>
      </c>
      <c r="S1180" s="37" t="s">
        <v>1325</v>
      </c>
    </row>
    <row r="1181">
      <c r="A1181" s="221"/>
      <c r="B1181" s="111" t="s">
        <v>1539</v>
      </c>
      <c r="C1181" s="129"/>
      <c r="D1181" s="125"/>
      <c r="E1181" s="126"/>
      <c r="F1181" s="126"/>
      <c r="G1181" s="126"/>
      <c r="H1181" s="125"/>
      <c r="I1181" s="1"/>
      <c r="J1181" s="108" t="str">
        <f>IF(B1181="","NSHIP","SHIP")</f>
        <v>SHIP</v>
      </c>
      <c r="K1181" s="99">
        <f>IF($J1181="NSHIP",0,-SUMIF($J$4:$J$8712,$C1180,$D$4:$D$8712))</f>
        <v>-41</v>
      </c>
      <c r="L1181" s="50">
        <f>IF($J1181="NSHIP",0,-SUMIF($J$4:$J$8710,$C1180,$F$4:$F$8710))</f>
        <v>-4345.03</v>
      </c>
      <c r="M1181" s="50">
        <f>IF($J1181="NSHIP",0,-SUMIF($J$4:$J$8710,$C1180,$G$4:$G$8710))</f>
        <v>-1086.2575</v>
      </c>
      <c r="P1181" s="68"/>
    </row>
    <row r="1182">
      <c r="A1182" s="130">
        <v>1.92351446603E11</v>
      </c>
      <c r="B1182" s="186" t="s">
        <v>1540</v>
      </c>
      <c r="C1182" s="100" t="s">
        <v>97</v>
      </c>
      <c r="D1182" s="100">
        <v>1.0</v>
      </c>
      <c r="E1182" s="119">
        <v>99.98</v>
      </c>
      <c r="F1182" s="119">
        <f t="shared" ref="F1182:F1210" si="184">E1182*D1182</f>
        <v>99.98</v>
      </c>
      <c r="G1182" s="119">
        <f t="shared" ref="G1182:G1210" si="185">F1182/4</f>
        <v>24.995</v>
      </c>
      <c r="H1182" s="132" t="s">
        <v>271</v>
      </c>
      <c r="I1182" s="1"/>
      <c r="J1182" s="104" t="s">
        <v>1541</v>
      </c>
      <c r="K1182" s="133"/>
      <c r="L1182" s="105"/>
      <c r="M1182" s="105"/>
      <c r="N1182" s="1"/>
      <c r="O1182" s="1"/>
      <c r="P1182" s="68"/>
    </row>
    <row r="1183">
      <c r="A1183" s="134">
        <v>1.92351721687E11</v>
      </c>
      <c r="B1183" s="186" t="s">
        <v>1542</v>
      </c>
      <c r="C1183" s="100" t="s">
        <v>97</v>
      </c>
      <c r="D1183" s="100">
        <v>1.0</v>
      </c>
      <c r="E1183" s="119">
        <v>189.0</v>
      </c>
      <c r="F1183" s="119">
        <f t="shared" si="184"/>
        <v>189</v>
      </c>
      <c r="G1183" s="119">
        <f t="shared" si="185"/>
        <v>47.25</v>
      </c>
      <c r="H1183" s="100" t="s">
        <v>279</v>
      </c>
      <c r="I1183" s="1"/>
      <c r="J1183" s="104" t="s">
        <v>1541</v>
      </c>
      <c r="K1183" s="133"/>
      <c r="L1183" s="105"/>
      <c r="M1183" s="105"/>
      <c r="N1183" s="1"/>
      <c r="O1183" s="1"/>
      <c r="P1183" s="68"/>
    </row>
    <row r="1184">
      <c r="A1184" s="134">
        <v>1.923517217E11</v>
      </c>
      <c r="B1184" s="131" t="s">
        <v>1543</v>
      </c>
      <c r="C1184" s="100" t="s">
        <v>97</v>
      </c>
      <c r="D1184" s="100">
        <v>1.0</v>
      </c>
      <c r="E1184" s="119">
        <v>189.0</v>
      </c>
      <c r="F1184" s="119">
        <f t="shared" si="184"/>
        <v>189</v>
      </c>
      <c r="G1184" s="119">
        <f t="shared" si="185"/>
        <v>47.25</v>
      </c>
      <c r="H1184" s="132" t="s">
        <v>271</v>
      </c>
      <c r="I1184" s="1"/>
      <c r="J1184" s="104" t="s">
        <v>1541</v>
      </c>
      <c r="K1184" s="133"/>
      <c r="L1184" s="105"/>
      <c r="M1184" s="105"/>
      <c r="N1184" s="1"/>
      <c r="O1184" s="1"/>
      <c r="P1184" s="68"/>
    </row>
    <row r="1185">
      <c r="A1185" s="134">
        <v>1.93623321925E11</v>
      </c>
      <c r="B1185" s="186" t="s">
        <v>1544</v>
      </c>
      <c r="C1185" s="100" t="s">
        <v>97</v>
      </c>
      <c r="D1185" s="100">
        <v>1.0</v>
      </c>
      <c r="E1185" s="119">
        <v>89.98</v>
      </c>
      <c r="F1185" s="119">
        <f t="shared" si="184"/>
        <v>89.98</v>
      </c>
      <c r="G1185" s="119">
        <f t="shared" si="185"/>
        <v>22.495</v>
      </c>
      <c r="H1185" s="100" t="s">
        <v>279</v>
      </c>
      <c r="I1185" s="1"/>
      <c r="J1185" s="104" t="s">
        <v>1541</v>
      </c>
      <c r="K1185" s="133"/>
      <c r="L1185" s="105"/>
      <c r="M1185" s="105"/>
      <c r="N1185" s="1"/>
      <c r="O1185" s="1"/>
      <c r="P1185" s="68"/>
    </row>
    <row r="1186">
      <c r="A1186" s="134">
        <v>1.93623399566E11</v>
      </c>
      <c r="B1186" s="186" t="s">
        <v>1545</v>
      </c>
      <c r="C1186" s="100" t="s">
        <v>97</v>
      </c>
      <c r="D1186" s="100">
        <v>1.0</v>
      </c>
      <c r="E1186" s="119">
        <v>99.0</v>
      </c>
      <c r="F1186" s="119">
        <f t="shared" si="184"/>
        <v>99</v>
      </c>
      <c r="G1186" s="119">
        <f t="shared" si="185"/>
        <v>24.75</v>
      </c>
      <c r="H1186" s="100" t="s">
        <v>279</v>
      </c>
      <c r="I1186" s="1"/>
      <c r="J1186" s="104" t="s">
        <v>1541</v>
      </c>
      <c r="K1186" s="133"/>
      <c r="L1186" s="105"/>
      <c r="M1186" s="105"/>
      <c r="N1186" s="1"/>
      <c r="O1186" s="1"/>
      <c r="P1186" s="68"/>
    </row>
    <row r="1187">
      <c r="A1187" s="134">
        <v>1.9362339961E11</v>
      </c>
      <c r="B1187" s="186" t="s">
        <v>1546</v>
      </c>
      <c r="C1187" s="100" t="s">
        <v>97</v>
      </c>
      <c r="D1187" s="100">
        <v>1.0</v>
      </c>
      <c r="E1187" s="119">
        <v>28.96</v>
      </c>
      <c r="F1187" s="119">
        <f t="shared" si="184"/>
        <v>28.96</v>
      </c>
      <c r="G1187" s="119">
        <f t="shared" si="185"/>
        <v>7.24</v>
      </c>
      <c r="H1187" s="100" t="s">
        <v>284</v>
      </c>
      <c r="I1187" s="1"/>
      <c r="J1187" s="104" t="s">
        <v>1541</v>
      </c>
      <c r="K1187" s="133"/>
      <c r="L1187" s="105"/>
      <c r="M1187" s="105"/>
      <c r="N1187" s="1"/>
      <c r="O1187" s="1"/>
      <c r="P1187" s="68"/>
    </row>
    <row r="1188">
      <c r="A1188" s="134">
        <v>1.93623399634E11</v>
      </c>
      <c r="B1188" s="131" t="s">
        <v>1547</v>
      </c>
      <c r="C1188" s="100" t="s">
        <v>97</v>
      </c>
      <c r="D1188" s="100">
        <v>1.0</v>
      </c>
      <c r="E1188" s="119">
        <v>99.0</v>
      </c>
      <c r="F1188" s="119">
        <f t="shared" si="184"/>
        <v>99</v>
      </c>
      <c r="G1188" s="119">
        <f t="shared" si="185"/>
        <v>24.75</v>
      </c>
      <c r="H1188" s="100" t="s">
        <v>279</v>
      </c>
      <c r="I1188" s="1"/>
      <c r="J1188" s="104" t="s">
        <v>1541</v>
      </c>
      <c r="K1188" s="133"/>
      <c r="L1188" s="105"/>
      <c r="M1188" s="105"/>
      <c r="N1188" s="1"/>
      <c r="O1188" s="1"/>
      <c r="P1188" s="68"/>
    </row>
    <row r="1189">
      <c r="A1189" s="134">
        <v>1.93623437893E11</v>
      </c>
      <c r="B1189" s="131" t="s">
        <v>1548</v>
      </c>
      <c r="C1189" s="100" t="s">
        <v>97</v>
      </c>
      <c r="D1189" s="100">
        <v>1.0</v>
      </c>
      <c r="E1189" s="119">
        <v>229.0</v>
      </c>
      <c r="F1189" s="119">
        <f t="shared" si="184"/>
        <v>229</v>
      </c>
      <c r="G1189" s="119">
        <f t="shared" si="185"/>
        <v>57.25</v>
      </c>
      <c r="H1189" s="132" t="s">
        <v>271</v>
      </c>
      <c r="I1189" s="1"/>
      <c r="J1189" s="104" t="s">
        <v>1541</v>
      </c>
      <c r="K1189" s="133"/>
      <c r="L1189" s="105"/>
      <c r="M1189" s="105"/>
      <c r="N1189" s="1"/>
      <c r="O1189" s="1"/>
      <c r="P1189" s="68"/>
    </row>
    <row r="1190">
      <c r="A1190" s="134">
        <v>1.93623451196E11</v>
      </c>
      <c r="B1190" s="186" t="s">
        <v>1549</v>
      </c>
      <c r="C1190" s="100" t="s">
        <v>97</v>
      </c>
      <c r="D1190" s="100">
        <v>1.0</v>
      </c>
      <c r="E1190" s="119">
        <v>139.0</v>
      </c>
      <c r="F1190" s="119">
        <f t="shared" si="184"/>
        <v>139</v>
      </c>
      <c r="G1190" s="119">
        <f t="shared" si="185"/>
        <v>34.75</v>
      </c>
      <c r="H1190" s="100" t="s">
        <v>279</v>
      </c>
      <c r="I1190" s="1"/>
      <c r="J1190" s="104" t="s">
        <v>1541</v>
      </c>
      <c r="K1190" s="133"/>
      <c r="L1190" s="105"/>
      <c r="M1190" s="105"/>
      <c r="N1190" s="1"/>
      <c r="O1190" s="1"/>
      <c r="P1190" s="68"/>
    </row>
    <row r="1191">
      <c r="A1191" s="134">
        <v>1.93623472474E11</v>
      </c>
      <c r="B1191" s="131" t="s">
        <v>1550</v>
      </c>
      <c r="C1191" s="100" t="s">
        <v>97</v>
      </c>
      <c r="D1191" s="100">
        <v>1.0</v>
      </c>
      <c r="E1191" s="119">
        <v>139.0</v>
      </c>
      <c r="F1191" s="119">
        <f t="shared" si="184"/>
        <v>139</v>
      </c>
      <c r="G1191" s="119">
        <f t="shared" si="185"/>
        <v>34.75</v>
      </c>
      <c r="H1191" s="132" t="s">
        <v>271</v>
      </c>
      <c r="I1191" s="1"/>
      <c r="J1191" s="104" t="s">
        <v>1541</v>
      </c>
      <c r="K1191" s="133"/>
      <c r="L1191" s="105"/>
      <c r="M1191" s="105"/>
      <c r="N1191" s="1"/>
      <c r="O1191" s="1"/>
      <c r="P1191" s="68"/>
    </row>
    <row r="1192">
      <c r="A1192" s="134">
        <v>1.93623479879E11</v>
      </c>
      <c r="B1192" s="131" t="s">
        <v>1551</v>
      </c>
      <c r="C1192" s="100" t="s">
        <v>97</v>
      </c>
      <c r="D1192" s="100">
        <v>1.0</v>
      </c>
      <c r="E1192" s="119">
        <v>139.0</v>
      </c>
      <c r="F1192" s="119">
        <f t="shared" si="184"/>
        <v>139</v>
      </c>
      <c r="G1192" s="119">
        <f t="shared" si="185"/>
        <v>34.75</v>
      </c>
      <c r="H1192" s="132" t="s">
        <v>271</v>
      </c>
      <c r="I1192" s="1"/>
      <c r="J1192" s="104" t="s">
        <v>1541</v>
      </c>
      <c r="K1192" s="133"/>
      <c r="L1192" s="105"/>
      <c r="M1192" s="105"/>
      <c r="N1192" s="1"/>
      <c r="O1192" s="1"/>
      <c r="P1192" s="68"/>
    </row>
    <row r="1193">
      <c r="A1193" s="134">
        <v>1.93623497798E11</v>
      </c>
      <c r="B1193" s="131" t="s">
        <v>1552</v>
      </c>
      <c r="C1193" s="100" t="s">
        <v>97</v>
      </c>
      <c r="D1193" s="100">
        <v>1.0</v>
      </c>
      <c r="E1193" s="119">
        <v>134.0</v>
      </c>
      <c r="F1193" s="119">
        <f t="shared" si="184"/>
        <v>134</v>
      </c>
      <c r="G1193" s="119">
        <f t="shared" si="185"/>
        <v>33.5</v>
      </c>
      <c r="H1193" s="132" t="s">
        <v>271</v>
      </c>
      <c r="I1193" s="1"/>
      <c r="J1193" s="104" t="s">
        <v>1541</v>
      </c>
      <c r="K1193" s="133"/>
      <c r="L1193" s="105"/>
      <c r="M1193" s="105"/>
      <c r="N1193" s="1"/>
      <c r="O1193" s="1"/>
      <c r="P1193" s="68"/>
    </row>
    <row r="1194">
      <c r="A1194" s="134">
        <v>1.93623993306E11</v>
      </c>
      <c r="B1194" s="186" t="s">
        <v>1553</v>
      </c>
      <c r="C1194" s="100" t="s">
        <v>97</v>
      </c>
      <c r="D1194" s="100">
        <v>1.0</v>
      </c>
      <c r="E1194" s="119">
        <v>229.0</v>
      </c>
      <c r="F1194" s="119">
        <f t="shared" si="184"/>
        <v>229</v>
      </c>
      <c r="G1194" s="119">
        <f t="shared" si="185"/>
        <v>57.25</v>
      </c>
      <c r="H1194" s="132" t="s">
        <v>271</v>
      </c>
      <c r="I1194" s="1"/>
      <c r="J1194" s="104" t="s">
        <v>1541</v>
      </c>
      <c r="K1194" s="133"/>
      <c r="L1194" s="105"/>
      <c r="M1194" s="105"/>
      <c r="N1194" s="1"/>
      <c r="O1194" s="1"/>
      <c r="P1194" s="68"/>
    </row>
    <row r="1195">
      <c r="A1195" s="134">
        <v>1.93623993313E11</v>
      </c>
      <c r="B1195" s="186" t="s">
        <v>1554</v>
      </c>
      <c r="C1195" s="100" t="s">
        <v>97</v>
      </c>
      <c r="D1195" s="100">
        <v>1.0</v>
      </c>
      <c r="E1195" s="119">
        <v>229.0</v>
      </c>
      <c r="F1195" s="119">
        <f t="shared" si="184"/>
        <v>229</v>
      </c>
      <c r="G1195" s="119">
        <f t="shared" si="185"/>
        <v>57.25</v>
      </c>
      <c r="H1195" s="100" t="s">
        <v>284</v>
      </c>
      <c r="I1195" s="1"/>
      <c r="J1195" s="104" t="s">
        <v>1541</v>
      </c>
      <c r="K1195" s="133"/>
      <c r="L1195" s="105"/>
      <c r="M1195" s="105"/>
      <c r="N1195" s="1"/>
      <c r="O1195" s="1"/>
      <c r="P1195" s="68"/>
    </row>
    <row r="1196">
      <c r="A1196" s="134">
        <v>1.94414962778E11</v>
      </c>
      <c r="B1196" s="131" t="s">
        <v>1555</v>
      </c>
      <c r="C1196" s="100" t="s">
        <v>97</v>
      </c>
      <c r="D1196" s="100">
        <v>1.0</v>
      </c>
      <c r="E1196" s="119">
        <v>99.98</v>
      </c>
      <c r="F1196" s="119">
        <f t="shared" si="184"/>
        <v>99.98</v>
      </c>
      <c r="G1196" s="119">
        <f t="shared" si="185"/>
        <v>24.995</v>
      </c>
      <c r="H1196" s="132" t="s">
        <v>271</v>
      </c>
      <c r="I1196" s="1"/>
      <c r="J1196" s="104" t="s">
        <v>1541</v>
      </c>
      <c r="K1196" s="133"/>
      <c r="L1196" s="105"/>
      <c r="M1196" s="105"/>
      <c r="N1196" s="1"/>
      <c r="O1196" s="1"/>
      <c r="P1196" s="68"/>
    </row>
    <row r="1197">
      <c r="A1197" s="134">
        <v>1.94414965427E11</v>
      </c>
      <c r="B1197" s="186" t="s">
        <v>1419</v>
      </c>
      <c r="C1197" s="100" t="s">
        <v>97</v>
      </c>
      <c r="D1197" s="100">
        <v>1.0</v>
      </c>
      <c r="E1197" s="119">
        <v>139.0</v>
      </c>
      <c r="F1197" s="119">
        <f t="shared" si="184"/>
        <v>139</v>
      </c>
      <c r="G1197" s="119">
        <f t="shared" si="185"/>
        <v>34.75</v>
      </c>
      <c r="H1197" s="100" t="s">
        <v>279</v>
      </c>
      <c r="I1197" s="1"/>
      <c r="J1197" s="104" t="s">
        <v>1541</v>
      </c>
      <c r="K1197" s="133"/>
      <c r="L1197" s="105"/>
      <c r="M1197" s="105"/>
      <c r="N1197" s="1"/>
      <c r="O1197" s="1"/>
      <c r="P1197" s="68"/>
    </row>
    <row r="1198">
      <c r="A1198" s="134">
        <v>1.94414968138E11</v>
      </c>
      <c r="B1198" s="186" t="s">
        <v>1556</v>
      </c>
      <c r="C1198" s="100" t="s">
        <v>97</v>
      </c>
      <c r="D1198" s="100">
        <v>1.0</v>
      </c>
      <c r="E1198" s="119">
        <v>89.98</v>
      </c>
      <c r="F1198" s="119">
        <f t="shared" si="184"/>
        <v>89.98</v>
      </c>
      <c r="G1198" s="119">
        <f t="shared" si="185"/>
        <v>22.495</v>
      </c>
      <c r="H1198" s="132" t="s">
        <v>271</v>
      </c>
      <c r="I1198" s="1"/>
      <c r="J1198" s="104" t="s">
        <v>1541</v>
      </c>
      <c r="K1198" s="133"/>
      <c r="L1198" s="105"/>
      <c r="M1198" s="105"/>
      <c r="N1198" s="1"/>
      <c r="O1198" s="1"/>
      <c r="P1198" s="68"/>
    </row>
    <row r="1199">
      <c r="A1199" s="134">
        <v>1.94414970049E11</v>
      </c>
      <c r="B1199" s="186" t="s">
        <v>1557</v>
      </c>
      <c r="C1199" s="100" t="s">
        <v>97</v>
      </c>
      <c r="D1199" s="100">
        <v>1.0</v>
      </c>
      <c r="E1199" s="119">
        <v>99.98</v>
      </c>
      <c r="F1199" s="119">
        <f t="shared" si="184"/>
        <v>99.98</v>
      </c>
      <c r="G1199" s="119">
        <f t="shared" si="185"/>
        <v>24.995</v>
      </c>
      <c r="H1199" s="132" t="s">
        <v>271</v>
      </c>
      <c r="I1199" s="1"/>
      <c r="J1199" s="104" t="s">
        <v>1541</v>
      </c>
      <c r="K1199" s="133"/>
      <c r="L1199" s="105"/>
      <c r="M1199" s="105"/>
      <c r="N1199" s="1"/>
      <c r="O1199" s="1"/>
      <c r="P1199" s="68"/>
    </row>
    <row r="1200">
      <c r="A1200" s="134">
        <v>1.94414971114E11</v>
      </c>
      <c r="B1200" s="186" t="s">
        <v>1558</v>
      </c>
      <c r="C1200" s="100" t="s">
        <v>97</v>
      </c>
      <c r="D1200" s="100">
        <v>1.0</v>
      </c>
      <c r="E1200" s="119">
        <v>149.0</v>
      </c>
      <c r="F1200" s="119">
        <f t="shared" si="184"/>
        <v>149</v>
      </c>
      <c r="G1200" s="119">
        <f t="shared" si="185"/>
        <v>37.25</v>
      </c>
      <c r="H1200" s="100" t="s">
        <v>279</v>
      </c>
      <c r="I1200" s="1"/>
      <c r="J1200" s="104" t="s">
        <v>1541</v>
      </c>
      <c r="K1200" s="133"/>
      <c r="L1200" s="105"/>
      <c r="M1200" s="105"/>
      <c r="N1200" s="1"/>
      <c r="O1200" s="1"/>
      <c r="P1200" s="68"/>
    </row>
    <row r="1201">
      <c r="A1201" s="134">
        <v>1.95046390991E11</v>
      </c>
      <c r="B1201" s="186" t="s">
        <v>1559</v>
      </c>
      <c r="C1201" s="100" t="s">
        <v>97</v>
      </c>
      <c r="D1201" s="100">
        <v>1.0</v>
      </c>
      <c r="E1201" s="119">
        <v>59.5</v>
      </c>
      <c r="F1201" s="119">
        <f t="shared" si="184"/>
        <v>59.5</v>
      </c>
      <c r="G1201" s="119">
        <f t="shared" si="185"/>
        <v>14.875</v>
      </c>
      <c r="H1201" s="132" t="s">
        <v>1424</v>
      </c>
      <c r="I1201" s="1"/>
      <c r="J1201" s="104" t="s">
        <v>1541</v>
      </c>
      <c r="K1201" s="133"/>
      <c r="L1201" s="105"/>
      <c r="M1201" s="105"/>
      <c r="N1201" s="1"/>
      <c r="O1201" s="1"/>
      <c r="P1201" s="68"/>
    </row>
    <row r="1202">
      <c r="A1202" s="134">
        <v>1.950465314E11</v>
      </c>
      <c r="B1202" s="186" t="s">
        <v>1518</v>
      </c>
      <c r="C1202" s="100" t="s">
        <v>97</v>
      </c>
      <c r="D1202" s="100">
        <v>1.0</v>
      </c>
      <c r="E1202" s="119">
        <v>79.5</v>
      </c>
      <c r="F1202" s="119">
        <f t="shared" si="184"/>
        <v>79.5</v>
      </c>
      <c r="G1202" s="119">
        <f t="shared" si="185"/>
        <v>19.875</v>
      </c>
      <c r="H1202" s="132" t="s">
        <v>1424</v>
      </c>
      <c r="I1202" s="1"/>
      <c r="J1202" s="104" t="s">
        <v>1541</v>
      </c>
      <c r="K1202" s="133"/>
      <c r="L1202" s="105"/>
      <c r="M1202" s="105"/>
      <c r="N1202" s="1"/>
      <c r="O1202" s="1"/>
      <c r="P1202" s="68"/>
    </row>
    <row r="1203">
      <c r="A1203" s="134">
        <v>1.95046533787E11</v>
      </c>
      <c r="B1203" s="131" t="s">
        <v>1560</v>
      </c>
      <c r="C1203" s="100" t="s">
        <v>97</v>
      </c>
      <c r="D1203" s="100">
        <v>1.0</v>
      </c>
      <c r="E1203" s="119">
        <v>69.5</v>
      </c>
      <c r="F1203" s="119">
        <f t="shared" si="184"/>
        <v>69.5</v>
      </c>
      <c r="G1203" s="119">
        <f t="shared" si="185"/>
        <v>17.375</v>
      </c>
      <c r="H1203" s="132" t="s">
        <v>1424</v>
      </c>
      <c r="I1203" s="1"/>
      <c r="J1203" s="104" t="s">
        <v>1541</v>
      </c>
      <c r="K1203" s="133"/>
      <c r="L1203" s="105"/>
      <c r="M1203" s="105"/>
      <c r="N1203" s="1"/>
      <c r="O1203" s="1"/>
      <c r="P1203" s="68"/>
    </row>
    <row r="1204">
      <c r="A1204" s="134">
        <v>1.95046554621E11</v>
      </c>
      <c r="B1204" s="186" t="s">
        <v>1561</v>
      </c>
      <c r="C1204" s="100" t="s">
        <v>97</v>
      </c>
      <c r="D1204" s="100">
        <v>1.0</v>
      </c>
      <c r="E1204" s="119">
        <v>89.5</v>
      </c>
      <c r="F1204" s="119">
        <f t="shared" si="184"/>
        <v>89.5</v>
      </c>
      <c r="G1204" s="119">
        <f t="shared" si="185"/>
        <v>22.375</v>
      </c>
      <c r="H1204" s="132" t="s">
        <v>1562</v>
      </c>
      <c r="I1204" s="1"/>
      <c r="J1204" s="104" t="s">
        <v>1541</v>
      </c>
      <c r="K1204" s="133"/>
      <c r="L1204" s="105"/>
      <c r="M1204" s="105"/>
      <c r="N1204" s="1"/>
      <c r="O1204" s="1"/>
      <c r="P1204" s="68"/>
    </row>
    <row r="1205">
      <c r="A1205" s="134">
        <v>1.95046664948E11</v>
      </c>
      <c r="B1205" s="186" t="s">
        <v>296</v>
      </c>
      <c r="C1205" s="100" t="s">
        <v>97</v>
      </c>
      <c r="D1205" s="100">
        <v>1.0</v>
      </c>
      <c r="E1205" s="119">
        <v>139.0</v>
      </c>
      <c r="F1205" s="119">
        <f t="shared" si="184"/>
        <v>139</v>
      </c>
      <c r="G1205" s="119">
        <f t="shared" si="185"/>
        <v>34.75</v>
      </c>
      <c r="H1205" s="132" t="s">
        <v>271</v>
      </c>
      <c r="I1205" s="1"/>
      <c r="J1205" s="104" t="s">
        <v>1541</v>
      </c>
      <c r="K1205" s="133"/>
      <c r="L1205" s="105"/>
      <c r="M1205" s="105"/>
      <c r="N1205" s="1"/>
      <c r="O1205" s="1"/>
      <c r="P1205" s="68"/>
    </row>
    <row r="1206">
      <c r="A1206" s="134">
        <v>1.95046665358E11</v>
      </c>
      <c r="B1206" s="186" t="s">
        <v>1563</v>
      </c>
      <c r="C1206" s="100" t="s">
        <v>97</v>
      </c>
      <c r="D1206" s="100">
        <v>1.0</v>
      </c>
      <c r="E1206" s="119">
        <v>149.0</v>
      </c>
      <c r="F1206" s="119">
        <f t="shared" si="184"/>
        <v>149</v>
      </c>
      <c r="G1206" s="119">
        <f t="shared" si="185"/>
        <v>37.25</v>
      </c>
      <c r="H1206" s="132" t="s">
        <v>271</v>
      </c>
      <c r="I1206" s="1"/>
      <c r="J1206" s="104" t="s">
        <v>1541</v>
      </c>
      <c r="K1206" s="133"/>
      <c r="L1206" s="105"/>
      <c r="M1206" s="105"/>
      <c r="N1206" s="1"/>
      <c r="O1206" s="1"/>
      <c r="P1206" s="68"/>
    </row>
    <row r="1207">
      <c r="A1207" s="134">
        <v>1.9504686836E11</v>
      </c>
      <c r="B1207" s="186" t="s">
        <v>1564</v>
      </c>
      <c r="C1207" s="100" t="s">
        <v>97</v>
      </c>
      <c r="D1207" s="100">
        <v>1.0</v>
      </c>
      <c r="E1207" s="119">
        <v>129.0</v>
      </c>
      <c r="F1207" s="119">
        <f t="shared" si="184"/>
        <v>129</v>
      </c>
      <c r="G1207" s="119">
        <f t="shared" si="185"/>
        <v>32.25</v>
      </c>
      <c r="H1207" s="132" t="s">
        <v>271</v>
      </c>
      <c r="I1207" s="1"/>
      <c r="J1207" s="104" t="s">
        <v>1541</v>
      </c>
      <c r="K1207" s="133"/>
      <c r="L1207" s="105"/>
      <c r="M1207" s="105"/>
      <c r="N1207" s="1"/>
      <c r="O1207" s="1"/>
      <c r="P1207" s="68"/>
    </row>
    <row r="1208">
      <c r="A1208" s="134">
        <v>1.95046875542E11</v>
      </c>
      <c r="B1208" s="131" t="s">
        <v>1565</v>
      </c>
      <c r="C1208" s="100" t="s">
        <v>97</v>
      </c>
      <c r="D1208" s="100">
        <v>1.0</v>
      </c>
      <c r="E1208" s="119">
        <v>129.0</v>
      </c>
      <c r="F1208" s="119">
        <f t="shared" si="184"/>
        <v>129</v>
      </c>
      <c r="G1208" s="119">
        <f t="shared" si="185"/>
        <v>32.25</v>
      </c>
      <c r="H1208" s="132" t="s">
        <v>271</v>
      </c>
      <c r="I1208" s="1"/>
      <c r="J1208" s="104" t="s">
        <v>1541</v>
      </c>
      <c r="K1208" s="133"/>
      <c r="L1208" s="105"/>
      <c r="M1208" s="105"/>
      <c r="N1208" s="1"/>
      <c r="O1208" s="1"/>
      <c r="P1208" s="68"/>
    </row>
    <row r="1209">
      <c r="A1209" s="134">
        <v>1.95046908653E11</v>
      </c>
      <c r="B1209" s="186" t="s">
        <v>1566</v>
      </c>
      <c r="C1209" s="100" t="s">
        <v>97</v>
      </c>
      <c r="D1209" s="100">
        <v>1.0</v>
      </c>
      <c r="E1209" s="119">
        <v>134.0</v>
      </c>
      <c r="F1209" s="119">
        <f t="shared" si="184"/>
        <v>134</v>
      </c>
      <c r="G1209" s="119">
        <f t="shared" si="185"/>
        <v>33.5</v>
      </c>
      <c r="H1209" s="132" t="s">
        <v>271</v>
      </c>
      <c r="I1209" s="1"/>
      <c r="J1209" s="104" t="s">
        <v>1541</v>
      </c>
      <c r="K1209" s="133"/>
      <c r="L1209" s="105"/>
      <c r="M1209" s="105"/>
      <c r="N1209" s="1"/>
      <c r="O1209" s="1"/>
      <c r="P1209" s="68"/>
    </row>
    <row r="1210">
      <c r="A1210" s="134">
        <v>8.8571990067E11</v>
      </c>
      <c r="B1210" s="186" t="s">
        <v>1567</v>
      </c>
      <c r="C1210" s="100" t="s">
        <v>97</v>
      </c>
      <c r="D1210" s="100">
        <v>1.0</v>
      </c>
      <c r="E1210" s="119">
        <v>69.5</v>
      </c>
      <c r="F1210" s="119">
        <f t="shared" si="184"/>
        <v>69.5</v>
      </c>
      <c r="G1210" s="119">
        <f t="shared" si="185"/>
        <v>17.375</v>
      </c>
      <c r="H1210" s="132" t="s">
        <v>1424</v>
      </c>
      <c r="I1210" s="1"/>
      <c r="J1210" s="104" t="s">
        <v>1541</v>
      </c>
      <c r="K1210" s="133"/>
      <c r="L1210" s="105"/>
      <c r="M1210" s="105"/>
      <c r="N1210" s="1"/>
      <c r="O1210" s="1"/>
      <c r="P1210" s="68"/>
    </row>
    <row r="1211">
      <c r="A1211" s="135" t="s">
        <v>1568</v>
      </c>
      <c r="B1211" s="103" t="s">
        <v>1569</v>
      </c>
      <c r="C1211" s="100"/>
      <c r="D1211" s="100"/>
      <c r="E1211" s="119"/>
      <c r="F1211" s="119"/>
      <c r="G1211" s="119"/>
      <c r="H1211" s="100"/>
      <c r="I1211" s="1"/>
      <c r="J1211" s="104"/>
      <c r="K1211" s="133"/>
      <c r="L1211" s="105"/>
      <c r="M1211" s="105"/>
      <c r="N1211" s="1"/>
      <c r="O1211" s="1"/>
      <c r="P1211" s="68"/>
    </row>
    <row r="1212">
      <c r="A1212" s="134">
        <v>1.9441496541E11</v>
      </c>
      <c r="B1212" s="186" t="s">
        <v>1570</v>
      </c>
      <c r="C1212" s="100" t="s">
        <v>97</v>
      </c>
      <c r="D1212" s="100">
        <v>1.0</v>
      </c>
      <c r="E1212" s="119">
        <v>139.0</v>
      </c>
      <c r="F1212" s="119">
        <f t="shared" ref="F1212:F1216" si="186">E1212*D1212</f>
        <v>139</v>
      </c>
      <c r="G1212" s="119">
        <f t="shared" ref="G1212:G1216" si="187">F1212/4</f>
        <v>34.75</v>
      </c>
      <c r="H1212" s="132" t="s">
        <v>271</v>
      </c>
      <c r="I1212" s="1"/>
      <c r="J1212" s="104" t="s">
        <v>1541</v>
      </c>
      <c r="K1212" s="133"/>
      <c r="L1212" s="105"/>
      <c r="M1212" s="105"/>
      <c r="N1212" s="1"/>
      <c r="O1212" s="1"/>
      <c r="P1212" s="68"/>
    </row>
    <row r="1213">
      <c r="A1213" s="134">
        <v>1.93623465803E11</v>
      </c>
      <c r="B1213" s="186" t="s">
        <v>1571</v>
      </c>
      <c r="C1213" s="100" t="s">
        <v>97</v>
      </c>
      <c r="D1213" s="100">
        <v>1.0</v>
      </c>
      <c r="E1213" s="119">
        <v>229.0</v>
      </c>
      <c r="F1213" s="119">
        <f t="shared" si="186"/>
        <v>229</v>
      </c>
      <c r="G1213" s="119">
        <f t="shared" si="187"/>
        <v>57.25</v>
      </c>
      <c r="H1213" s="100" t="s">
        <v>279</v>
      </c>
      <c r="I1213" s="1"/>
      <c r="J1213" s="104" t="s">
        <v>1541</v>
      </c>
      <c r="K1213" s="133"/>
      <c r="L1213" s="105"/>
      <c r="M1213" s="105"/>
      <c r="N1213" s="1"/>
      <c r="O1213" s="1"/>
      <c r="P1213" s="68"/>
    </row>
    <row r="1214">
      <c r="A1214" s="134">
        <v>1.92351721663E11</v>
      </c>
      <c r="B1214" s="186" t="s">
        <v>1572</v>
      </c>
      <c r="C1214" s="100" t="s">
        <v>97</v>
      </c>
      <c r="D1214" s="100">
        <v>1.0</v>
      </c>
      <c r="E1214" s="119">
        <v>189.0</v>
      </c>
      <c r="F1214" s="119">
        <f t="shared" si="186"/>
        <v>189</v>
      </c>
      <c r="G1214" s="119">
        <f t="shared" si="187"/>
        <v>47.25</v>
      </c>
      <c r="H1214" s="100" t="s">
        <v>279</v>
      </c>
      <c r="I1214" s="1"/>
      <c r="J1214" s="104" t="s">
        <v>1541</v>
      </c>
      <c r="K1214" s="133"/>
      <c r="L1214" s="105"/>
      <c r="M1214" s="105"/>
      <c r="N1214" s="1"/>
      <c r="O1214" s="1"/>
      <c r="P1214" s="68"/>
    </row>
    <row r="1215">
      <c r="A1215" s="134">
        <v>8.89609250425E11</v>
      </c>
      <c r="B1215" s="131" t="s">
        <v>1573</v>
      </c>
      <c r="C1215" s="100" t="s">
        <v>97</v>
      </c>
      <c r="D1215" s="100">
        <v>1.0</v>
      </c>
      <c r="E1215" s="119">
        <v>179.0</v>
      </c>
      <c r="F1215" s="119">
        <f t="shared" si="186"/>
        <v>179</v>
      </c>
      <c r="G1215" s="119">
        <f t="shared" si="187"/>
        <v>44.75</v>
      </c>
      <c r="H1215" s="100" t="s">
        <v>279</v>
      </c>
      <c r="I1215" s="1"/>
      <c r="J1215" s="104" t="s">
        <v>1541</v>
      </c>
      <c r="K1215" s="133"/>
      <c r="L1215" s="105"/>
      <c r="M1215" s="105"/>
      <c r="N1215" s="1"/>
      <c r="O1215" s="1"/>
      <c r="P1215" s="68"/>
    </row>
    <row r="1216">
      <c r="A1216" s="134">
        <v>8.89609250432E11</v>
      </c>
      <c r="B1216" s="186" t="s">
        <v>1574</v>
      </c>
      <c r="C1216" s="100" t="s">
        <v>97</v>
      </c>
      <c r="D1216" s="100">
        <v>1.0</v>
      </c>
      <c r="E1216" s="119">
        <v>179.0</v>
      </c>
      <c r="F1216" s="119">
        <f t="shared" si="186"/>
        <v>179</v>
      </c>
      <c r="G1216" s="119">
        <f t="shared" si="187"/>
        <v>44.75</v>
      </c>
      <c r="H1216" s="132" t="s">
        <v>271</v>
      </c>
      <c r="I1216" s="1"/>
      <c r="J1216" s="104" t="s">
        <v>1541</v>
      </c>
      <c r="K1216" s="133"/>
      <c r="L1216" s="105"/>
      <c r="M1216" s="105"/>
      <c r="N1216" s="1"/>
      <c r="O1216" s="1"/>
      <c r="P1216" s="68"/>
    </row>
    <row r="1217">
      <c r="A1217" s="135" t="s">
        <v>1396</v>
      </c>
      <c r="B1217" s="103" t="s">
        <v>1575</v>
      </c>
      <c r="C1217" s="100"/>
      <c r="D1217" s="100"/>
      <c r="E1217" s="119"/>
      <c r="F1217" s="119"/>
      <c r="G1217" s="119"/>
      <c r="H1217" s="100"/>
      <c r="I1217" s="1"/>
      <c r="J1217" s="104"/>
      <c r="K1217" s="133"/>
      <c r="L1217" s="105"/>
      <c r="M1217" s="105"/>
      <c r="N1217" s="1"/>
      <c r="O1217" s="1"/>
      <c r="P1217" s="68"/>
    </row>
    <row r="1218">
      <c r="A1218" s="137">
        <v>1.95046534487E11</v>
      </c>
      <c r="B1218" s="131" t="s">
        <v>1576</v>
      </c>
      <c r="C1218" s="100" t="s">
        <v>97</v>
      </c>
      <c r="D1218" s="100">
        <v>1.0</v>
      </c>
      <c r="E1218" s="119">
        <v>79.5</v>
      </c>
      <c r="F1218" s="119">
        <f t="shared" ref="F1218:F1220" si="188">E1218*D1218</f>
        <v>79.5</v>
      </c>
      <c r="G1218" s="119">
        <f t="shared" ref="G1218:G1220" si="189">F1218/4</f>
        <v>19.875</v>
      </c>
      <c r="H1218" s="132" t="s">
        <v>1424</v>
      </c>
      <c r="I1218" s="176" t="s">
        <v>143</v>
      </c>
      <c r="J1218" s="104" t="s">
        <v>1541</v>
      </c>
      <c r="K1218" s="133"/>
      <c r="L1218" s="105"/>
      <c r="M1218" s="105"/>
      <c r="N1218" s="1"/>
      <c r="O1218" s="1"/>
      <c r="P1218" s="68"/>
    </row>
    <row r="1219">
      <c r="A1219" s="137">
        <v>1.95046543526E11</v>
      </c>
      <c r="B1219" s="131" t="s">
        <v>1577</v>
      </c>
      <c r="C1219" s="100" t="s">
        <v>97</v>
      </c>
      <c r="D1219" s="100">
        <v>1.0</v>
      </c>
      <c r="E1219" s="119">
        <v>79.5</v>
      </c>
      <c r="F1219" s="119">
        <f t="shared" si="188"/>
        <v>79.5</v>
      </c>
      <c r="G1219" s="119">
        <f t="shared" si="189"/>
        <v>19.875</v>
      </c>
      <c r="H1219" s="132" t="s">
        <v>1424</v>
      </c>
      <c r="I1219" s="176" t="s">
        <v>143</v>
      </c>
      <c r="J1219" s="104" t="s">
        <v>1541</v>
      </c>
      <c r="K1219" s="133"/>
      <c r="L1219" s="105"/>
      <c r="M1219" s="105"/>
      <c r="N1219" s="1"/>
      <c r="O1219" s="1"/>
      <c r="P1219" s="68"/>
    </row>
    <row r="1220">
      <c r="A1220" s="137">
        <v>1.9504692549E11</v>
      </c>
      <c r="B1220" s="131" t="s">
        <v>1578</v>
      </c>
      <c r="C1220" s="100" t="s">
        <v>97</v>
      </c>
      <c r="D1220" s="100">
        <v>1.0</v>
      </c>
      <c r="E1220" s="119">
        <v>59.5</v>
      </c>
      <c r="F1220" s="119">
        <f t="shared" si="188"/>
        <v>59.5</v>
      </c>
      <c r="G1220" s="119">
        <f t="shared" si="189"/>
        <v>14.875</v>
      </c>
      <c r="H1220" s="132" t="s">
        <v>271</v>
      </c>
      <c r="I1220" s="176" t="s">
        <v>143</v>
      </c>
      <c r="J1220" s="104" t="s">
        <v>1541</v>
      </c>
      <c r="K1220" s="133"/>
      <c r="L1220" s="105"/>
      <c r="M1220" s="105"/>
      <c r="N1220" s="1"/>
      <c r="O1220" s="1"/>
      <c r="P1220" s="68"/>
    </row>
    <row r="1221">
      <c r="A1221" s="112" t="s">
        <v>153</v>
      </c>
      <c r="B1221" s="112" t="s">
        <v>1579</v>
      </c>
      <c r="C1221" s="112" t="str">
        <f>MID($B1221,6,7)</f>
        <v>mm18860</v>
      </c>
      <c r="D1221" s="112"/>
      <c r="E1221" s="138"/>
      <c r="F1221" s="138"/>
      <c r="G1221" s="138"/>
      <c r="H1221" s="127">
        <v>44559.0</v>
      </c>
      <c r="I1221" s="1"/>
      <c r="J1221" s="104" t="str">
        <f>IF(LEFT(B1221,3)="Box","BOX","COUNT")</f>
        <v>BOX</v>
      </c>
      <c r="K1221" s="139">
        <f>SUMIF($J$3:$J$8690,$C1221,$D$3:$D$8690)</f>
        <v>37</v>
      </c>
      <c r="L1221" s="32">
        <f>SUMIF($J$3:$J$8690,$C1221,$F$3:$F$8690)</f>
        <v>4791.86</v>
      </c>
      <c r="M1221" s="32">
        <f>SUMIF($J$3:$J$8690,$C1221,$G$3:$G$8690)</f>
        <v>1197.965</v>
      </c>
      <c r="N1221" s="1" t="str">
        <f>C1221</f>
        <v>mm18860</v>
      </c>
      <c r="O1221" s="1" t="str">
        <f>J1222</f>
        <v>SHIP</v>
      </c>
      <c r="P1221" s="68">
        <f>M1221</f>
        <v>1197.965</v>
      </c>
      <c r="Q1221" s="114">
        <v>44559.0</v>
      </c>
      <c r="R1221" s="37" t="s">
        <v>1400</v>
      </c>
      <c r="S1221" s="37" t="s">
        <v>1325</v>
      </c>
    </row>
    <row r="1222">
      <c r="A1222" s="115" t="s">
        <v>119</v>
      </c>
      <c r="B1222" s="140" t="s">
        <v>1580</v>
      </c>
      <c r="C1222" s="141"/>
      <c r="D1222" s="141"/>
      <c r="E1222" s="142"/>
      <c r="F1222" s="142"/>
      <c r="G1222" s="142"/>
      <c r="H1222" s="141"/>
      <c r="I1222" s="1"/>
      <c r="J1222" s="104" t="str">
        <f>IF(B1222="","NSHIP","SHIP")</f>
        <v>SHIP</v>
      </c>
      <c r="K1222" s="139">
        <f>IF($J1222="NSHIP",0,-SUMIF($J$3:$J$8690,$C1221,$D$3:$D$8690))</f>
        <v>-37</v>
      </c>
      <c r="L1222" s="32">
        <f>IF($J1222="NSHIP",0,-SUMIF($J$3:$J$8688,$C1221,$F$3:$F$8688))</f>
        <v>-4791.86</v>
      </c>
      <c r="M1222" s="32">
        <f>IF($J1222="NSHIP",0,-SUMIF($J$3:$J$8688,$C1221,$G$3:$G$8688))</f>
        <v>-1197.965</v>
      </c>
      <c r="N1222" s="1"/>
      <c r="O1222" s="1"/>
      <c r="P1222" s="68"/>
    </row>
    <row r="1223">
      <c r="A1223" s="100">
        <v>7.91841023791E11</v>
      </c>
      <c r="B1223" s="131" t="s">
        <v>1581</v>
      </c>
      <c r="C1223" s="100" t="s">
        <v>97</v>
      </c>
      <c r="D1223" s="100">
        <v>1.0</v>
      </c>
      <c r="E1223" s="119">
        <v>40.99</v>
      </c>
      <c r="F1223" s="119">
        <f t="shared" ref="F1223:F1241" si="190">E1223*D1223</f>
        <v>40.99</v>
      </c>
      <c r="G1223" s="119">
        <f t="shared" ref="G1223:G1241" si="191">F1223/4</f>
        <v>10.2475</v>
      </c>
      <c r="H1223" s="100" t="s">
        <v>236</v>
      </c>
      <c r="I1223" s="1"/>
      <c r="J1223" s="120" t="s">
        <v>1582</v>
      </c>
      <c r="K1223" s="99"/>
      <c r="L1223" s="50"/>
      <c r="M1223" s="50"/>
      <c r="P1223" s="68"/>
    </row>
    <row r="1224">
      <c r="A1224" s="100">
        <v>7.91841035473E11</v>
      </c>
      <c r="B1224" s="131" t="s">
        <v>1583</v>
      </c>
      <c r="C1224" s="100" t="s">
        <v>97</v>
      </c>
      <c r="D1224" s="100">
        <v>1.0</v>
      </c>
      <c r="E1224" s="119">
        <v>69.0</v>
      </c>
      <c r="F1224" s="119">
        <f t="shared" si="190"/>
        <v>69</v>
      </c>
      <c r="G1224" s="119">
        <f t="shared" si="191"/>
        <v>17.25</v>
      </c>
      <c r="H1224" s="100" t="s">
        <v>236</v>
      </c>
      <c r="I1224" s="1"/>
      <c r="J1224" s="120" t="s">
        <v>1582</v>
      </c>
      <c r="K1224" s="99"/>
      <c r="L1224" s="50"/>
      <c r="M1224" s="50"/>
      <c r="P1224" s="68"/>
    </row>
    <row r="1225">
      <c r="A1225" s="100">
        <v>7.9184103548E11</v>
      </c>
      <c r="B1225" s="131" t="s">
        <v>1584</v>
      </c>
      <c r="C1225" s="100" t="s">
        <v>97</v>
      </c>
      <c r="D1225" s="100">
        <v>1.0</v>
      </c>
      <c r="E1225" s="119">
        <v>69.0</v>
      </c>
      <c r="F1225" s="119">
        <f t="shared" si="190"/>
        <v>69</v>
      </c>
      <c r="G1225" s="119">
        <f t="shared" si="191"/>
        <v>17.25</v>
      </c>
      <c r="H1225" s="100" t="s">
        <v>236</v>
      </c>
      <c r="I1225" s="1"/>
      <c r="J1225" s="120" t="s">
        <v>1582</v>
      </c>
      <c r="K1225" s="99"/>
      <c r="L1225" s="50"/>
      <c r="M1225" s="50"/>
      <c r="P1225" s="68"/>
    </row>
    <row r="1226">
      <c r="A1226" s="100">
        <v>7.91841035503E11</v>
      </c>
      <c r="B1226" s="131" t="s">
        <v>1585</v>
      </c>
      <c r="C1226" s="100" t="s">
        <v>97</v>
      </c>
      <c r="D1226" s="100">
        <v>1.0</v>
      </c>
      <c r="E1226" s="119">
        <v>69.0</v>
      </c>
      <c r="F1226" s="119">
        <f t="shared" si="190"/>
        <v>69</v>
      </c>
      <c r="G1226" s="119">
        <f t="shared" si="191"/>
        <v>17.25</v>
      </c>
      <c r="H1226" s="100" t="s">
        <v>236</v>
      </c>
      <c r="I1226" s="1"/>
      <c r="J1226" s="120" t="s">
        <v>1582</v>
      </c>
      <c r="K1226" s="99"/>
      <c r="L1226" s="50"/>
      <c r="M1226" s="50"/>
      <c r="P1226" s="68"/>
    </row>
    <row r="1227">
      <c r="A1227" s="100">
        <v>7.91841043195E11</v>
      </c>
      <c r="B1227" s="131" t="s">
        <v>241</v>
      </c>
      <c r="C1227" s="100" t="s">
        <v>97</v>
      </c>
      <c r="D1227" s="100">
        <v>3.0</v>
      </c>
      <c r="E1227" s="119">
        <v>59.0</v>
      </c>
      <c r="F1227" s="119">
        <f t="shared" si="190"/>
        <v>177</v>
      </c>
      <c r="G1227" s="119">
        <f t="shared" si="191"/>
        <v>44.25</v>
      </c>
      <c r="H1227" s="100" t="s">
        <v>238</v>
      </c>
      <c r="I1227" s="1"/>
      <c r="J1227" s="120" t="s">
        <v>1582</v>
      </c>
      <c r="K1227" s="99"/>
      <c r="L1227" s="50"/>
      <c r="M1227" s="50"/>
      <c r="P1227" s="68"/>
    </row>
    <row r="1228">
      <c r="A1228" s="100">
        <v>7.91841047025E11</v>
      </c>
      <c r="B1228" s="131" t="s">
        <v>243</v>
      </c>
      <c r="C1228" s="100" t="s">
        <v>97</v>
      </c>
      <c r="D1228" s="100">
        <v>2.0</v>
      </c>
      <c r="E1228" s="119">
        <v>59.0</v>
      </c>
      <c r="F1228" s="119">
        <f t="shared" si="190"/>
        <v>118</v>
      </c>
      <c r="G1228" s="119">
        <f t="shared" si="191"/>
        <v>29.5</v>
      </c>
      <c r="H1228" s="100" t="s">
        <v>236</v>
      </c>
      <c r="I1228" s="1"/>
      <c r="J1228" s="120" t="s">
        <v>1582</v>
      </c>
      <c r="K1228" s="99"/>
      <c r="L1228" s="50"/>
      <c r="M1228" s="50"/>
      <c r="P1228" s="68"/>
    </row>
    <row r="1229">
      <c r="A1229" s="100">
        <v>7.91841047032E11</v>
      </c>
      <c r="B1229" s="131" t="s">
        <v>1586</v>
      </c>
      <c r="C1229" s="100" t="s">
        <v>97</v>
      </c>
      <c r="D1229" s="100">
        <v>3.0</v>
      </c>
      <c r="E1229" s="119">
        <v>59.0</v>
      </c>
      <c r="F1229" s="119">
        <f t="shared" si="190"/>
        <v>177</v>
      </c>
      <c r="G1229" s="119">
        <f t="shared" si="191"/>
        <v>44.25</v>
      </c>
      <c r="H1229" s="100" t="s">
        <v>236</v>
      </c>
      <c r="I1229" s="1"/>
      <c r="J1229" s="120" t="s">
        <v>1582</v>
      </c>
      <c r="K1229" s="99"/>
      <c r="L1229" s="50"/>
      <c r="M1229" s="50"/>
      <c r="P1229" s="68"/>
    </row>
    <row r="1230">
      <c r="A1230" s="100">
        <v>7.91841047117E11</v>
      </c>
      <c r="B1230" s="131" t="s">
        <v>1587</v>
      </c>
      <c r="C1230" s="100" t="s">
        <v>97</v>
      </c>
      <c r="D1230" s="100">
        <v>1.0</v>
      </c>
      <c r="E1230" s="119">
        <v>59.0</v>
      </c>
      <c r="F1230" s="119">
        <f t="shared" si="190"/>
        <v>59</v>
      </c>
      <c r="G1230" s="119">
        <f t="shared" si="191"/>
        <v>14.75</v>
      </c>
      <c r="H1230" s="100" t="s">
        <v>238</v>
      </c>
      <c r="I1230" s="1"/>
      <c r="J1230" s="120" t="s">
        <v>1582</v>
      </c>
      <c r="K1230" s="99"/>
      <c r="L1230" s="50"/>
      <c r="M1230" s="50"/>
      <c r="P1230" s="68"/>
    </row>
    <row r="1231">
      <c r="A1231" s="100">
        <v>7.91841047131E11</v>
      </c>
      <c r="B1231" s="131" t="s">
        <v>1588</v>
      </c>
      <c r="C1231" s="100" t="s">
        <v>97</v>
      </c>
      <c r="D1231" s="100">
        <v>1.0</v>
      </c>
      <c r="E1231" s="119">
        <v>59.0</v>
      </c>
      <c r="F1231" s="119">
        <f t="shared" si="190"/>
        <v>59</v>
      </c>
      <c r="G1231" s="119">
        <f t="shared" si="191"/>
        <v>14.75</v>
      </c>
      <c r="H1231" s="100" t="s">
        <v>238</v>
      </c>
      <c r="I1231" s="1"/>
      <c r="J1231" s="120" t="s">
        <v>1582</v>
      </c>
      <c r="K1231" s="99"/>
      <c r="L1231" s="50"/>
      <c r="M1231" s="50"/>
      <c r="P1231" s="68"/>
    </row>
    <row r="1232">
      <c r="A1232" s="100">
        <v>7.91841048732E11</v>
      </c>
      <c r="B1232" s="131" t="s">
        <v>1589</v>
      </c>
      <c r="C1232" s="100" t="s">
        <v>97</v>
      </c>
      <c r="D1232" s="100">
        <v>1.0</v>
      </c>
      <c r="E1232" s="119">
        <v>69.0</v>
      </c>
      <c r="F1232" s="119">
        <f t="shared" si="190"/>
        <v>69</v>
      </c>
      <c r="G1232" s="119">
        <f t="shared" si="191"/>
        <v>17.25</v>
      </c>
      <c r="H1232" s="100" t="s">
        <v>238</v>
      </c>
      <c r="I1232" s="1"/>
      <c r="J1232" s="120" t="s">
        <v>1582</v>
      </c>
      <c r="K1232" s="99"/>
      <c r="L1232" s="50"/>
      <c r="M1232" s="50"/>
      <c r="P1232" s="68"/>
    </row>
    <row r="1233">
      <c r="A1233" s="100">
        <v>7.91841089124E11</v>
      </c>
      <c r="B1233" s="131" t="s">
        <v>1590</v>
      </c>
      <c r="C1233" s="100" t="s">
        <v>97</v>
      </c>
      <c r="D1233" s="100">
        <v>1.0</v>
      </c>
      <c r="E1233" s="119">
        <v>119.0</v>
      </c>
      <c r="F1233" s="119">
        <f t="shared" si="190"/>
        <v>119</v>
      </c>
      <c r="G1233" s="119">
        <f t="shared" si="191"/>
        <v>29.75</v>
      </c>
      <c r="H1233" s="100" t="s">
        <v>238</v>
      </c>
      <c r="I1233" s="1"/>
      <c r="J1233" s="120" t="s">
        <v>1582</v>
      </c>
      <c r="K1233" s="99"/>
      <c r="L1233" s="50"/>
      <c r="M1233" s="50"/>
      <c r="P1233" s="68"/>
    </row>
    <row r="1234">
      <c r="A1234" s="100">
        <v>7.91841089209E11</v>
      </c>
      <c r="B1234" s="131" t="s">
        <v>1591</v>
      </c>
      <c r="C1234" s="100" t="s">
        <v>97</v>
      </c>
      <c r="D1234" s="100">
        <v>1.0</v>
      </c>
      <c r="E1234" s="119">
        <v>119.0</v>
      </c>
      <c r="F1234" s="119">
        <f t="shared" si="190"/>
        <v>119</v>
      </c>
      <c r="G1234" s="119">
        <f t="shared" si="191"/>
        <v>29.75</v>
      </c>
      <c r="H1234" s="100" t="s">
        <v>238</v>
      </c>
      <c r="I1234" s="1"/>
      <c r="J1234" s="120" t="s">
        <v>1582</v>
      </c>
      <c r="K1234" s="99"/>
      <c r="L1234" s="50"/>
      <c r="M1234" s="50"/>
      <c r="P1234" s="68"/>
    </row>
    <row r="1235">
      <c r="A1235" s="100">
        <v>7.91841113713E11</v>
      </c>
      <c r="B1235" s="131" t="s">
        <v>1592</v>
      </c>
      <c r="C1235" s="100" t="s">
        <v>97</v>
      </c>
      <c r="D1235" s="100">
        <v>1.0</v>
      </c>
      <c r="E1235" s="119">
        <v>47.99</v>
      </c>
      <c r="F1235" s="119">
        <f t="shared" si="190"/>
        <v>47.99</v>
      </c>
      <c r="G1235" s="119">
        <f t="shared" si="191"/>
        <v>11.9975</v>
      </c>
      <c r="H1235" s="100" t="s">
        <v>236</v>
      </c>
      <c r="I1235" s="1"/>
      <c r="J1235" s="120" t="s">
        <v>1582</v>
      </c>
      <c r="K1235" s="99"/>
      <c r="L1235" s="50"/>
      <c r="M1235" s="50"/>
      <c r="P1235" s="68"/>
    </row>
    <row r="1236">
      <c r="A1236" s="100">
        <v>7.91841122784E11</v>
      </c>
      <c r="B1236" s="131" t="s">
        <v>1593</v>
      </c>
      <c r="C1236" s="100" t="s">
        <v>97</v>
      </c>
      <c r="D1236" s="100">
        <v>1.0</v>
      </c>
      <c r="E1236" s="119">
        <v>44.99</v>
      </c>
      <c r="F1236" s="119">
        <f t="shared" si="190"/>
        <v>44.99</v>
      </c>
      <c r="G1236" s="119">
        <f t="shared" si="191"/>
        <v>11.2475</v>
      </c>
      <c r="H1236" s="100" t="s">
        <v>1594</v>
      </c>
      <c r="I1236" s="1"/>
      <c r="J1236" s="120" t="s">
        <v>1582</v>
      </c>
      <c r="K1236" s="99"/>
      <c r="L1236" s="50"/>
      <c r="M1236" s="50"/>
      <c r="P1236" s="68"/>
    </row>
    <row r="1237">
      <c r="A1237" s="100">
        <v>7.91841122838E11</v>
      </c>
      <c r="B1237" s="131" t="s">
        <v>1595</v>
      </c>
      <c r="C1237" s="100" t="s">
        <v>97</v>
      </c>
      <c r="D1237" s="100">
        <v>2.0</v>
      </c>
      <c r="E1237" s="119">
        <v>44.99</v>
      </c>
      <c r="F1237" s="119">
        <f t="shared" si="190"/>
        <v>89.98</v>
      </c>
      <c r="G1237" s="119">
        <f t="shared" si="191"/>
        <v>22.495</v>
      </c>
      <c r="H1237" s="100" t="s">
        <v>236</v>
      </c>
      <c r="I1237" s="1"/>
      <c r="J1237" s="120" t="s">
        <v>1582</v>
      </c>
      <c r="K1237" s="99"/>
      <c r="L1237" s="50"/>
      <c r="M1237" s="50"/>
      <c r="P1237" s="68"/>
    </row>
    <row r="1238">
      <c r="A1238" s="100">
        <v>7.91841142386E11</v>
      </c>
      <c r="B1238" s="131" t="s">
        <v>1596</v>
      </c>
      <c r="C1238" s="100" t="s">
        <v>97</v>
      </c>
      <c r="D1238" s="100">
        <v>1.0</v>
      </c>
      <c r="E1238" s="119">
        <v>49.99</v>
      </c>
      <c r="F1238" s="119">
        <f t="shared" si="190"/>
        <v>49.99</v>
      </c>
      <c r="G1238" s="119">
        <f t="shared" si="191"/>
        <v>12.4975</v>
      </c>
      <c r="H1238" s="100" t="s">
        <v>236</v>
      </c>
      <c r="I1238" s="1"/>
      <c r="J1238" s="120" t="s">
        <v>1582</v>
      </c>
      <c r="K1238" s="99"/>
      <c r="L1238" s="50"/>
      <c r="M1238" s="50"/>
      <c r="P1238" s="68"/>
    </row>
    <row r="1239">
      <c r="A1239" s="100">
        <v>7.91841142423E11</v>
      </c>
      <c r="B1239" s="131" t="s">
        <v>1597</v>
      </c>
      <c r="C1239" s="100" t="s">
        <v>97</v>
      </c>
      <c r="D1239" s="100">
        <v>1.0</v>
      </c>
      <c r="E1239" s="119">
        <v>49.99</v>
      </c>
      <c r="F1239" s="119">
        <f t="shared" si="190"/>
        <v>49.99</v>
      </c>
      <c r="G1239" s="119">
        <f t="shared" si="191"/>
        <v>12.4975</v>
      </c>
      <c r="H1239" s="100" t="s">
        <v>236</v>
      </c>
      <c r="I1239" s="1"/>
      <c r="J1239" s="120" t="s">
        <v>1582</v>
      </c>
      <c r="K1239" s="99"/>
      <c r="L1239" s="50"/>
      <c r="M1239" s="50"/>
      <c r="P1239" s="68"/>
    </row>
    <row r="1240">
      <c r="A1240" s="100">
        <v>7.91841162414E11</v>
      </c>
      <c r="B1240" s="131" t="s">
        <v>1598</v>
      </c>
      <c r="C1240" s="100" t="s">
        <v>97</v>
      </c>
      <c r="D1240" s="100">
        <v>1.0</v>
      </c>
      <c r="E1240" s="119">
        <v>69.0</v>
      </c>
      <c r="F1240" s="119">
        <f t="shared" si="190"/>
        <v>69</v>
      </c>
      <c r="G1240" s="119">
        <f t="shared" si="191"/>
        <v>17.25</v>
      </c>
      <c r="H1240" s="100" t="s">
        <v>236</v>
      </c>
      <c r="I1240" s="1"/>
      <c r="J1240" s="120" t="s">
        <v>1582</v>
      </c>
      <c r="K1240" s="99"/>
      <c r="L1240" s="50"/>
      <c r="M1240" s="50"/>
      <c r="P1240" s="68"/>
    </row>
    <row r="1241">
      <c r="A1241" s="100">
        <v>8.8654286036E11</v>
      </c>
      <c r="B1241" s="131" t="s">
        <v>256</v>
      </c>
      <c r="C1241" s="100" t="s">
        <v>97</v>
      </c>
      <c r="D1241" s="100">
        <v>1.0</v>
      </c>
      <c r="E1241" s="119">
        <v>59.0</v>
      </c>
      <c r="F1241" s="119">
        <f t="shared" si="190"/>
        <v>59</v>
      </c>
      <c r="G1241" s="119">
        <f t="shared" si="191"/>
        <v>14.75</v>
      </c>
      <c r="H1241" s="100" t="s">
        <v>238</v>
      </c>
      <c r="I1241" s="1"/>
      <c r="J1241" s="120" t="s">
        <v>1582</v>
      </c>
      <c r="K1241" s="99"/>
      <c r="L1241" s="50"/>
      <c r="M1241" s="50"/>
      <c r="P1241" s="68"/>
    </row>
    <row r="1242">
      <c r="A1242" s="144" t="s">
        <v>1599</v>
      </c>
      <c r="B1242" s="224" t="s">
        <v>1600</v>
      </c>
      <c r="C1242" s="146"/>
      <c r="D1242" s="146"/>
      <c r="E1242" s="147"/>
      <c r="F1242" s="147"/>
      <c r="G1242" s="147"/>
      <c r="H1242" s="148"/>
      <c r="I1242" s="1"/>
      <c r="J1242" s="35"/>
      <c r="K1242" s="99"/>
      <c r="L1242" s="50"/>
      <c r="M1242" s="50"/>
      <c r="P1242" s="68"/>
    </row>
    <row r="1243">
      <c r="A1243" s="225">
        <v>7.91841033479E11</v>
      </c>
      <c r="B1243" s="131" t="s">
        <v>1601</v>
      </c>
      <c r="C1243" s="100" t="s">
        <v>97</v>
      </c>
      <c r="D1243" s="100">
        <v>1.0</v>
      </c>
      <c r="E1243" s="119">
        <v>69.0</v>
      </c>
      <c r="F1243" s="119">
        <f t="shared" ref="F1243:F1252" si="192">E1243*D1243</f>
        <v>69</v>
      </c>
      <c r="G1243" s="119">
        <f t="shared" ref="G1243:G1252" si="193">F1243/4</f>
        <v>17.25</v>
      </c>
      <c r="H1243" s="143" t="s">
        <v>236</v>
      </c>
      <c r="I1243" s="178" t="s">
        <v>703</v>
      </c>
      <c r="J1243" s="120" t="s">
        <v>1582</v>
      </c>
      <c r="K1243" s="99"/>
      <c r="L1243" s="50"/>
      <c r="M1243" s="50"/>
      <c r="P1243" s="68"/>
    </row>
    <row r="1244">
      <c r="A1244" s="225">
        <v>7.91841045724E11</v>
      </c>
      <c r="B1244" s="131" t="s">
        <v>1602</v>
      </c>
      <c r="C1244" s="100" t="s">
        <v>97</v>
      </c>
      <c r="D1244" s="100">
        <v>1.0</v>
      </c>
      <c r="E1244" s="119">
        <v>59.0</v>
      </c>
      <c r="F1244" s="119">
        <f t="shared" si="192"/>
        <v>59</v>
      </c>
      <c r="G1244" s="119">
        <f t="shared" si="193"/>
        <v>14.75</v>
      </c>
      <c r="H1244" s="143" t="s">
        <v>238</v>
      </c>
      <c r="I1244" s="178" t="s">
        <v>703</v>
      </c>
      <c r="J1244" s="120" t="s">
        <v>1582</v>
      </c>
      <c r="K1244" s="99"/>
      <c r="L1244" s="50"/>
      <c r="M1244" s="50"/>
      <c r="P1244" s="68"/>
    </row>
    <row r="1245">
      <c r="A1245" s="225">
        <v>7.91841047148E11</v>
      </c>
      <c r="B1245" s="131" t="s">
        <v>1603</v>
      </c>
      <c r="C1245" s="100" t="s">
        <v>97</v>
      </c>
      <c r="D1245" s="100">
        <v>1.0</v>
      </c>
      <c r="E1245" s="119">
        <v>59.0</v>
      </c>
      <c r="F1245" s="119">
        <f t="shared" si="192"/>
        <v>59</v>
      </c>
      <c r="G1245" s="119">
        <f t="shared" si="193"/>
        <v>14.75</v>
      </c>
      <c r="H1245" s="143" t="s">
        <v>238</v>
      </c>
      <c r="I1245" s="178" t="s">
        <v>703</v>
      </c>
      <c r="J1245" s="120" t="s">
        <v>1582</v>
      </c>
      <c r="K1245" s="99"/>
      <c r="L1245" s="50"/>
      <c r="M1245" s="50"/>
      <c r="P1245" s="68"/>
    </row>
    <row r="1246">
      <c r="A1246" s="225">
        <v>7.91841047155E11</v>
      </c>
      <c r="B1246" s="131" t="s">
        <v>1604</v>
      </c>
      <c r="C1246" s="100" t="s">
        <v>97</v>
      </c>
      <c r="D1246" s="100">
        <v>1.0</v>
      </c>
      <c r="E1246" s="119">
        <v>59.0</v>
      </c>
      <c r="F1246" s="119">
        <f t="shared" si="192"/>
        <v>59</v>
      </c>
      <c r="G1246" s="119">
        <f t="shared" si="193"/>
        <v>14.75</v>
      </c>
      <c r="H1246" s="143" t="s">
        <v>238</v>
      </c>
      <c r="I1246" s="178" t="s">
        <v>703</v>
      </c>
      <c r="J1246" s="120" t="s">
        <v>1582</v>
      </c>
      <c r="K1246" s="99"/>
      <c r="L1246" s="50"/>
      <c r="M1246" s="50"/>
      <c r="P1246" s="68"/>
    </row>
    <row r="1247">
      <c r="A1247" s="225">
        <v>7.91841048695E11</v>
      </c>
      <c r="B1247" s="131" t="s">
        <v>1605</v>
      </c>
      <c r="C1247" s="100" t="s">
        <v>97</v>
      </c>
      <c r="D1247" s="100">
        <v>1.0</v>
      </c>
      <c r="E1247" s="119">
        <v>69.0</v>
      </c>
      <c r="F1247" s="119">
        <f t="shared" si="192"/>
        <v>69</v>
      </c>
      <c r="G1247" s="119">
        <f t="shared" si="193"/>
        <v>17.25</v>
      </c>
      <c r="H1247" s="143" t="s">
        <v>238</v>
      </c>
      <c r="I1247" s="178" t="s">
        <v>703</v>
      </c>
      <c r="J1247" s="120" t="s">
        <v>1582</v>
      </c>
      <c r="K1247" s="99"/>
      <c r="L1247" s="50"/>
      <c r="M1247" s="50"/>
      <c r="P1247" s="68"/>
    </row>
    <row r="1248">
      <c r="A1248" s="225">
        <v>7.91841048701E11</v>
      </c>
      <c r="B1248" s="131" t="s">
        <v>1606</v>
      </c>
      <c r="C1248" s="100" t="s">
        <v>97</v>
      </c>
      <c r="D1248" s="100">
        <v>1.0</v>
      </c>
      <c r="E1248" s="119">
        <v>69.0</v>
      </c>
      <c r="F1248" s="119">
        <f t="shared" si="192"/>
        <v>69</v>
      </c>
      <c r="G1248" s="119">
        <f t="shared" si="193"/>
        <v>17.25</v>
      </c>
      <c r="H1248" s="143" t="s">
        <v>238</v>
      </c>
      <c r="I1248" s="178" t="s">
        <v>703</v>
      </c>
      <c r="J1248" s="120" t="s">
        <v>1582</v>
      </c>
      <c r="K1248" s="99"/>
      <c r="L1248" s="50"/>
      <c r="M1248" s="50"/>
      <c r="P1248" s="68"/>
    </row>
    <row r="1249">
      <c r="A1249" s="225">
        <v>7.91841089193E11</v>
      </c>
      <c r="B1249" s="131" t="s">
        <v>1607</v>
      </c>
      <c r="C1249" s="100" t="s">
        <v>97</v>
      </c>
      <c r="D1249" s="100">
        <v>1.0</v>
      </c>
      <c r="E1249" s="119">
        <v>119.0</v>
      </c>
      <c r="F1249" s="119">
        <f t="shared" si="192"/>
        <v>119</v>
      </c>
      <c r="G1249" s="119">
        <f t="shared" si="193"/>
        <v>29.75</v>
      </c>
      <c r="H1249" s="143" t="s">
        <v>238</v>
      </c>
      <c r="I1249" s="178" t="s">
        <v>703</v>
      </c>
      <c r="J1249" s="120" t="s">
        <v>1582</v>
      </c>
      <c r="K1249" s="99"/>
      <c r="L1249" s="50"/>
      <c r="M1249" s="50"/>
      <c r="P1249" s="68"/>
    </row>
    <row r="1250">
      <c r="A1250" s="225">
        <v>7.91841113478E11</v>
      </c>
      <c r="B1250" s="131" t="s">
        <v>1608</v>
      </c>
      <c r="C1250" s="100" t="s">
        <v>97</v>
      </c>
      <c r="D1250" s="100">
        <v>1.0</v>
      </c>
      <c r="E1250" s="119">
        <v>44.99</v>
      </c>
      <c r="F1250" s="119">
        <f t="shared" si="192"/>
        <v>44.99</v>
      </c>
      <c r="G1250" s="119">
        <f t="shared" si="193"/>
        <v>11.2475</v>
      </c>
      <c r="H1250" s="143" t="s">
        <v>236</v>
      </c>
      <c r="I1250" s="178" t="s">
        <v>703</v>
      </c>
      <c r="J1250" s="120" t="s">
        <v>1582</v>
      </c>
      <c r="K1250" s="99"/>
      <c r="L1250" s="50"/>
      <c r="M1250" s="50"/>
      <c r="P1250" s="68"/>
    </row>
    <row r="1251">
      <c r="A1251" s="225">
        <v>7.91841113645E11</v>
      </c>
      <c r="B1251" s="131" t="s">
        <v>1609</v>
      </c>
      <c r="C1251" s="100" t="s">
        <v>97</v>
      </c>
      <c r="D1251" s="100">
        <v>1.0</v>
      </c>
      <c r="E1251" s="119">
        <v>42.99</v>
      </c>
      <c r="F1251" s="119">
        <f t="shared" si="192"/>
        <v>42.99</v>
      </c>
      <c r="G1251" s="119">
        <f t="shared" si="193"/>
        <v>10.7475</v>
      </c>
      <c r="H1251" s="143" t="s">
        <v>236</v>
      </c>
      <c r="I1251" s="178" t="s">
        <v>703</v>
      </c>
      <c r="J1251" s="120" t="s">
        <v>1582</v>
      </c>
      <c r="K1251" s="99"/>
      <c r="L1251" s="50"/>
      <c r="M1251" s="50"/>
      <c r="P1251" s="68"/>
    </row>
    <row r="1252">
      <c r="A1252" s="225">
        <v>7.91841213161E11</v>
      </c>
      <c r="B1252" s="131" t="s">
        <v>1610</v>
      </c>
      <c r="C1252" s="100" t="s">
        <v>97</v>
      </c>
      <c r="D1252" s="100">
        <v>1.0</v>
      </c>
      <c r="E1252" s="119">
        <v>109.0</v>
      </c>
      <c r="F1252" s="119">
        <f t="shared" si="192"/>
        <v>109</v>
      </c>
      <c r="G1252" s="119">
        <f t="shared" si="193"/>
        <v>27.25</v>
      </c>
      <c r="H1252" s="143" t="s">
        <v>238</v>
      </c>
      <c r="I1252" s="178" t="s">
        <v>703</v>
      </c>
      <c r="J1252" s="120" t="s">
        <v>1582</v>
      </c>
      <c r="K1252" s="99"/>
      <c r="L1252" s="50"/>
      <c r="M1252" s="50"/>
      <c r="P1252" s="68"/>
    </row>
    <row r="1253">
      <c r="A1253" s="112" t="s">
        <v>224</v>
      </c>
      <c r="B1253" s="112" t="s">
        <v>1611</v>
      </c>
      <c r="C1253" s="112" t="str">
        <f>MID($B1253,6,7)</f>
        <v>mm18861</v>
      </c>
      <c r="D1253" s="112"/>
      <c r="E1253" s="112"/>
      <c r="F1253" s="112"/>
      <c r="G1253" s="112"/>
      <c r="H1253" s="127">
        <v>44559.0</v>
      </c>
      <c r="I1253" s="1"/>
      <c r="J1253" s="108" t="str">
        <f>IF(LEFT(B1253,3)="Box","BOX","COUNT")</f>
        <v>BOX</v>
      </c>
      <c r="K1253" s="99">
        <f>SUMIF($J$4:$J$8712,$C1253,$D$4:$D$8712)</f>
        <v>35</v>
      </c>
      <c r="L1253" s="50">
        <f>SUMIF($J$4:$J$8712,$C1253,$F$4:$F$8712)</f>
        <v>2255.91</v>
      </c>
      <c r="M1253" s="50">
        <f>SUMIF($J$4:$J$8712,$C1253,$G$4:$G$8712)</f>
        <v>563.9775</v>
      </c>
      <c r="N1253" s="70" t="str">
        <f>C1253</f>
        <v>mm18861</v>
      </c>
      <c r="O1253" s="70" t="str">
        <f>J1254</f>
        <v>SHIP</v>
      </c>
      <c r="P1253" s="68">
        <f>M1253</f>
        <v>563.9775</v>
      </c>
      <c r="Q1253" s="114">
        <v>44407.0</v>
      </c>
      <c r="R1253" s="37" t="s">
        <v>1400</v>
      </c>
      <c r="S1253" s="37" t="s">
        <v>1325</v>
      </c>
    </row>
    <row r="1254">
      <c r="A1254" s="222"/>
      <c r="B1254" s="112" t="s">
        <v>1612</v>
      </c>
      <c r="C1254" s="141"/>
      <c r="D1254" s="141"/>
      <c r="E1254" s="142"/>
      <c r="F1254" s="142"/>
      <c r="G1254" s="142"/>
      <c r="H1254" s="141"/>
      <c r="I1254" s="1"/>
      <c r="J1254" s="108" t="str">
        <f>IF(B1254="","NSHIP","SHIP")</f>
        <v>SHIP</v>
      </c>
      <c r="K1254" s="99">
        <f>IF($J1254="NSHIP",0,-SUMIF($J$4:$J$8712,$C1253,$D$4:$D$8712))</f>
        <v>-35</v>
      </c>
      <c r="L1254" s="50">
        <f>IF($J1254="NSHIP",0,-SUMIF($J$4:$J$8710,$C1253,$F$4:$F$8710))</f>
        <v>-2255.91</v>
      </c>
      <c r="M1254" s="50">
        <f>IF($J1254="NSHIP",0,-SUMIF($J$4:$J$8710,$C1253,$G$4:$G$8710))</f>
        <v>-563.9775</v>
      </c>
      <c r="P1254" s="68"/>
    </row>
    <row r="1255">
      <c r="A1255" s="95">
        <v>5.2574000092E10</v>
      </c>
      <c r="B1255" s="151" t="s">
        <v>1613</v>
      </c>
      <c r="C1255" s="95" t="s">
        <v>97</v>
      </c>
      <c r="D1255" s="95">
        <v>1.0</v>
      </c>
      <c r="E1255" s="101">
        <v>59.0</v>
      </c>
      <c r="F1255" s="101">
        <f t="shared" ref="F1255:F1266" si="194">E1255*D1255</f>
        <v>59</v>
      </c>
      <c r="G1255" s="101">
        <f t="shared" ref="G1255:G1266" si="195">F1255/3</f>
        <v>19.66666667</v>
      </c>
      <c r="H1255" s="95" t="s">
        <v>1195</v>
      </c>
      <c r="J1255" s="120" t="s">
        <v>1614</v>
      </c>
      <c r="K1255" s="99"/>
      <c r="L1255" s="50"/>
      <c r="M1255" s="50"/>
      <c r="P1255" s="68"/>
    </row>
    <row r="1256">
      <c r="A1256" s="95">
        <v>5.257451465E10</v>
      </c>
      <c r="B1256" s="151" t="s">
        <v>1615</v>
      </c>
      <c r="C1256" s="95" t="s">
        <v>97</v>
      </c>
      <c r="D1256" s="95">
        <v>1.0</v>
      </c>
      <c r="E1256" s="101">
        <v>84.99</v>
      </c>
      <c r="F1256" s="101">
        <f t="shared" si="194"/>
        <v>84.99</v>
      </c>
      <c r="G1256" s="101">
        <f t="shared" si="195"/>
        <v>28.33</v>
      </c>
      <c r="H1256" s="95" t="s">
        <v>1164</v>
      </c>
      <c r="J1256" s="120" t="s">
        <v>1614</v>
      </c>
      <c r="K1256" s="99"/>
      <c r="L1256" s="50"/>
      <c r="M1256" s="50"/>
      <c r="P1256" s="68"/>
    </row>
    <row r="1257">
      <c r="A1257" s="95">
        <v>5.2574557633E10</v>
      </c>
      <c r="B1257" s="151" t="s">
        <v>1616</v>
      </c>
      <c r="C1257" s="95" t="s">
        <v>97</v>
      </c>
      <c r="D1257" s="95">
        <v>1.0</v>
      </c>
      <c r="E1257" s="101">
        <v>69.0</v>
      </c>
      <c r="F1257" s="101">
        <f t="shared" si="194"/>
        <v>69</v>
      </c>
      <c r="G1257" s="101">
        <f t="shared" si="195"/>
        <v>23</v>
      </c>
      <c r="H1257" s="95" t="s">
        <v>1195</v>
      </c>
      <c r="J1257" s="120" t="s">
        <v>1614</v>
      </c>
      <c r="K1257" s="99"/>
      <c r="L1257" s="50"/>
      <c r="M1257" s="50"/>
      <c r="P1257" s="68"/>
    </row>
    <row r="1258">
      <c r="A1258" s="95">
        <v>5.2574564549E10</v>
      </c>
      <c r="B1258" s="151" t="s">
        <v>1617</v>
      </c>
      <c r="C1258" s="95" t="s">
        <v>97</v>
      </c>
      <c r="D1258" s="95">
        <v>1.0</v>
      </c>
      <c r="E1258" s="101">
        <v>84.99</v>
      </c>
      <c r="F1258" s="101">
        <f t="shared" si="194"/>
        <v>84.99</v>
      </c>
      <c r="G1258" s="101">
        <f t="shared" si="195"/>
        <v>28.33</v>
      </c>
      <c r="H1258" s="95" t="s">
        <v>1164</v>
      </c>
      <c r="J1258" s="120" t="s">
        <v>1614</v>
      </c>
      <c r="K1258" s="99"/>
      <c r="L1258" s="50"/>
      <c r="M1258" s="50"/>
      <c r="P1258" s="68"/>
    </row>
    <row r="1259">
      <c r="A1259" s="95">
        <v>5.2574587968E10</v>
      </c>
      <c r="B1259" s="151" t="s">
        <v>1618</v>
      </c>
      <c r="C1259" s="95" t="s">
        <v>97</v>
      </c>
      <c r="D1259" s="95">
        <v>1.0</v>
      </c>
      <c r="E1259" s="101">
        <v>99.0</v>
      </c>
      <c r="F1259" s="101">
        <f t="shared" si="194"/>
        <v>99</v>
      </c>
      <c r="G1259" s="101">
        <f t="shared" si="195"/>
        <v>33</v>
      </c>
      <c r="H1259" s="95" t="s">
        <v>1195</v>
      </c>
      <c r="J1259" s="120" t="s">
        <v>1614</v>
      </c>
      <c r="K1259" s="99"/>
      <c r="L1259" s="50"/>
      <c r="M1259" s="50"/>
      <c r="P1259" s="68"/>
    </row>
    <row r="1260">
      <c r="A1260" s="95">
        <v>5.2574646788E10</v>
      </c>
      <c r="B1260" s="151" t="s">
        <v>1619</v>
      </c>
      <c r="C1260" s="95" t="s">
        <v>97</v>
      </c>
      <c r="D1260" s="95">
        <v>1.0</v>
      </c>
      <c r="E1260" s="101">
        <v>74.99</v>
      </c>
      <c r="F1260" s="101">
        <f t="shared" si="194"/>
        <v>74.99</v>
      </c>
      <c r="G1260" s="101">
        <f t="shared" si="195"/>
        <v>24.99666667</v>
      </c>
      <c r="H1260" s="95" t="s">
        <v>1164</v>
      </c>
      <c r="J1260" s="120" t="s">
        <v>1614</v>
      </c>
      <c r="K1260" s="99"/>
      <c r="L1260" s="50"/>
      <c r="M1260" s="50"/>
      <c r="P1260" s="68"/>
    </row>
    <row r="1261">
      <c r="A1261" s="95">
        <v>5.2574670592E10</v>
      </c>
      <c r="B1261" s="151" t="s">
        <v>1620</v>
      </c>
      <c r="C1261" s="95" t="s">
        <v>97</v>
      </c>
      <c r="D1261" s="95">
        <v>1.0</v>
      </c>
      <c r="E1261" s="101">
        <v>89.99</v>
      </c>
      <c r="F1261" s="101">
        <f t="shared" si="194"/>
        <v>89.99</v>
      </c>
      <c r="G1261" s="101">
        <f t="shared" si="195"/>
        <v>29.99666667</v>
      </c>
      <c r="H1261" s="95" t="s">
        <v>1164</v>
      </c>
      <c r="J1261" s="120" t="s">
        <v>1614</v>
      </c>
      <c r="K1261" s="99"/>
      <c r="L1261" s="50"/>
      <c r="M1261" s="50"/>
      <c r="P1261" s="68"/>
    </row>
    <row r="1262">
      <c r="A1262" s="95">
        <v>5.2574672305E10</v>
      </c>
      <c r="B1262" s="151" t="s">
        <v>1621</v>
      </c>
      <c r="C1262" s="95" t="s">
        <v>97</v>
      </c>
      <c r="D1262" s="95">
        <v>1.0</v>
      </c>
      <c r="E1262" s="101">
        <v>99.0</v>
      </c>
      <c r="F1262" s="101">
        <f t="shared" si="194"/>
        <v>99</v>
      </c>
      <c r="G1262" s="101">
        <f t="shared" si="195"/>
        <v>33</v>
      </c>
      <c r="H1262" s="95" t="s">
        <v>1195</v>
      </c>
      <c r="J1262" s="120" t="s">
        <v>1614</v>
      </c>
      <c r="K1262" s="99"/>
      <c r="L1262" s="50"/>
      <c r="M1262" s="50"/>
      <c r="P1262" s="68"/>
    </row>
    <row r="1263">
      <c r="A1263" s="95">
        <v>5.2574692655E10</v>
      </c>
      <c r="B1263" s="151" t="s">
        <v>1622</v>
      </c>
      <c r="C1263" s="95" t="s">
        <v>97</v>
      </c>
      <c r="D1263" s="95">
        <v>1.0</v>
      </c>
      <c r="E1263" s="101">
        <v>90.0</v>
      </c>
      <c r="F1263" s="101">
        <f t="shared" si="194"/>
        <v>90</v>
      </c>
      <c r="G1263" s="101">
        <f t="shared" si="195"/>
        <v>30</v>
      </c>
      <c r="H1263" s="95" t="s">
        <v>1195</v>
      </c>
      <c r="J1263" s="120" t="s">
        <v>1614</v>
      </c>
      <c r="K1263" s="99"/>
      <c r="L1263" s="50"/>
      <c r="M1263" s="50"/>
      <c r="P1263" s="68"/>
    </row>
    <row r="1264">
      <c r="A1264" s="95">
        <v>5.2574729382E10</v>
      </c>
      <c r="B1264" s="151" t="s">
        <v>1623</v>
      </c>
      <c r="C1264" s="95" t="s">
        <v>97</v>
      </c>
      <c r="D1264" s="95">
        <v>1.0</v>
      </c>
      <c r="E1264" s="101">
        <v>99.99</v>
      </c>
      <c r="F1264" s="101">
        <f t="shared" si="194"/>
        <v>99.99</v>
      </c>
      <c r="G1264" s="101">
        <f t="shared" si="195"/>
        <v>33.33</v>
      </c>
      <c r="H1264" s="95" t="s">
        <v>1195</v>
      </c>
      <c r="J1264" s="120" t="s">
        <v>1614</v>
      </c>
      <c r="K1264" s="99"/>
      <c r="L1264" s="50"/>
      <c r="M1264" s="50"/>
      <c r="P1264" s="68"/>
    </row>
    <row r="1265">
      <c r="A1265" s="95">
        <v>5.2574785555E10</v>
      </c>
      <c r="B1265" s="151" t="s">
        <v>1624</v>
      </c>
      <c r="C1265" s="95" t="s">
        <v>97</v>
      </c>
      <c r="D1265" s="95">
        <v>1.0</v>
      </c>
      <c r="E1265" s="101">
        <v>84.99</v>
      </c>
      <c r="F1265" s="101">
        <f t="shared" si="194"/>
        <v>84.99</v>
      </c>
      <c r="G1265" s="101">
        <f t="shared" si="195"/>
        <v>28.33</v>
      </c>
      <c r="H1265" s="95" t="s">
        <v>1164</v>
      </c>
      <c r="J1265" s="120" t="s">
        <v>1614</v>
      </c>
      <c r="K1265" s="99"/>
      <c r="L1265" s="50"/>
      <c r="M1265" s="50"/>
      <c r="P1265" s="68"/>
    </row>
    <row r="1266">
      <c r="A1266" s="95">
        <v>8.70220824386E11</v>
      </c>
      <c r="B1266" s="151" t="s">
        <v>1625</v>
      </c>
      <c r="C1266" s="95" t="s">
        <v>97</v>
      </c>
      <c r="D1266" s="95">
        <v>1.0</v>
      </c>
      <c r="E1266" s="101">
        <v>31.99</v>
      </c>
      <c r="F1266" s="101">
        <f t="shared" si="194"/>
        <v>31.99</v>
      </c>
      <c r="G1266" s="101">
        <f t="shared" si="195"/>
        <v>10.66333333</v>
      </c>
      <c r="H1266" s="95" t="s">
        <v>1626</v>
      </c>
      <c r="J1266" s="120" t="s">
        <v>1614</v>
      </c>
      <c r="K1266" s="99"/>
      <c r="L1266" s="50"/>
      <c r="M1266" s="50"/>
      <c r="P1266" s="68"/>
    </row>
    <row r="1267">
      <c r="A1267" s="152" t="s">
        <v>1627</v>
      </c>
      <c r="B1267" s="122" t="s">
        <v>1628</v>
      </c>
      <c r="C1267" s="153"/>
      <c r="D1267" s="154"/>
      <c r="E1267" s="154"/>
      <c r="F1267" s="154"/>
      <c r="G1267" s="154"/>
      <c r="H1267" s="155"/>
      <c r="I1267" s="98"/>
      <c r="J1267" s="156"/>
      <c r="K1267" s="157"/>
      <c r="L1267" s="158"/>
      <c r="M1267" s="158"/>
      <c r="N1267" s="98"/>
      <c r="O1267" s="98"/>
      <c r="P1267" s="68"/>
      <c r="Q1267" s="98"/>
      <c r="R1267" s="98"/>
      <c r="S1267" s="98"/>
      <c r="T1267" s="98"/>
      <c r="U1267" s="98"/>
      <c r="V1267" s="98"/>
      <c r="W1267" s="98"/>
      <c r="X1267" s="98"/>
      <c r="Y1267" s="98"/>
      <c r="Z1267" s="98"/>
    </row>
    <row r="1268">
      <c r="A1268" s="95">
        <v>5.2574693874E10</v>
      </c>
      <c r="B1268" s="151" t="s">
        <v>1629</v>
      </c>
      <c r="C1268" s="95" t="s">
        <v>97</v>
      </c>
      <c r="D1268" s="95">
        <v>1.0</v>
      </c>
      <c r="E1268" s="101">
        <v>85.0</v>
      </c>
      <c r="F1268" s="101">
        <f>E1268*D1268</f>
        <v>85</v>
      </c>
      <c r="G1268" s="101">
        <f>F1268/3</f>
        <v>28.33333333</v>
      </c>
      <c r="H1268" s="95" t="s">
        <v>1195</v>
      </c>
      <c r="J1268" s="120" t="s">
        <v>1614</v>
      </c>
      <c r="K1268" s="99"/>
      <c r="L1268" s="50"/>
      <c r="M1268" s="50"/>
      <c r="P1268" s="68"/>
    </row>
    <row r="1269">
      <c r="A1269" s="152" t="s">
        <v>1630</v>
      </c>
      <c r="B1269" s="122" t="s">
        <v>1631</v>
      </c>
      <c r="C1269" s="153"/>
      <c r="D1269" s="154"/>
      <c r="E1269" s="154"/>
      <c r="F1269" s="154"/>
      <c r="G1269" s="154"/>
      <c r="H1269" s="155"/>
      <c r="I1269" s="98"/>
      <c r="J1269" s="156"/>
      <c r="K1269" s="157"/>
      <c r="L1269" s="158"/>
      <c r="M1269" s="158"/>
      <c r="N1269" s="98"/>
      <c r="O1269" s="98"/>
      <c r="P1269" s="68"/>
      <c r="Q1269" s="98"/>
      <c r="R1269" s="98"/>
      <c r="S1269" s="98"/>
      <c r="T1269" s="98"/>
      <c r="U1269" s="98"/>
      <c r="V1269" s="98"/>
      <c r="W1269" s="98"/>
      <c r="X1269" s="98"/>
      <c r="Y1269" s="98"/>
      <c r="Z1269" s="98"/>
    </row>
    <row r="1270">
      <c r="A1270" s="180">
        <v>5.2574594607E10</v>
      </c>
      <c r="B1270" s="151" t="s">
        <v>1632</v>
      </c>
      <c r="C1270" s="95" t="s">
        <v>97</v>
      </c>
      <c r="D1270" s="95">
        <v>1.0</v>
      </c>
      <c r="E1270" s="101">
        <v>69.0</v>
      </c>
      <c r="F1270" s="101">
        <f t="shared" ref="F1270:F1274" si="196">E1270*D1270</f>
        <v>69</v>
      </c>
      <c r="G1270" s="101">
        <f t="shared" ref="G1270:G1274" si="197">F1270/3</f>
        <v>23</v>
      </c>
      <c r="H1270" s="95" t="s">
        <v>1195</v>
      </c>
      <c r="I1270" s="37" t="s">
        <v>1633</v>
      </c>
      <c r="J1270" s="120" t="s">
        <v>1614</v>
      </c>
      <c r="K1270" s="99"/>
      <c r="L1270" s="50"/>
      <c r="M1270" s="50"/>
      <c r="P1270" s="68"/>
    </row>
    <row r="1271">
      <c r="A1271" s="180">
        <v>5.257445741E9</v>
      </c>
      <c r="B1271" s="151" t="s">
        <v>1634</v>
      </c>
      <c r="C1271" s="95" t="s">
        <v>97</v>
      </c>
      <c r="D1271" s="95">
        <v>1.0</v>
      </c>
      <c r="E1271" s="101">
        <v>63.0</v>
      </c>
      <c r="F1271" s="101">
        <f t="shared" si="196"/>
        <v>63</v>
      </c>
      <c r="G1271" s="101">
        <f t="shared" si="197"/>
        <v>21</v>
      </c>
      <c r="H1271" s="95" t="s">
        <v>1195</v>
      </c>
      <c r="I1271" s="37" t="s">
        <v>1050</v>
      </c>
      <c r="J1271" s="120" t="s">
        <v>1614</v>
      </c>
      <c r="K1271" s="99"/>
      <c r="L1271" s="50"/>
      <c r="M1271" s="50"/>
      <c r="P1271" s="68"/>
    </row>
    <row r="1272">
      <c r="A1272" s="180">
        <v>5.257449213E9</v>
      </c>
      <c r="B1272" s="151" t="s">
        <v>1635</v>
      </c>
      <c r="C1272" s="95" t="s">
        <v>97</v>
      </c>
      <c r="D1272" s="95">
        <v>1.0</v>
      </c>
      <c r="E1272" s="101">
        <v>19.69</v>
      </c>
      <c r="F1272" s="101">
        <f t="shared" si="196"/>
        <v>19.69</v>
      </c>
      <c r="G1272" s="101">
        <f t="shared" si="197"/>
        <v>6.563333333</v>
      </c>
      <c r="H1272" s="95" t="s">
        <v>1626</v>
      </c>
      <c r="I1272" s="37" t="s">
        <v>1050</v>
      </c>
      <c r="J1272" s="120" t="s">
        <v>1614</v>
      </c>
      <c r="K1272" s="99"/>
      <c r="L1272" s="50"/>
      <c r="M1272" s="50"/>
      <c r="P1272" s="68"/>
    </row>
    <row r="1273">
      <c r="A1273" s="180">
        <v>5.2574671797E10</v>
      </c>
      <c r="B1273" s="151" t="s">
        <v>1636</v>
      </c>
      <c r="C1273" s="95" t="s">
        <v>97</v>
      </c>
      <c r="D1273" s="95">
        <v>1.0</v>
      </c>
      <c r="E1273" s="101">
        <v>94.99</v>
      </c>
      <c r="F1273" s="101">
        <f t="shared" si="196"/>
        <v>94.99</v>
      </c>
      <c r="G1273" s="101">
        <f t="shared" si="197"/>
        <v>31.66333333</v>
      </c>
      <c r="H1273" s="95" t="s">
        <v>1164</v>
      </c>
      <c r="I1273" s="37" t="s">
        <v>498</v>
      </c>
      <c r="J1273" s="120" t="s">
        <v>1614</v>
      </c>
      <c r="K1273" s="99"/>
      <c r="L1273" s="50"/>
      <c r="M1273" s="50"/>
      <c r="P1273" s="68"/>
    </row>
    <row r="1274">
      <c r="A1274" s="180">
        <v>5.2574700763E10</v>
      </c>
      <c r="B1274" s="151" t="s">
        <v>1637</v>
      </c>
      <c r="C1274" s="95" t="s">
        <v>97</v>
      </c>
      <c r="D1274" s="95">
        <v>1.0</v>
      </c>
      <c r="E1274" s="101">
        <v>85.0</v>
      </c>
      <c r="F1274" s="101">
        <f t="shared" si="196"/>
        <v>85</v>
      </c>
      <c r="G1274" s="101">
        <f t="shared" si="197"/>
        <v>28.33333333</v>
      </c>
      <c r="H1274" s="95" t="s">
        <v>1195</v>
      </c>
      <c r="I1274" s="37" t="s">
        <v>498</v>
      </c>
      <c r="J1274" s="120" t="s">
        <v>1614</v>
      </c>
      <c r="K1274" s="99"/>
      <c r="L1274" s="50"/>
      <c r="M1274" s="50"/>
      <c r="P1274" s="68"/>
    </row>
    <row r="1275">
      <c r="A1275" s="111" t="s">
        <v>267</v>
      </c>
      <c r="B1275" s="111" t="s">
        <v>1638</v>
      </c>
      <c r="C1275" s="112" t="str">
        <f>MID($B1275,6,7)</f>
        <v>GR18267</v>
      </c>
      <c r="D1275" s="111"/>
      <c r="E1275" s="111"/>
      <c r="F1275" s="111"/>
      <c r="G1275" s="111"/>
      <c r="H1275" s="113">
        <v>44559.0</v>
      </c>
      <c r="I1275" s="159"/>
      <c r="J1275" s="160" t="str">
        <f>IF(LEFT(B1275,3)="Box","BOX","COUNT")</f>
        <v>BOX</v>
      </c>
      <c r="K1275" s="161">
        <f>SUMIF($J$4:$J$8712,$C1275,$D$4:$D$8712)</f>
        <v>18</v>
      </c>
      <c r="L1275" s="162">
        <f>SUMIF($J$4:$J$8712,$C1275,$F$4:$F$8712)</f>
        <v>1384.61</v>
      </c>
      <c r="M1275" s="162">
        <f>SUMIF($J$4:$J$8712,$C1275,$G$4:$G$8712)</f>
        <v>461.5366667</v>
      </c>
      <c r="N1275" s="159" t="str">
        <f>C1275</f>
        <v>GR18267</v>
      </c>
      <c r="O1275" s="159" t="str">
        <f>J1276</f>
        <v>SHIP</v>
      </c>
      <c r="P1275" s="68">
        <f>M1275</f>
        <v>461.5366667</v>
      </c>
      <c r="Q1275" s="226">
        <v>44501.0</v>
      </c>
      <c r="R1275" s="227" t="s">
        <v>1639</v>
      </c>
      <c r="S1275" s="227" t="s">
        <v>1640</v>
      </c>
      <c r="T1275" s="159"/>
      <c r="U1275" s="159"/>
      <c r="V1275" s="159"/>
      <c r="W1275" s="159"/>
      <c r="X1275" s="159"/>
      <c r="Y1275" s="159"/>
      <c r="Z1275" s="159"/>
    </row>
    <row r="1276">
      <c r="A1276" s="211"/>
      <c r="B1276" s="111" t="s">
        <v>1641</v>
      </c>
      <c r="C1276" s="109"/>
      <c r="D1276" s="109"/>
      <c r="E1276" s="116"/>
      <c r="F1276" s="116"/>
      <c r="G1276" s="116"/>
      <c r="H1276" s="109"/>
      <c r="J1276" s="108" t="str">
        <f>IF(B1276="","NSHIP","SHIP")</f>
        <v>SHIP</v>
      </c>
      <c r="K1276" s="99">
        <f>IF($J1276="NSHIP",0,-SUMIF($J$4:$J$8712,$C1275,$D$4:$D$8712))</f>
        <v>-18</v>
      </c>
      <c r="L1276" s="50">
        <f>IF($J1276="NSHIP",0,-SUMIF($J$4:$J$8710,$C1275,$F$4:$F$8710))</f>
        <v>-1384.61</v>
      </c>
      <c r="M1276" s="50">
        <f>IF($J1276="NSHIP",0,-SUMIF($J$4:$J$8710,$C1275,$G$4:$G$8710))</f>
        <v>-461.5366667</v>
      </c>
      <c r="P1276" s="68"/>
    </row>
    <row r="1277">
      <c r="A1277" s="95">
        <v>5.257424722E9</v>
      </c>
      <c r="B1277" s="164" t="s">
        <v>1642</v>
      </c>
      <c r="C1277" s="95" t="s">
        <v>97</v>
      </c>
      <c r="D1277" s="95">
        <v>1.0</v>
      </c>
      <c r="E1277" s="101">
        <v>68.0</v>
      </c>
      <c r="F1277" s="101">
        <f t="shared" ref="F1277:F1292" si="198">E1277*D1277</f>
        <v>68</v>
      </c>
      <c r="G1277" s="101">
        <f t="shared" ref="G1277:G1292" si="199">F1277/3</f>
        <v>22.66666667</v>
      </c>
      <c r="H1277" s="95" t="s">
        <v>1195</v>
      </c>
      <c r="J1277" s="120" t="s">
        <v>51</v>
      </c>
      <c r="K1277" s="99"/>
      <c r="L1277" s="50"/>
      <c r="M1277" s="50"/>
      <c r="P1277" s="68"/>
    </row>
    <row r="1278">
      <c r="A1278" s="95">
        <v>5.257461581E9</v>
      </c>
      <c r="B1278" s="131" t="s">
        <v>1643</v>
      </c>
      <c r="C1278" s="95" t="s">
        <v>97</v>
      </c>
      <c r="D1278" s="95">
        <v>1.0</v>
      </c>
      <c r="E1278" s="101">
        <v>39.99</v>
      </c>
      <c r="F1278" s="101">
        <f t="shared" si="198"/>
        <v>39.99</v>
      </c>
      <c r="G1278" s="101">
        <f t="shared" si="199"/>
        <v>13.33</v>
      </c>
      <c r="H1278" s="95" t="s">
        <v>1626</v>
      </c>
      <c r="J1278" s="120" t="s">
        <v>51</v>
      </c>
      <c r="K1278" s="99"/>
      <c r="L1278" s="50"/>
      <c r="M1278" s="50"/>
      <c r="P1278" s="68"/>
    </row>
    <row r="1279">
      <c r="A1279" s="95">
        <v>5.2574530728E10</v>
      </c>
      <c r="B1279" s="131" t="s">
        <v>1644</v>
      </c>
      <c r="C1279" s="95" t="s">
        <v>97</v>
      </c>
      <c r="D1279" s="95">
        <v>1.0</v>
      </c>
      <c r="E1279" s="101">
        <v>79.0</v>
      </c>
      <c r="F1279" s="101">
        <f t="shared" si="198"/>
        <v>79</v>
      </c>
      <c r="G1279" s="101">
        <f t="shared" si="199"/>
        <v>26.33333333</v>
      </c>
      <c r="H1279" s="95" t="s">
        <v>1195</v>
      </c>
      <c r="J1279" s="120" t="s">
        <v>51</v>
      </c>
      <c r="K1279" s="99"/>
      <c r="L1279" s="50"/>
      <c r="M1279" s="50"/>
      <c r="P1279" s="68"/>
    </row>
    <row r="1280">
      <c r="A1280" s="95">
        <v>5.2574672305E10</v>
      </c>
      <c r="B1280" s="131" t="s">
        <v>1621</v>
      </c>
      <c r="C1280" s="95" t="s">
        <v>97</v>
      </c>
      <c r="D1280" s="95">
        <v>1.0</v>
      </c>
      <c r="E1280" s="101">
        <v>99.0</v>
      </c>
      <c r="F1280" s="101">
        <f t="shared" si="198"/>
        <v>99</v>
      </c>
      <c r="G1280" s="101">
        <f t="shared" si="199"/>
        <v>33</v>
      </c>
      <c r="H1280" s="95" t="s">
        <v>1195</v>
      </c>
      <c r="J1280" s="120" t="s">
        <v>51</v>
      </c>
      <c r="K1280" s="99"/>
      <c r="L1280" s="50"/>
      <c r="M1280" s="50"/>
      <c r="P1280" s="68"/>
    </row>
    <row r="1281">
      <c r="A1281" s="95">
        <v>5.2574672541E10</v>
      </c>
      <c r="B1281" s="131" t="s">
        <v>1645</v>
      </c>
      <c r="C1281" s="95" t="s">
        <v>97</v>
      </c>
      <c r="D1281" s="95">
        <v>1.0</v>
      </c>
      <c r="E1281" s="101">
        <v>129.99</v>
      </c>
      <c r="F1281" s="101">
        <f t="shared" si="198"/>
        <v>129.99</v>
      </c>
      <c r="G1281" s="101">
        <f t="shared" si="199"/>
        <v>43.33</v>
      </c>
      <c r="H1281" s="95" t="s">
        <v>1164</v>
      </c>
      <c r="J1281" s="120" t="s">
        <v>51</v>
      </c>
      <c r="K1281" s="99"/>
      <c r="L1281" s="50"/>
      <c r="M1281" s="50"/>
      <c r="P1281" s="68"/>
    </row>
    <row r="1282">
      <c r="A1282" s="95">
        <v>5.2574696196E10</v>
      </c>
      <c r="B1282" s="131" t="s">
        <v>1646</v>
      </c>
      <c r="C1282" s="95" t="s">
        <v>97</v>
      </c>
      <c r="D1282" s="95">
        <v>1.0</v>
      </c>
      <c r="E1282" s="101">
        <v>60.99</v>
      </c>
      <c r="F1282" s="101">
        <f t="shared" si="198"/>
        <v>60.99</v>
      </c>
      <c r="G1282" s="101">
        <f t="shared" si="199"/>
        <v>20.33</v>
      </c>
      <c r="H1282" s="95" t="s">
        <v>1164</v>
      </c>
      <c r="J1282" s="120" t="s">
        <v>51</v>
      </c>
      <c r="K1282" s="99"/>
      <c r="L1282" s="50"/>
      <c r="M1282" s="50"/>
      <c r="P1282" s="68"/>
    </row>
    <row r="1283">
      <c r="A1283" s="95">
        <v>5.2574699142E10</v>
      </c>
      <c r="B1283" s="131" t="s">
        <v>1647</v>
      </c>
      <c r="C1283" s="95" t="s">
        <v>97</v>
      </c>
      <c r="D1283" s="95">
        <v>1.0</v>
      </c>
      <c r="E1283" s="101">
        <v>80.0</v>
      </c>
      <c r="F1283" s="101">
        <f t="shared" si="198"/>
        <v>80</v>
      </c>
      <c r="G1283" s="101">
        <f t="shared" si="199"/>
        <v>26.66666667</v>
      </c>
      <c r="H1283" s="95" t="s">
        <v>1195</v>
      </c>
      <c r="J1283" s="120" t="s">
        <v>51</v>
      </c>
      <c r="K1283" s="99"/>
      <c r="L1283" s="50"/>
      <c r="M1283" s="50"/>
      <c r="P1283" s="68"/>
    </row>
    <row r="1284">
      <c r="A1284" s="95">
        <v>5.2574700763E10</v>
      </c>
      <c r="B1284" s="131" t="s">
        <v>1648</v>
      </c>
      <c r="C1284" s="95" t="s">
        <v>97</v>
      </c>
      <c r="D1284" s="95">
        <v>1.0</v>
      </c>
      <c r="E1284" s="101">
        <v>85.0</v>
      </c>
      <c r="F1284" s="101">
        <f t="shared" si="198"/>
        <v>85</v>
      </c>
      <c r="G1284" s="101">
        <f t="shared" si="199"/>
        <v>28.33333333</v>
      </c>
      <c r="H1284" s="95" t="s">
        <v>1195</v>
      </c>
      <c r="J1284" s="120" t="s">
        <v>51</v>
      </c>
      <c r="K1284" s="99"/>
      <c r="L1284" s="50"/>
      <c r="M1284" s="50"/>
      <c r="P1284" s="68"/>
    </row>
    <row r="1285">
      <c r="A1285" s="95">
        <v>5.2574704426E10</v>
      </c>
      <c r="B1285" s="131" t="s">
        <v>1649</v>
      </c>
      <c r="C1285" s="95" t="s">
        <v>97</v>
      </c>
      <c r="D1285" s="95">
        <v>1.0</v>
      </c>
      <c r="E1285" s="101">
        <v>85.0</v>
      </c>
      <c r="F1285" s="101">
        <f t="shared" si="198"/>
        <v>85</v>
      </c>
      <c r="G1285" s="101">
        <f t="shared" si="199"/>
        <v>28.33333333</v>
      </c>
      <c r="H1285" s="95" t="s">
        <v>1195</v>
      </c>
      <c r="J1285" s="120" t="s">
        <v>51</v>
      </c>
      <c r="K1285" s="99"/>
      <c r="L1285" s="50"/>
      <c r="M1285" s="50"/>
      <c r="P1285" s="68"/>
    </row>
    <row r="1286">
      <c r="A1286" s="95">
        <v>5.2574706277E10</v>
      </c>
      <c r="B1286" s="131" t="s">
        <v>1650</v>
      </c>
      <c r="C1286" s="95" t="s">
        <v>97</v>
      </c>
      <c r="D1286" s="95">
        <v>1.0</v>
      </c>
      <c r="E1286" s="101">
        <v>99.99</v>
      </c>
      <c r="F1286" s="101">
        <f t="shared" si="198"/>
        <v>99.99</v>
      </c>
      <c r="G1286" s="101">
        <f t="shared" si="199"/>
        <v>33.33</v>
      </c>
      <c r="H1286" s="95" t="s">
        <v>1195</v>
      </c>
      <c r="J1286" s="120" t="s">
        <v>51</v>
      </c>
      <c r="K1286" s="99"/>
      <c r="L1286" s="50"/>
      <c r="M1286" s="50"/>
      <c r="P1286" s="68"/>
    </row>
    <row r="1287">
      <c r="A1287" s="95">
        <v>5.2574709162E10</v>
      </c>
      <c r="B1287" s="131" t="s">
        <v>1651</v>
      </c>
      <c r="C1287" s="95" t="s">
        <v>97</v>
      </c>
      <c r="D1287" s="95">
        <v>1.0</v>
      </c>
      <c r="E1287" s="101">
        <v>80.0</v>
      </c>
      <c r="F1287" s="101">
        <f t="shared" si="198"/>
        <v>80</v>
      </c>
      <c r="G1287" s="101">
        <f t="shared" si="199"/>
        <v>26.66666667</v>
      </c>
      <c r="H1287" s="95" t="s">
        <v>1195</v>
      </c>
      <c r="J1287" s="120" t="s">
        <v>51</v>
      </c>
      <c r="K1287" s="99"/>
      <c r="L1287" s="50"/>
      <c r="M1287" s="50"/>
      <c r="P1287" s="68"/>
    </row>
    <row r="1288">
      <c r="A1288" s="95">
        <v>5.2574717563E10</v>
      </c>
      <c r="B1288" s="131" t="s">
        <v>1652</v>
      </c>
      <c r="C1288" s="95" t="s">
        <v>97</v>
      </c>
      <c r="D1288" s="95">
        <v>1.0</v>
      </c>
      <c r="E1288" s="101">
        <v>84.99</v>
      </c>
      <c r="F1288" s="101">
        <f t="shared" si="198"/>
        <v>84.99</v>
      </c>
      <c r="G1288" s="101">
        <f t="shared" si="199"/>
        <v>28.33</v>
      </c>
      <c r="H1288" s="95" t="s">
        <v>1164</v>
      </c>
      <c r="J1288" s="120" t="s">
        <v>51</v>
      </c>
      <c r="K1288" s="99"/>
      <c r="L1288" s="50"/>
      <c r="M1288" s="50"/>
      <c r="P1288" s="68"/>
    </row>
    <row r="1289">
      <c r="A1289" s="95">
        <v>5.2574729481E10</v>
      </c>
      <c r="B1289" s="131" t="s">
        <v>1653</v>
      </c>
      <c r="C1289" s="95" t="s">
        <v>97</v>
      </c>
      <c r="D1289" s="95">
        <v>1.0</v>
      </c>
      <c r="E1289" s="101">
        <v>99.99</v>
      </c>
      <c r="F1289" s="101">
        <f t="shared" si="198"/>
        <v>99.99</v>
      </c>
      <c r="G1289" s="101">
        <f t="shared" si="199"/>
        <v>33.33</v>
      </c>
      <c r="H1289" s="95" t="s">
        <v>1195</v>
      </c>
      <c r="J1289" s="120" t="s">
        <v>51</v>
      </c>
      <c r="K1289" s="99"/>
      <c r="L1289" s="50"/>
      <c r="M1289" s="50"/>
      <c r="P1289" s="68"/>
    </row>
    <row r="1290">
      <c r="A1290" s="95">
        <v>5.2574731125E10</v>
      </c>
      <c r="B1290" s="131" t="s">
        <v>1654</v>
      </c>
      <c r="C1290" s="95" t="s">
        <v>97</v>
      </c>
      <c r="D1290" s="95">
        <v>1.0</v>
      </c>
      <c r="E1290" s="101">
        <v>119.99</v>
      </c>
      <c r="F1290" s="101">
        <f t="shared" si="198"/>
        <v>119.99</v>
      </c>
      <c r="G1290" s="101">
        <f t="shared" si="199"/>
        <v>39.99666667</v>
      </c>
      <c r="H1290" s="95" t="s">
        <v>1164</v>
      </c>
      <c r="J1290" s="120" t="s">
        <v>51</v>
      </c>
      <c r="K1290" s="99"/>
      <c r="L1290" s="50"/>
      <c r="M1290" s="50"/>
      <c r="P1290" s="68"/>
    </row>
    <row r="1291">
      <c r="A1291" s="95">
        <v>5.2574785371E10</v>
      </c>
      <c r="B1291" s="131" t="s">
        <v>1655</v>
      </c>
      <c r="C1291" s="95" t="s">
        <v>97</v>
      </c>
      <c r="D1291" s="95">
        <v>1.0</v>
      </c>
      <c r="E1291" s="101">
        <v>70.0</v>
      </c>
      <c r="F1291" s="101">
        <f t="shared" si="198"/>
        <v>70</v>
      </c>
      <c r="G1291" s="101">
        <f t="shared" si="199"/>
        <v>23.33333333</v>
      </c>
      <c r="H1291" s="95" t="s">
        <v>1195</v>
      </c>
      <c r="J1291" s="120" t="s">
        <v>51</v>
      </c>
      <c r="K1291" s="99"/>
      <c r="L1291" s="50"/>
      <c r="M1291" s="50"/>
      <c r="P1291" s="68"/>
    </row>
    <row r="1292">
      <c r="A1292" s="95">
        <v>8.70221136396E11</v>
      </c>
      <c r="B1292" s="131" t="s">
        <v>1656</v>
      </c>
      <c r="C1292" s="95" t="s">
        <v>97</v>
      </c>
      <c r="D1292" s="95">
        <v>1.0</v>
      </c>
      <c r="E1292" s="101">
        <v>29.99</v>
      </c>
      <c r="F1292" s="101">
        <f t="shared" si="198"/>
        <v>29.99</v>
      </c>
      <c r="G1292" s="101">
        <f t="shared" si="199"/>
        <v>9.996666667</v>
      </c>
      <c r="H1292" s="95" t="s">
        <v>1164</v>
      </c>
      <c r="J1292" s="120" t="s">
        <v>51</v>
      </c>
      <c r="K1292" s="99"/>
      <c r="L1292" s="50"/>
      <c r="M1292" s="50"/>
      <c r="P1292" s="68"/>
    </row>
    <row r="1293">
      <c r="A1293" s="102" t="s">
        <v>950</v>
      </c>
      <c r="B1293" s="209" t="s">
        <v>1657</v>
      </c>
      <c r="C1293" s="104"/>
      <c r="D1293" s="104"/>
      <c r="E1293" s="105"/>
      <c r="F1293" s="106"/>
      <c r="G1293" s="106"/>
      <c r="H1293" s="107"/>
      <c r="J1293" s="108"/>
      <c r="K1293" s="99"/>
      <c r="L1293" s="50"/>
      <c r="M1293" s="50"/>
      <c r="P1293" s="68"/>
    </row>
    <row r="1294">
      <c r="A1294" s="111" t="s">
        <v>115</v>
      </c>
      <c r="B1294" s="111" t="s">
        <v>1658</v>
      </c>
      <c r="C1294" s="112" t="str">
        <f>MID($B1294,6,7)</f>
        <v>CL18268</v>
      </c>
      <c r="D1294" s="111"/>
      <c r="E1294" s="111"/>
      <c r="F1294" s="111"/>
      <c r="G1294" s="111"/>
      <c r="H1294" s="113">
        <v>44559.0</v>
      </c>
      <c r="J1294" s="108" t="str">
        <f>IF(LEFT(B1294,3)="Box","BOX","COUNT")</f>
        <v>BOX</v>
      </c>
      <c r="K1294" s="99">
        <f>SUMIF($J$4:$J$8712,$C1294,$D$4:$D$8712)</f>
        <v>16</v>
      </c>
      <c r="L1294" s="50">
        <f>SUMIF($J$4:$J$8712,$C1294,$F$4:$F$8712)</f>
        <v>1311.92</v>
      </c>
      <c r="M1294" s="50">
        <f>SUMIF($J$4:$J$8712,$C1294,$G$4:$G$8712)</f>
        <v>437.3066667</v>
      </c>
      <c r="N1294" s="70" t="str">
        <f>C1294</f>
        <v>CL18268</v>
      </c>
      <c r="O1294" s="70" t="str">
        <f>J1295</f>
        <v>SHIP</v>
      </c>
      <c r="P1294" s="68">
        <f>M1294</f>
        <v>437.3066667</v>
      </c>
      <c r="Q1294" s="168">
        <v>44501.0</v>
      </c>
      <c r="R1294" s="37" t="s">
        <v>1639</v>
      </c>
      <c r="S1294" s="37" t="s">
        <v>1640</v>
      </c>
    </row>
    <row r="1295">
      <c r="A1295" s="211"/>
      <c r="B1295" s="111" t="s">
        <v>1659</v>
      </c>
      <c r="C1295" s="109"/>
      <c r="D1295" s="109"/>
      <c r="E1295" s="116"/>
      <c r="F1295" s="116"/>
      <c r="G1295" s="116"/>
      <c r="H1295" s="109"/>
      <c r="J1295" s="108" t="str">
        <f>IF(B1295="","NSHIP","SHIP")</f>
        <v>SHIP</v>
      </c>
      <c r="K1295" s="99">
        <f>IF($J1295="NSHIP",0,-SUMIF($J$4:$J$8712,$C1294,$D$4:$D$8712))</f>
        <v>-16</v>
      </c>
      <c r="L1295" s="50">
        <f>IF($J1295="NSHIP",0,-SUMIF($J$4:$J$8710,$C1294,$F$4:$F$8710))</f>
        <v>-1311.92</v>
      </c>
      <c r="M1295" s="50">
        <f>IF($J1295="NSHIP",0,-SUMIF($J$4:$J$8710,$C1294,$G$4:$G$8710))</f>
        <v>-437.3066667</v>
      </c>
      <c r="P1295" s="68"/>
    </row>
    <row r="1296">
      <c r="A1296" s="117">
        <v>5.2574132571E10</v>
      </c>
      <c r="B1296" s="100" t="s">
        <v>1660</v>
      </c>
      <c r="C1296" s="118" t="s">
        <v>97</v>
      </c>
      <c r="D1296" s="100">
        <v>1.0</v>
      </c>
      <c r="E1296" s="119">
        <v>60.99</v>
      </c>
      <c r="F1296" s="119">
        <f t="shared" ref="F1296:F1303" si="200">E1296*D1296</f>
        <v>60.99</v>
      </c>
      <c r="G1296" s="119">
        <f t="shared" ref="G1296:G1303" si="201">F1296/3</f>
        <v>20.33</v>
      </c>
      <c r="H1296" s="100" t="s">
        <v>1626</v>
      </c>
      <c r="J1296" s="120" t="s">
        <v>1661</v>
      </c>
      <c r="K1296" s="99"/>
      <c r="L1296" s="50"/>
      <c r="M1296" s="50"/>
      <c r="P1296" s="68"/>
    </row>
    <row r="1297">
      <c r="A1297" s="117">
        <v>5.2574448351E10</v>
      </c>
      <c r="B1297" s="100" t="s">
        <v>1662</v>
      </c>
      <c r="C1297" s="118" t="s">
        <v>97</v>
      </c>
      <c r="D1297" s="100">
        <v>1.0</v>
      </c>
      <c r="E1297" s="119">
        <v>109.0</v>
      </c>
      <c r="F1297" s="119">
        <f t="shared" si="200"/>
        <v>109</v>
      </c>
      <c r="G1297" s="119">
        <f t="shared" si="201"/>
        <v>36.33333333</v>
      </c>
      <c r="H1297" s="100" t="s">
        <v>1195</v>
      </c>
      <c r="J1297" s="120" t="s">
        <v>1661</v>
      </c>
      <c r="K1297" s="99"/>
      <c r="L1297" s="50"/>
      <c r="M1297" s="50"/>
      <c r="P1297" s="68"/>
    </row>
    <row r="1298">
      <c r="A1298" s="117">
        <v>5.2574589047E10</v>
      </c>
      <c r="B1298" s="100" t="s">
        <v>1663</v>
      </c>
      <c r="C1298" s="118" t="s">
        <v>97</v>
      </c>
      <c r="D1298" s="100">
        <v>1.0</v>
      </c>
      <c r="E1298" s="119">
        <v>99.0</v>
      </c>
      <c r="F1298" s="119">
        <f t="shared" si="200"/>
        <v>99</v>
      </c>
      <c r="G1298" s="119">
        <f t="shared" si="201"/>
        <v>33</v>
      </c>
      <c r="H1298" s="100" t="s">
        <v>1195</v>
      </c>
      <c r="J1298" s="120" t="s">
        <v>1661</v>
      </c>
      <c r="K1298" s="99"/>
      <c r="L1298" s="50"/>
      <c r="M1298" s="50"/>
      <c r="P1298" s="68"/>
    </row>
    <row r="1299">
      <c r="A1299" s="117">
        <v>5.2574693379E10</v>
      </c>
      <c r="B1299" s="100" t="s">
        <v>1664</v>
      </c>
      <c r="C1299" s="118" t="s">
        <v>97</v>
      </c>
      <c r="D1299" s="100">
        <v>1.0</v>
      </c>
      <c r="E1299" s="119">
        <v>85.0</v>
      </c>
      <c r="F1299" s="119">
        <f t="shared" si="200"/>
        <v>85</v>
      </c>
      <c r="G1299" s="119">
        <f t="shared" si="201"/>
        <v>28.33333333</v>
      </c>
      <c r="H1299" s="100" t="s">
        <v>1195</v>
      </c>
      <c r="J1299" s="120" t="s">
        <v>1661</v>
      </c>
      <c r="K1299" s="99"/>
      <c r="L1299" s="50"/>
      <c r="M1299" s="50"/>
      <c r="P1299" s="68"/>
    </row>
    <row r="1300">
      <c r="A1300" s="117">
        <v>5.2574694963E10</v>
      </c>
      <c r="B1300" s="100" t="s">
        <v>1665</v>
      </c>
      <c r="C1300" s="118" t="s">
        <v>97</v>
      </c>
      <c r="D1300" s="100">
        <v>1.0</v>
      </c>
      <c r="E1300" s="119">
        <v>80.0</v>
      </c>
      <c r="F1300" s="119">
        <f t="shared" si="200"/>
        <v>80</v>
      </c>
      <c r="G1300" s="119">
        <f t="shared" si="201"/>
        <v>26.66666667</v>
      </c>
      <c r="H1300" s="100" t="s">
        <v>1195</v>
      </c>
      <c r="J1300" s="120" t="s">
        <v>1661</v>
      </c>
      <c r="K1300" s="99"/>
      <c r="L1300" s="50"/>
      <c r="M1300" s="50"/>
      <c r="P1300" s="68"/>
    </row>
    <row r="1301">
      <c r="A1301" s="117">
        <v>5.2574699906E10</v>
      </c>
      <c r="B1301" s="100" t="s">
        <v>1666</v>
      </c>
      <c r="C1301" s="118" t="s">
        <v>97</v>
      </c>
      <c r="D1301" s="100">
        <v>1.0</v>
      </c>
      <c r="E1301" s="119">
        <v>80.0</v>
      </c>
      <c r="F1301" s="119">
        <f t="shared" si="200"/>
        <v>80</v>
      </c>
      <c r="G1301" s="119">
        <f t="shared" si="201"/>
        <v>26.66666667</v>
      </c>
      <c r="H1301" s="100" t="s">
        <v>1195</v>
      </c>
      <c r="J1301" s="120" t="s">
        <v>1661</v>
      </c>
      <c r="K1301" s="99"/>
      <c r="L1301" s="50"/>
      <c r="M1301" s="50"/>
      <c r="P1301" s="68"/>
    </row>
    <row r="1302">
      <c r="A1302" s="117">
        <v>5.2574706284E10</v>
      </c>
      <c r="B1302" s="100" t="s">
        <v>1667</v>
      </c>
      <c r="C1302" s="118" t="s">
        <v>97</v>
      </c>
      <c r="D1302" s="100">
        <v>1.0</v>
      </c>
      <c r="E1302" s="119">
        <v>99.99</v>
      </c>
      <c r="F1302" s="119">
        <f t="shared" si="200"/>
        <v>99.99</v>
      </c>
      <c r="G1302" s="119">
        <f t="shared" si="201"/>
        <v>33.33</v>
      </c>
      <c r="H1302" s="100" t="s">
        <v>1195</v>
      </c>
      <c r="J1302" s="120" t="s">
        <v>1661</v>
      </c>
      <c r="K1302" s="99"/>
      <c r="L1302" s="50"/>
      <c r="M1302" s="50"/>
      <c r="P1302" s="68"/>
    </row>
    <row r="1303">
      <c r="A1303" s="117">
        <v>5.2574729375E10</v>
      </c>
      <c r="B1303" s="100" t="s">
        <v>1668</v>
      </c>
      <c r="C1303" s="118" t="s">
        <v>97</v>
      </c>
      <c r="D1303" s="100">
        <v>1.0</v>
      </c>
      <c r="E1303" s="119">
        <v>99.99</v>
      </c>
      <c r="F1303" s="119">
        <f t="shared" si="200"/>
        <v>99.99</v>
      </c>
      <c r="G1303" s="119">
        <f t="shared" si="201"/>
        <v>33.33</v>
      </c>
      <c r="H1303" s="100" t="s">
        <v>1195</v>
      </c>
      <c r="J1303" s="120" t="s">
        <v>1661</v>
      </c>
      <c r="K1303" s="99"/>
      <c r="L1303" s="50"/>
      <c r="M1303" s="50"/>
      <c r="P1303" s="68"/>
    </row>
    <row r="1304">
      <c r="A1304" s="166" t="s">
        <v>1669</v>
      </c>
      <c r="B1304" s="135" t="s">
        <v>1670</v>
      </c>
      <c r="C1304" s="118"/>
      <c r="D1304" s="100"/>
      <c r="E1304" s="119"/>
      <c r="F1304" s="119"/>
      <c r="G1304" s="119"/>
      <c r="H1304" s="100"/>
      <c r="J1304" s="120"/>
      <c r="K1304" s="99"/>
      <c r="L1304" s="50"/>
      <c r="M1304" s="50"/>
      <c r="P1304" s="68"/>
    </row>
    <row r="1305">
      <c r="A1305" s="123" t="s">
        <v>132</v>
      </c>
      <c r="B1305" s="112" t="s">
        <v>1671</v>
      </c>
      <c r="C1305" s="124" t="str">
        <f>MID($B1305,6,7)</f>
        <v>CL18269</v>
      </c>
      <c r="D1305" s="125"/>
      <c r="E1305" s="126"/>
      <c r="F1305" s="126"/>
      <c r="G1305" s="126"/>
      <c r="H1305" s="127">
        <v>44559.0</v>
      </c>
      <c r="J1305" s="108" t="str">
        <f>IF(LEFT(B1305,3)="Box","BOX","COUNT")</f>
        <v>BOX</v>
      </c>
      <c r="K1305" s="99">
        <f>SUMIF($J$4:$J$8712,$C1305,$D$4:$D$8712)</f>
        <v>8</v>
      </c>
      <c r="L1305" s="50">
        <f>SUMIF($J$4:$J$8712,$C1305,$F$4:$F$8712)</f>
        <v>713.97</v>
      </c>
      <c r="M1305" s="50">
        <f>SUMIF($J$4:$J$8712,$C1305,$G$4:$G$8712)</f>
        <v>237.99</v>
      </c>
      <c r="N1305" s="36" t="str">
        <f>C1305</f>
        <v>CL18269</v>
      </c>
      <c r="O1305" s="70" t="str">
        <f>J1306</f>
        <v>SHIP</v>
      </c>
      <c r="P1305" s="68">
        <f>M1305</f>
        <v>237.99</v>
      </c>
      <c r="Q1305" s="168">
        <v>44501.0</v>
      </c>
      <c r="R1305" s="37" t="s">
        <v>1639</v>
      </c>
      <c r="S1305" s="37" t="s">
        <v>1640</v>
      </c>
    </row>
    <row r="1306">
      <c r="A1306" s="221"/>
      <c r="B1306" s="112" t="s">
        <v>1672</v>
      </c>
      <c r="C1306" s="129"/>
      <c r="D1306" s="125"/>
      <c r="E1306" s="126"/>
      <c r="F1306" s="126"/>
      <c r="G1306" s="126"/>
      <c r="H1306" s="125"/>
      <c r="J1306" s="108" t="str">
        <f>IF(B1306="","NSHIP","SHIP")</f>
        <v>SHIP</v>
      </c>
      <c r="K1306" s="99">
        <f>IF($J1306="NSHIP",0,-SUMIF($J$4:$J$8712,$C1305,$D$4:$D$8712))</f>
        <v>-8</v>
      </c>
      <c r="L1306" s="50">
        <f>IF($J1306="NSHIP",0,-SUMIF($J$4:$J$8710,$C1305,$F$4:$F$8710))</f>
        <v>-713.97</v>
      </c>
      <c r="M1306" s="50">
        <f>IF($J1306="NSHIP",0,-SUMIF($J$4:$J$8710,$C1305,$G$4:$G$8710))</f>
        <v>-237.99</v>
      </c>
      <c r="P1306" s="68"/>
    </row>
    <row r="1307">
      <c r="A1307" s="96">
        <v>1.7113528833E10</v>
      </c>
      <c r="B1307" s="131" t="s">
        <v>1673</v>
      </c>
      <c r="C1307" s="100" t="s">
        <v>97</v>
      </c>
      <c r="D1307" s="100">
        <v>1.0</v>
      </c>
      <c r="E1307" s="119">
        <v>69.99</v>
      </c>
      <c r="F1307" s="119">
        <f t="shared" ref="F1307:F1320" si="202">E1307*D1307</f>
        <v>69.99</v>
      </c>
      <c r="G1307" s="119">
        <f t="shared" ref="G1307:G1320" si="203">F1307/3</f>
        <v>23.33</v>
      </c>
      <c r="H1307" s="100" t="s">
        <v>1674</v>
      </c>
      <c r="I1307" s="1"/>
      <c r="J1307" s="104" t="s">
        <v>1675</v>
      </c>
      <c r="K1307" s="133"/>
      <c r="L1307" s="105"/>
      <c r="M1307" s="105"/>
      <c r="N1307" s="1"/>
      <c r="O1307" s="1"/>
      <c r="P1307" s="68"/>
    </row>
    <row r="1308">
      <c r="A1308" s="100">
        <v>1.7114761789E10</v>
      </c>
      <c r="B1308" s="186" t="s">
        <v>1676</v>
      </c>
      <c r="C1308" s="100" t="s">
        <v>97</v>
      </c>
      <c r="D1308" s="100">
        <v>1.0</v>
      </c>
      <c r="E1308" s="119">
        <v>65.0</v>
      </c>
      <c r="F1308" s="119">
        <f t="shared" si="202"/>
        <v>65</v>
      </c>
      <c r="G1308" s="119">
        <f t="shared" si="203"/>
        <v>21.66666667</v>
      </c>
      <c r="H1308" s="132" t="s">
        <v>1677</v>
      </c>
      <c r="I1308" s="1"/>
      <c r="J1308" s="104" t="s">
        <v>1675</v>
      </c>
      <c r="K1308" s="133"/>
      <c r="L1308" s="105"/>
      <c r="M1308" s="105"/>
      <c r="N1308" s="1"/>
      <c r="O1308" s="1"/>
      <c r="P1308" s="68"/>
    </row>
    <row r="1309">
      <c r="A1309" s="100">
        <v>1.7115796049E10</v>
      </c>
      <c r="B1309" s="131" t="s">
        <v>1678</v>
      </c>
      <c r="C1309" s="100" t="s">
        <v>97</v>
      </c>
      <c r="D1309" s="100">
        <v>1.0</v>
      </c>
      <c r="E1309" s="119">
        <v>60.0</v>
      </c>
      <c r="F1309" s="119">
        <f t="shared" si="202"/>
        <v>60</v>
      </c>
      <c r="G1309" s="119">
        <f t="shared" si="203"/>
        <v>20</v>
      </c>
      <c r="H1309" s="132" t="s">
        <v>1677</v>
      </c>
      <c r="I1309" s="1"/>
      <c r="J1309" s="104" t="s">
        <v>1675</v>
      </c>
      <c r="K1309" s="133"/>
      <c r="L1309" s="105"/>
      <c r="M1309" s="105"/>
      <c r="N1309" s="1"/>
      <c r="O1309" s="1"/>
      <c r="P1309" s="68"/>
    </row>
    <row r="1310">
      <c r="A1310" s="100">
        <v>1.7115796261E10</v>
      </c>
      <c r="B1310" s="186" t="s">
        <v>1679</v>
      </c>
      <c r="C1310" s="100" t="s">
        <v>97</v>
      </c>
      <c r="D1310" s="100">
        <v>1.0</v>
      </c>
      <c r="E1310" s="119">
        <v>60.0</v>
      </c>
      <c r="F1310" s="119">
        <f t="shared" si="202"/>
        <v>60</v>
      </c>
      <c r="G1310" s="119">
        <f t="shared" si="203"/>
        <v>20</v>
      </c>
      <c r="H1310" s="132" t="s">
        <v>1677</v>
      </c>
      <c r="I1310" s="1"/>
      <c r="J1310" s="104" t="s">
        <v>1675</v>
      </c>
      <c r="K1310" s="133"/>
      <c r="L1310" s="105"/>
      <c r="M1310" s="105"/>
      <c r="N1310" s="1"/>
      <c r="O1310" s="1"/>
      <c r="P1310" s="68"/>
    </row>
    <row r="1311">
      <c r="A1311" s="100">
        <v>7.27686141963E11</v>
      </c>
      <c r="B1311" s="186" t="s">
        <v>1680</v>
      </c>
      <c r="C1311" s="100" t="s">
        <v>97</v>
      </c>
      <c r="D1311" s="100">
        <v>1.0</v>
      </c>
      <c r="E1311" s="119">
        <v>60.0</v>
      </c>
      <c r="F1311" s="119">
        <f t="shared" si="202"/>
        <v>60</v>
      </c>
      <c r="G1311" s="119">
        <f t="shared" si="203"/>
        <v>20</v>
      </c>
      <c r="H1311" s="132" t="s">
        <v>1677</v>
      </c>
      <c r="I1311" s="1"/>
      <c r="J1311" s="104" t="s">
        <v>1675</v>
      </c>
      <c r="K1311" s="133"/>
      <c r="L1311" s="105"/>
      <c r="M1311" s="105"/>
      <c r="N1311" s="1"/>
      <c r="O1311" s="1"/>
      <c r="P1311" s="68"/>
    </row>
    <row r="1312">
      <c r="A1312" s="100">
        <v>7.27693405775E11</v>
      </c>
      <c r="B1312" s="186" t="s">
        <v>1681</v>
      </c>
      <c r="C1312" s="100" t="s">
        <v>97</v>
      </c>
      <c r="D1312" s="100">
        <v>1.0</v>
      </c>
      <c r="E1312" s="119">
        <v>75.0</v>
      </c>
      <c r="F1312" s="119">
        <f t="shared" si="202"/>
        <v>75</v>
      </c>
      <c r="G1312" s="119">
        <f t="shared" si="203"/>
        <v>25</v>
      </c>
      <c r="H1312" s="132" t="s">
        <v>1677</v>
      </c>
      <c r="I1312" s="1"/>
      <c r="J1312" s="104" t="s">
        <v>1675</v>
      </c>
      <c r="K1312" s="133"/>
      <c r="L1312" s="105"/>
      <c r="M1312" s="105"/>
      <c r="N1312" s="1"/>
      <c r="O1312" s="1"/>
      <c r="P1312" s="68"/>
    </row>
    <row r="1313">
      <c r="A1313" s="100">
        <v>7.36703746937E11</v>
      </c>
      <c r="B1313" s="186" t="s">
        <v>1682</v>
      </c>
      <c r="C1313" s="100" t="s">
        <v>97</v>
      </c>
      <c r="D1313" s="100">
        <v>1.0</v>
      </c>
      <c r="E1313" s="119">
        <v>44.95</v>
      </c>
      <c r="F1313" s="119">
        <f t="shared" si="202"/>
        <v>44.95</v>
      </c>
      <c r="G1313" s="119">
        <f t="shared" si="203"/>
        <v>14.98333333</v>
      </c>
      <c r="H1313" s="100" t="s">
        <v>1674</v>
      </c>
      <c r="I1313" s="1"/>
      <c r="J1313" s="104" t="s">
        <v>1675</v>
      </c>
      <c r="K1313" s="133"/>
      <c r="L1313" s="105"/>
      <c r="M1313" s="105"/>
      <c r="N1313" s="1"/>
      <c r="O1313" s="1"/>
      <c r="P1313" s="68"/>
    </row>
    <row r="1314">
      <c r="A1314" s="100">
        <v>7.36712684237E11</v>
      </c>
      <c r="B1314" s="186" t="s">
        <v>1683</v>
      </c>
      <c r="C1314" s="100" t="s">
        <v>97</v>
      </c>
      <c r="D1314" s="100">
        <v>1.0</v>
      </c>
      <c r="E1314" s="119">
        <v>44.95</v>
      </c>
      <c r="F1314" s="119">
        <f t="shared" si="202"/>
        <v>44.95</v>
      </c>
      <c r="G1314" s="119">
        <f t="shared" si="203"/>
        <v>14.98333333</v>
      </c>
      <c r="H1314" s="100" t="s">
        <v>1674</v>
      </c>
      <c r="I1314" s="1"/>
      <c r="J1314" s="104" t="s">
        <v>1675</v>
      </c>
      <c r="K1314" s="133"/>
      <c r="L1314" s="105"/>
      <c r="M1314" s="105"/>
      <c r="N1314" s="1"/>
      <c r="O1314" s="1"/>
      <c r="P1314" s="68"/>
    </row>
    <row r="1315">
      <c r="A1315" s="100">
        <v>7.36712868798E11</v>
      </c>
      <c r="B1315" s="186" t="s">
        <v>1684</v>
      </c>
      <c r="C1315" s="100" t="s">
        <v>97</v>
      </c>
      <c r="D1315" s="100">
        <v>1.0</v>
      </c>
      <c r="E1315" s="119">
        <v>70.0</v>
      </c>
      <c r="F1315" s="119">
        <f t="shared" si="202"/>
        <v>70</v>
      </c>
      <c r="G1315" s="119">
        <f t="shared" si="203"/>
        <v>23.33333333</v>
      </c>
      <c r="H1315" s="132" t="s">
        <v>1677</v>
      </c>
      <c r="I1315" s="1"/>
      <c r="J1315" s="104" t="s">
        <v>1675</v>
      </c>
      <c r="K1315" s="133"/>
      <c r="L1315" s="105"/>
      <c r="M1315" s="105"/>
      <c r="N1315" s="1"/>
      <c r="O1315" s="1"/>
      <c r="P1315" s="68"/>
    </row>
    <row r="1316">
      <c r="A1316" s="100">
        <v>7.36712869696E11</v>
      </c>
      <c r="B1316" s="186" t="s">
        <v>1685</v>
      </c>
      <c r="C1316" s="100" t="s">
        <v>97</v>
      </c>
      <c r="D1316" s="100">
        <v>1.0</v>
      </c>
      <c r="E1316" s="119">
        <v>59.49</v>
      </c>
      <c r="F1316" s="119">
        <f t="shared" si="202"/>
        <v>59.49</v>
      </c>
      <c r="G1316" s="119">
        <f t="shared" si="203"/>
        <v>19.83</v>
      </c>
      <c r="H1316" s="100" t="s">
        <v>1674</v>
      </c>
      <c r="I1316" s="1"/>
      <c r="J1316" s="104" t="s">
        <v>1675</v>
      </c>
      <c r="K1316" s="133"/>
      <c r="L1316" s="105"/>
      <c r="M1316" s="105"/>
      <c r="N1316" s="1"/>
      <c r="O1316" s="1"/>
      <c r="P1316" s="68"/>
    </row>
    <row r="1317">
      <c r="A1317" s="100">
        <v>7.36712899662E11</v>
      </c>
      <c r="B1317" s="186" t="s">
        <v>1686</v>
      </c>
      <c r="C1317" s="100" t="s">
        <v>97</v>
      </c>
      <c r="D1317" s="100">
        <v>1.0</v>
      </c>
      <c r="E1317" s="119">
        <v>69.95</v>
      </c>
      <c r="F1317" s="119">
        <f t="shared" si="202"/>
        <v>69.95</v>
      </c>
      <c r="G1317" s="119">
        <f t="shared" si="203"/>
        <v>23.31666667</v>
      </c>
      <c r="H1317" s="100" t="s">
        <v>1674</v>
      </c>
      <c r="I1317" s="1"/>
      <c r="J1317" s="104" t="s">
        <v>1675</v>
      </c>
      <c r="K1317" s="133"/>
      <c r="L1317" s="105"/>
      <c r="M1317" s="105"/>
      <c r="N1317" s="1"/>
      <c r="O1317" s="1"/>
      <c r="P1317" s="68"/>
    </row>
    <row r="1318">
      <c r="A1318" s="100">
        <v>7.36713645626E11</v>
      </c>
      <c r="B1318" s="186" t="s">
        <v>1687</v>
      </c>
      <c r="C1318" s="100" t="s">
        <v>97</v>
      </c>
      <c r="D1318" s="100">
        <v>1.0</v>
      </c>
      <c r="E1318" s="119">
        <v>80.0</v>
      </c>
      <c r="F1318" s="119">
        <f t="shared" si="202"/>
        <v>80</v>
      </c>
      <c r="G1318" s="119">
        <f t="shared" si="203"/>
        <v>26.66666667</v>
      </c>
      <c r="H1318" s="132" t="s">
        <v>1677</v>
      </c>
      <c r="I1318" s="1"/>
      <c r="J1318" s="104" t="s">
        <v>1675</v>
      </c>
      <c r="K1318" s="133"/>
      <c r="L1318" s="105"/>
      <c r="M1318" s="105"/>
      <c r="N1318" s="1"/>
      <c r="O1318" s="1"/>
      <c r="P1318" s="68"/>
    </row>
    <row r="1319">
      <c r="A1319" s="100">
        <v>7.36713751594E11</v>
      </c>
      <c r="B1319" s="186" t="s">
        <v>1688</v>
      </c>
      <c r="C1319" s="100" t="s">
        <v>97</v>
      </c>
      <c r="D1319" s="100">
        <v>1.0</v>
      </c>
      <c r="E1319" s="119">
        <v>60.0</v>
      </c>
      <c r="F1319" s="119">
        <f t="shared" si="202"/>
        <v>60</v>
      </c>
      <c r="G1319" s="119">
        <f t="shared" si="203"/>
        <v>20</v>
      </c>
      <c r="H1319" s="132" t="s">
        <v>1677</v>
      </c>
      <c r="I1319" s="1"/>
      <c r="J1319" s="104" t="s">
        <v>1675</v>
      </c>
      <c r="K1319" s="133"/>
      <c r="L1319" s="105"/>
      <c r="M1319" s="105"/>
      <c r="N1319" s="1"/>
      <c r="O1319" s="1"/>
      <c r="P1319" s="68"/>
    </row>
    <row r="1320">
      <c r="A1320" s="100">
        <v>7.36713929979E11</v>
      </c>
      <c r="B1320" s="186" t="s">
        <v>1689</v>
      </c>
      <c r="C1320" s="100" t="s">
        <v>97</v>
      </c>
      <c r="D1320" s="100">
        <v>1.0</v>
      </c>
      <c r="E1320" s="119">
        <v>80.0</v>
      </c>
      <c r="F1320" s="119">
        <f t="shared" si="202"/>
        <v>80</v>
      </c>
      <c r="G1320" s="119">
        <f t="shared" si="203"/>
        <v>26.66666667</v>
      </c>
      <c r="H1320" s="132" t="s">
        <v>1677</v>
      </c>
      <c r="I1320" s="1"/>
      <c r="J1320" s="104" t="s">
        <v>1675</v>
      </c>
      <c r="K1320" s="133"/>
      <c r="L1320" s="105"/>
      <c r="M1320" s="105"/>
      <c r="N1320" s="1"/>
      <c r="O1320" s="1"/>
      <c r="P1320" s="68"/>
    </row>
    <row r="1321">
      <c r="A1321" s="135" t="s">
        <v>865</v>
      </c>
      <c r="B1321" s="103" t="s">
        <v>1690</v>
      </c>
      <c r="C1321" s="100"/>
      <c r="D1321" s="100"/>
      <c r="E1321" s="119"/>
      <c r="F1321" s="119"/>
      <c r="G1321" s="119"/>
      <c r="H1321" s="100"/>
      <c r="I1321" s="1"/>
      <c r="J1321" s="104"/>
      <c r="K1321" s="133"/>
      <c r="L1321" s="105"/>
      <c r="M1321" s="105"/>
      <c r="N1321" s="1"/>
      <c r="O1321" s="1"/>
      <c r="P1321" s="68"/>
    </row>
    <row r="1322">
      <c r="A1322" s="134">
        <v>1.7119759699E10</v>
      </c>
      <c r="B1322" s="131" t="s">
        <v>1691</v>
      </c>
      <c r="C1322" s="100" t="s">
        <v>97</v>
      </c>
      <c r="D1322" s="100">
        <v>1.0</v>
      </c>
      <c r="E1322" s="119">
        <v>100.0</v>
      </c>
      <c r="F1322" s="119">
        <f t="shared" ref="F1322:F1326" si="204">E1322*D1322</f>
        <v>100</v>
      </c>
      <c r="G1322" s="119">
        <f t="shared" ref="G1322:G1326" si="205">F1322/3</f>
        <v>33.33333333</v>
      </c>
      <c r="H1322" s="100" t="s">
        <v>1674</v>
      </c>
      <c r="I1322" s="1"/>
      <c r="J1322" s="104" t="s">
        <v>1675</v>
      </c>
      <c r="K1322" s="133"/>
      <c r="L1322" s="105"/>
      <c r="M1322" s="105"/>
      <c r="N1322" s="1"/>
      <c r="O1322" s="1"/>
      <c r="P1322" s="68"/>
    </row>
    <row r="1323">
      <c r="A1323" s="134">
        <v>7.3670374692E11</v>
      </c>
      <c r="B1323" s="186" t="s">
        <v>1692</v>
      </c>
      <c r="C1323" s="100" t="s">
        <v>97</v>
      </c>
      <c r="D1323" s="100">
        <v>1.0</v>
      </c>
      <c r="E1323" s="119">
        <v>60.0</v>
      </c>
      <c r="F1323" s="119">
        <f t="shared" si="204"/>
        <v>60</v>
      </c>
      <c r="G1323" s="119">
        <f t="shared" si="205"/>
        <v>20</v>
      </c>
      <c r="H1323" s="132" t="s">
        <v>1677</v>
      </c>
      <c r="I1323" s="1"/>
      <c r="J1323" s="104" t="s">
        <v>1675</v>
      </c>
      <c r="K1323" s="133"/>
      <c r="L1323" s="105"/>
      <c r="M1323" s="105"/>
      <c r="N1323" s="1"/>
      <c r="O1323" s="1"/>
      <c r="P1323" s="68"/>
    </row>
    <row r="1324">
      <c r="A1324" s="134">
        <v>7.36712817086E11</v>
      </c>
      <c r="B1324" s="131" t="s">
        <v>1693</v>
      </c>
      <c r="C1324" s="100" t="s">
        <v>97</v>
      </c>
      <c r="D1324" s="100">
        <v>1.0</v>
      </c>
      <c r="E1324" s="119">
        <v>100.0</v>
      </c>
      <c r="F1324" s="119">
        <f t="shared" si="204"/>
        <v>100</v>
      </c>
      <c r="G1324" s="119">
        <f t="shared" si="205"/>
        <v>33.33333333</v>
      </c>
      <c r="H1324" s="132" t="s">
        <v>1677</v>
      </c>
      <c r="I1324" s="1"/>
      <c r="J1324" s="104" t="s">
        <v>1675</v>
      </c>
      <c r="K1324" s="133"/>
      <c r="L1324" s="105"/>
      <c r="M1324" s="105"/>
      <c r="N1324" s="1"/>
      <c r="O1324" s="1"/>
      <c r="P1324" s="68"/>
    </row>
    <row r="1325">
      <c r="A1325" s="134">
        <v>1.7114768795E10</v>
      </c>
      <c r="B1325" s="186" t="s">
        <v>1694</v>
      </c>
      <c r="C1325" s="100" t="s">
        <v>97</v>
      </c>
      <c r="D1325" s="100">
        <v>1.0</v>
      </c>
      <c r="E1325" s="119">
        <v>60.0</v>
      </c>
      <c r="F1325" s="119">
        <f t="shared" si="204"/>
        <v>60</v>
      </c>
      <c r="G1325" s="119">
        <f t="shared" si="205"/>
        <v>20</v>
      </c>
      <c r="H1325" s="132" t="s">
        <v>1677</v>
      </c>
      <c r="I1325" s="1"/>
      <c r="J1325" s="104" t="s">
        <v>1675</v>
      </c>
      <c r="K1325" s="133"/>
      <c r="L1325" s="105"/>
      <c r="M1325" s="105"/>
      <c r="N1325" s="1"/>
      <c r="O1325" s="1"/>
      <c r="P1325" s="68"/>
    </row>
    <row r="1326">
      <c r="A1326" s="134">
        <v>1.7114769037E10</v>
      </c>
      <c r="B1326" s="186" t="s">
        <v>1695</v>
      </c>
      <c r="C1326" s="100" t="s">
        <v>97</v>
      </c>
      <c r="D1326" s="100">
        <v>1.0</v>
      </c>
      <c r="E1326" s="119">
        <v>60.0</v>
      </c>
      <c r="F1326" s="119">
        <f t="shared" si="204"/>
        <v>60</v>
      </c>
      <c r="G1326" s="119">
        <f t="shared" si="205"/>
        <v>20</v>
      </c>
      <c r="H1326" s="132" t="s">
        <v>1677</v>
      </c>
      <c r="I1326" s="1"/>
      <c r="J1326" s="104" t="s">
        <v>1675</v>
      </c>
      <c r="K1326" s="133"/>
      <c r="L1326" s="105"/>
      <c r="M1326" s="105"/>
      <c r="N1326" s="1"/>
      <c r="O1326" s="1"/>
      <c r="P1326" s="68"/>
    </row>
    <row r="1327">
      <c r="A1327" s="135" t="s">
        <v>1396</v>
      </c>
      <c r="B1327" s="103" t="s">
        <v>1696</v>
      </c>
      <c r="C1327" s="100"/>
      <c r="D1327" s="100"/>
      <c r="E1327" s="119"/>
      <c r="F1327" s="119"/>
      <c r="G1327" s="119"/>
      <c r="H1327" s="100"/>
      <c r="I1327" s="1"/>
      <c r="J1327" s="104"/>
      <c r="K1327" s="133"/>
      <c r="L1327" s="105"/>
      <c r="M1327" s="105"/>
      <c r="N1327" s="1"/>
      <c r="O1327" s="1"/>
      <c r="P1327" s="68"/>
    </row>
    <row r="1328">
      <c r="A1328" s="134">
        <v>7.27686942409E11</v>
      </c>
      <c r="B1328" s="131" t="s">
        <v>1697</v>
      </c>
      <c r="C1328" s="100" t="s">
        <v>97</v>
      </c>
      <c r="D1328" s="100">
        <v>1.0</v>
      </c>
      <c r="E1328" s="119">
        <v>70.0</v>
      </c>
      <c r="F1328" s="119">
        <f t="shared" ref="F1328:F1329" si="206">E1328*D1328</f>
        <v>70</v>
      </c>
      <c r="G1328" s="119">
        <f t="shared" ref="G1328:G1329" si="207">F1328/3</f>
        <v>23.33333333</v>
      </c>
      <c r="H1328" s="100" t="s">
        <v>1674</v>
      </c>
      <c r="I1328" s="1"/>
      <c r="J1328" s="104" t="s">
        <v>1675</v>
      </c>
      <c r="K1328" s="133"/>
      <c r="L1328" s="105"/>
      <c r="M1328" s="105"/>
      <c r="N1328" s="1"/>
      <c r="O1328" s="1"/>
      <c r="P1328" s="68"/>
    </row>
    <row r="1329">
      <c r="A1329" s="134">
        <v>1.7115796162E10</v>
      </c>
      <c r="B1329" s="186" t="s">
        <v>1698</v>
      </c>
      <c r="C1329" s="100" t="s">
        <v>97</v>
      </c>
      <c r="D1329" s="100">
        <v>1.0</v>
      </c>
      <c r="E1329" s="119">
        <v>60.0</v>
      </c>
      <c r="F1329" s="119">
        <f t="shared" si="206"/>
        <v>60</v>
      </c>
      <c r="G1329" s="119">
        <f t="shared" si="207"/>
        <v>20</v>
      </c>
      <c r="H1329" s="132" t="s">
        <v>1677</v>
      </c>
      <c r="I1329" s="1"/>
      <c r="J1329" s="104" t="s">
        <v>1675</v>
      </c>
      <c r="K1329" s="133"/>
      <c r="L1329" s="105"/>
      <c r="M1329" s="105"/>
      <c r="N1329" s="1"/>
      <c r="O1329" s="1"/>
      <c r="P1329" s="68"/>
    </row>
    <row r="1330">
      <c r="A1330" s="135" t="s">
        <v>1699</v>
      </c>
      <c r="B1330" s="103" t="s">
        <v>1700</v>
      </c>
      <c r="C1330" s="100"/>
      <c r="D1330" s="100"/>
      <c r="E1330" s="119"/>
      <c r="F1330" s="119"/>
      <c r="G1330" s="119"/>
      <c r="H1330" s="100"/>
      <c r="I1330" s="1"/>
      <c r="J1330" s="104"/>
      <c r="K1330" s="133"/>
      <c r="L1330" s="105"/>
      <c r="M1330" s="105"/>
      <c r="N1330" s="1"/>
      <c r="O1330" s="1"/>
      <c r="P1330" s="68"/>
    </row>
    <row r="1331">
      <c r="A1331" s="112" t="s">
        <v>153</v>
      </c>
      <c r="B1331" s="112" t="s">
        <v>1701</v>
      </c>
      <c r="C1331" s="112" t="str">
        <f>MID($B1331,6,7)</f>
        <v>CL18270</v>
      </c>
      <c r="D1331" s="112"/>
      <c r="E1331" s="138"/>
      <c r="F1331" s="138"/>
      <c r="G1331" s="138"/>
      <c r="H1331" s="127">
        <v>44559.0</v>
      </c>
      <c r="I1331" s="1"/>
      <c r="J1331" s="104" t="str">
        <f>IF(LEFT(B1331,3)="Box","BOX","COUNT")</f>
        <v>BOX</v>
      </c>
      <c r="K1331" s="139">
        <f>SUMIF($J$20:$J$8689,$C1331,$D$20:$D$8689)</f>
        <v>21</v>
      </c>
      <c r="L1331" s="32">
        <f>SUMIF($J$20:$J$8689,$C1331,$F$20:$F$8689)</f>
        <v>1409.33</v>
      </c>
      <c r="M1331" s="32">
        <f>SUMIF($J$20:$J$8689,$C1331,$G$20:$G$8689)</f>
        <v>469.7766667</v>
      </c>
      <c r="N1331" s="1" t="str">
        <f>C1331</f>
        <v>CL18270</v>
      </c>
      <c r="O1331" s="1" t="str">
        <f>J1332</f>
        <v>SHIP</v>
      </c>
      <c r="P1331" s="68">
        <f>M1331</f>
        <v>469.7766667</v>
      </c>
      <c r="Q1331" s="168">
        <v>44501.0</v>
      </c>
      <c r="R1331" s="37" t="s">
        <v>1639</v>
      </c>
      <c r="S1331" s="37" t="s">
        <v>1640</v>
      </c>
    </row>
    <row r="1332">
      <c r="A1332" s="211">
        <v>44560.0</v>
      </c>
      <c r="B1332" s="140" t="s">
        <v>1702</v>
      </c>
      <c r="C1332" s="141"/>
      <c r="D1332" s="141"/>
      <c r="E1332" s="142"/>
      <c r="F1332" s="142"/>
      <c r="G1332" s="142"/>
      <c r="H1332" s="150"/>
      <c r="I1332" s="1"/>
      <c r="J1332" s="104" t="str">
        <f>IF(B1332="","NSHIP","SHIP")</f>
        <v>SHIP</v>
      </c>
      <c r="K1332" s="139">
        <f>IF($J1332="NSHIP",0,-SUMIF($J$20:$J$8689,$C1331,$D$20:$D$8689))</f>
        <v>-21</v>
      </c>
      <c r="L1332" s="32">
        <f>IF($J1332="NSHIP",0,-SUMIF($J$20:$J$8687,$C1331,$F$20:$F$8687))</f>
        <v>-1409.33</v>
      </c>
      <c r="M1332" s="32">
        <f>IF($J1332="NSHIP",0,-SUMIF($J$20:$J$8687,$C1331,$G$20:$G$8687))</f>
        <v>-469.7766667</v>
      </c>
      <c r="N1332" s="1"/>
      <c r="O1332" s="1"/>
      <c r="P1332" s="68"/>
    </row>
    <row r="1333">
      <c r="A1333" s="100">
        <v>1.7114768245E10</v>
      </c>
      <c r="B1333" s="131" t="s">
        <v>1703</v>
      </c>
      <c r="C1333" s="100" t="s">
        <v>97</v>
      </c>
      <c r="D1333" s="100">
        <v>1.0</v>
      </c>
      <c r="E1333" s="119">
        <v>60.0</v>
      </c>
      <c r="F1333" s="119">
        <f t="shared" ref="F1333:F1335" si="208">E1333*D1333</f>
        <v>60</v>
      </c>
      <c r="G1333" s="119">
        <f t="shared" ref="G1333:G1335" si="209">F1333/3</f>
        <v>20</v>
      </c>
      <c r="H1333" s="100" t="s">
        <v>1677</v>
      </c>
      <c r="J1333" s="120" t="s">
        <v>53</v>
      </c>
      <c r="K1333" s="99"/>
      <c r="L1333" s="50"/>
      <c r="M1333" s="50"/>
      <c r="P1333" s="68"/>
    </row>
    <row r="1334">
      <c r="A1334" s="100">
        <v>7.27683830389E11</v>
      </c>
      <c r="B1334" s="131" t="s">
        <v>1704</v>
      </c>
      <c r="C1334" s="100" t="s">
        <v>97</v>
      </c>
      <c r="D1334" s="100">
        <v>1.0</v>
      </c>
      <c r="E1334" s="119">
        <v>60.0</v>
      </c>
      <c r="F1334" s="119">
        <f t="shared" si="208"/>
        <v>60</v>
      </c>
      <c r="G1334" s="119">
        <f t="shared" si="209"/>
        <v>20</v>
      </c>
      <c r="H1334" s="100" t="s">
        <v>1677</v>
      </c>
      <c r="J1334" s="120" t="s">
        <v>53</v>
      </c>
      <c r="K1334" s="99"/>
      <c r="L1334" s="50"/>
      <c r="M1334" s="50"/>
      <c r="P1334" s="68"/>
    </row>
    <row r="1335">
      <c r="A1335" s="100">
        <v>7.36703040233E11</v>
      </c>
      <c r="B1335" s="131" t="s">
        <v>1705</v>
      </c>
      <c r="C1335" s="100" t="s">
        <v>97</v>
      </c>
      <c r="D1335" s="100">
        <v>1.0</v>
      </c>
      <c r="E1335" s="119">
        <v>60.0</v>
      </c>
      <c r="F1335" s="119">
        <f t="shared" si="208"/>
        <v>60</v>
      </c>
      <c r="G1335" s="119">
        <f t="shared" si="209"/>
        <v>20</v>
      </c>
      <c r="H1335" s="100" t="s">
        <v>1677</v>
      </c>
      <c r="J1335" s="120" t="s">
        <v>53</v>
      </c>
      <c r="K1335" s="99"/>
      <c r="L1335" s="50"/>
      <c r="M1335" s="50"/>
      <c r="P1335" s="68"/>
    </row>
    <row r="1336">
      <c r="A1336" s="144" t="s">
        <v>697</v>
      </c>
      <c r="B1336" s="152" t="s">
        <v>1706</v>
      </c>
      <c r="C1336" s="146"/>
      <c r="D1336" s="146"/>
      <c r="E1336" s="146"/>
      <c r="F1336" s="146"/>
      <c r="G1336" s="146"/>
      <c r="H1336" s="148"/>
      <c r="J1336" s="108"/>
      <c r="K1336" s="99"/>
      <c r="L1336" s="50"/>
      <c r="M1336" s="50"/>
      <c r="P1336" s="68"/>
    </row>
    <row r="1337">
      <c r="A1337" s="112" t="s">
        <v>224</v>
      </c>
      <c r="B1337" s="112" t="s">
        <v>1707</v>
      </c>
      <c r="C1337" s="112" t="str">
        <f>MID($B1337,6,7)</f>
        <v>CL18271</v>
      </c>
      <c r="D1337" s="112"/>
      <c r="E1337" s="112"/>
      <c r="F1337" s="112"/>
      <c r="G1337" s="112"/>
      <c r="H1337" s="127">
        <v>44559.0</v>
      </c>
      <c r="J1337" s="108" t="str">
        <f>IF(LEFT(B1337,3)="Box","BOX","COUNT")</f>
        <v>BOX</v>
      </c>
      <c r="K1337" s="99">
        <f>SUMIF($J$4:$J$8712,$C1337,$D$4:$D$8712)</f>
        <v>3</v>
      </c>
      <c r="L1337" s="50">
        <f>SUMIF($J$4:$J$8712,$C1337,$F$4:$F$8712)</f>
        <v>180</v>
      </c>
      <c r="M1337" s="50">
        <f>SUMIF($J$4:$J$8712,$C1337,$G$4:$G$8712)</f>
        <v>60</v>
      </c>
      <c r="N1337" s="70" t="str">
        <f>C1337</f>
        <v>CL18271</v>
      </c>
      <c r="O1337" s="70" t="str">
        <f>J1338</f>
        <v>SHIP</v>
      </c>
      <c r="P1337" s="68">
        <f>M1337</f>
        <v>60</v>
      </c>
      <c r="Q1337" s="168">
        <v>44501.0</v>
      </c>
      <c r="R1337" s="37" t="s">
        <v>1639</v>
      </c>
      <c r="S1337" s="37" t="s">
        <v>1640</v>
      </c>
    </row>
    <row r="1338">
      <c r="A1338" s="211">
        <v>44560.0</v>
      </c>
      <c r="B1338" s="112" t="s">
        <v>1708</v>
      </c>
      <c r="C1338" s="141"/>
      <c r="D1338" s="141"/>
      <c r="E1338" s="142"/>
      <c r="F1338" s="142"/>
      <c r="G1338" s="142"/>
      <c r="H1338" s="150"/>
      <c r="J1338" s="108" t="str">
        <f>IF(B1338="","NSHIP","SHIP")</f>
        <v>SHIP</v>
      </c>
      <c r="K1338" s="99">
        <f>IF($J1338="NSHIP",0,-SUMIF($J$4:$J$8712,$C1337,$D$4:$D$8712))</f>
        <v>-3</v>
      </c>
      <c r="L1338" s="50">
        <f>IF($J1338="NSHIP",0,-SUMIF($J$4:$J$8710,$C1337,$F$4:$F$8710))</f>
        <v>-180</v>
      </c>
      <c r="M1338" s="50">
        <f>IF($J1338="NSHIP",0,-SUMIF($J$4:$J$8710,$C1337,$G$4:$G$8710))</f>
        <v>-60</v>
      </c>
      <c r="P1338" s="68"/>
    </row>
    <row r="1339">
      <c r="A1339" s="95">
        <v>1.93073001217E11</v>
      </c>
      <c r="B1339" s="151" t="s">
        <v>1709</v>
      </c>
      <c r="C1339" s="95" t="s">
        <v>97</v>
      </c>
      <c r="D1339" s="95">
        <v>1.0</v>
      </c>
      <c r="E1339" s="101">
        <v>100.0</v>
      </c>
      <c r="F1339" s="101">
        <f t="shared" ref="F1339:F1343" si="210">E1339*D1339</f>
        <v>100</v>
      </c>
      <c r="G1339" s="101">
        <f t="shared" ref="G1339:G1343" si="211">F1339/3</f>
        <v>33.33333333</v>
      </c>
      <c r="H1339" s="95" t="s">
        <v>1710</v>
      </c>
      <c r="J1339" s="120" t="s">
        <v>1711</v>
      </c>
      <c r="K1339" s="99"/>
      <c r="L1339" s="50"/>
      <c r="M1339" s="50"/>
      <c r="P1339" s="68"/>
    </row>
    <row r="1340">
      <c r="A1340" s="95">
        <v>1.93073370412E11</v>
      </c>
      <c r="B1340" s="151" t="s">
        <v>1712</v>
      </c>
      <c r="C1340" s="95" t="s">
        <v>97</v>
      </c>
      <c r="D1340" s="95">
        <v>1.0</v>
      </c>
      <c r="E1340" s="101">
        <v>125.0</v>
      </c>
      <c r="F1340" s="101">
        <f t="shared" si="210"/>
        <v>125</v>
      </c>
      <c r="G1340" s="101">
        <f t="shared" si="211"/>
        <v>41.66666667</v>
      </c>
      <c r="H1340" s="95" t="s">
        <v>1710</v>
      </c>
      <c r="J1340" s="120" t="s">
        <v>1711</v>
      </c>
      <c r="K1340" s="99"/>
      <c r="L1340" s="50"/>
      <c r="M1340" s="50"/>
      <c r="P1340" s="68"/>
    </row>
    <row r="1341">
      <c r="A1341" s="95">
        <v>8.89885806958E11</v>
      </c>
      <c r="B1341" s="151" t="s">
        <v>1713</v>
      </c>
      <c r="C1341" s="95" t="s">
        <v>97</v>
      </c>
      <c r="D1341" s="95">
        <v>1.0</v>
      </c>
      <c r="E1341" s="101">
        <v>110.0</v>
      </c>
      <c r="F1341" s="101">
        <f t="shared" si="210"/>
        <v>110</v>
      </c>
      <c r="G1341" s="101">
        <f t="shared" si="211"/>
        <v>36.66666667</v>
      </c>
      <c r="H1341" s="95" t="s">
        <v>1710</v>
      </c>
      <c r="J1341" s="120" t="s">
        <v>1711</v>
      </c>
      <c r="K1341" s="99"/>
      <c r="L1341" s="50"/>
      <c r="M1341" s="50"/>
      <c r="P1341" s="68"/>
    </row>
    <row r="1342">
      <c r="A1342" s="95">
        <v>8.89885808334E11</v>
      </c>
      <c r="B1342" s="151" t="s">
        <v>1714</v>
      </c>
      <c r="C1342" s="95" t="s">
        <v>97</v>
      </c>
      <c r="D1342" s="95">
        <v>1.0</v>
      </c>
      <c r="E1342" s="101">
        <v>110.0</v>
      </c>
      <c r="F1342" s="101">
        <f t="shared" si="210"/>
        <v>110</v>
      </c>
      <c r="G1342" s="101">
        <f t="shared" si="211"/>
        <v>36.66666667</v>
      </c>
      <c r="H1342" s="95" t="s">
        <v>1710</v>
      </c>
      <c r="J1342" s="120" t="s">
        <v>1711</v>
      </c>
      <c r="K1342" s="99"/>
      <c r="L1342" s="50"/>
      <c r="M1342" s="50"/>
      <c r="P1342" s="68"/>
    </row>
    <row r="1343">
      <c r="A1343" s="95">
        <v>8.89885853495E11</v>
      </c>
      <c r="B1343" s="151" t="s">
        <v>1715</v>
      </c>
      <c r="C1343" s="95" t="s">
        <v>97</v>
      </c>
      <c r="D1343" s="95">
        <v>1.0</v>
      </c>
      <c r="E1343" s="101">
        <v>100.0</v>
      </c>
      <c r="F1343" s="101">
        <f t="shared" si="210"/>
        <v>100</v>
      </c>
      <c r="G1343" s="101">
        <f t="shared" si="211"/>
        <v>33.33333333</v>
      </c>
      <c r="H1343" s="95" t="s">
        <v>1710</v>
      </c>
      <c r="J1343" s="120" t="s">
        <v>1711</v>
      </c>
      <c r="K1343" s="99"/>
      <c r="L1343" s="50"/>
      <c r="M1343" s="50"/>
      <c r="P1343" s="68"/>
    </row>
    <row r="1344">
      <c r="A1344" s="152" t="s">
        <v>217</v>
      </c>
      <c r="B1344" s="122" t="s">
        <v>1716</v>
      </c>
      <c r="C1344" s="153"/>
      <c r="D1344" s="154"/>
      <c r="E1344" s="154"/>
      <c r="F1344" s="154"/>
      <c r="G1344" s="154"/>
      <c r="H1344" s="155"/>
      <c r="I1344" s="98"/>
      <c r="J1344" s="156"/>
      <c r="K1344" s="157"/>
      <c r="L1344" s="158"/>
      <c r="M1344" s="158"/>
      <c r="N1344" s="98"/>
      <c r="O1344" s="98"/>
      <c r="P1344" s="68"/>
      <c r="Q1344" s="98"/>
      <c r="R1344" s="98"/>
      <c r="S1344" s="98"/>
      <c r="T1344" s="98"/>
      <c r="U1344" s="98"/>
      <c r="V1344" s="98"/>
      <c r="W1344" s="98"/>
      <c r="X1344" s="98"/>
      <c r="Y1344" s="98"/>
      <c r="Z1344" s="98"/>
    </row>
    <row r="1345">
      <c r="A1345" s="95">
        <v>8.89885858445E11</v>
      </c>
      <c r="B1345" s="151" t="s">
        <v>1717</v>
      </c>
      <c r="C1345" s="95" t="s">
        <v>97</v>
      </c>
      <c r="D1345" s="95">
        <v>1.0</v>
      </c>
      <c r="E1345" s="101">
        <v>90.0</v>
      </c>
      <c r="F1345" s="101">
        <f t="shared" ref="F1345:F1346" si="212">E1345*D1345</f>
        <v>90</v>
      </c>
      <c r="G1345" s="101">
        <f t="shared" ref="G1345:G1346" si="213">F1345/3</f>
        <v>30</v>
      </c>
      <c r="H1345" s="95" t="s">
        <v>1710</v>
      </c>
      <c r="J1345" s="120" t="s">
        <v>1711</v>
      </c>
      <c r="K1345" s="99"/>
      <c r="L1345" s="50"/>
      <c r="M1345" s="50"/>
      <c r="P1345" s="68"/>
    </row>
    <row r="1346">
      <c r="A1346" s="95">
        <v>1.93073219988E11</v>
      </c>
      <c r="B1346" s="151" t="s">
        <v>1718</v>
      </c>
      <c r="C1346" s="95" t="s">
        <v>97</v>
      </c>
      <c r="D1346" s="95">
        <v>1.0</v>
      </c>
      <c r="E1346" s="101">
        <v>85.0</v>
      </c>
      <c r="F1346" s="101">
        <f t="shared" si="212"/>
        <v>85</v>
      </c>
      <c r="G1346" s="101">
        <f t="shared" si="213"/>
        <v>28.33333333</v>
      </c>
      <c r="H1346" s="95" t="s">
        <v>1710</v>
      </c>
      <c r="J1346" s="120" t="s">
        <v>1711</v>
      </c>
      <c r="K1346" s="99"/>
      <c r="L1346" s="50"/>
      <c r="M1346" s="50"/>
      <c r="P1346" s="68"/>
    </row>
    <row r="1347">
      <c r="A1347" s="152" t="s">
        <v>265</v>
      </c>
      <c r="B1347" s="122" t="s">
        <v>1719</v>
      </c>
      <c r="C1347" s="153"/>
      <c r="D1347" s="154"/>
      <c r="E1347" s="154"/>
      <c r="F1347" s="154"/>
      <c r="G1347" s="154"/>
      <c r="H1347" s="155"/>
      <c r="I1347" s="98"/>
      <c r="J1347" s="156"/>
      <c r="K1347" s="157"/>
      <c r="L1347" s="158"/>
      <c r="M1347" s="158"/>
      <c r="N1347" s="98"/>
      <c r="O1347" s="98"/>
      <c r="P1347" s="68"/>
      <c r="Q1347" s="98"/>
      <c r="R1347" s="98"/>
      <c r="S1347" s="98"/>
      <c r="T1347" s="98"/>
      <c r="U1347" s="98"/>
      <c r="V1347" s="98"/>
      <c r="W1347" s="98"/>
      <c r="X1347" s="98"/>
      <c r="Y1347" s="98"/>
      <c r="Z1347" s="98"/>
    </row>
    <row r="1348">
      <c r="A1348" s="95">
        <v>1.93073295517E11</v>
      </c>
      <c r="B1348" s="151" t="s">
        <v>1720</v>
      </c>
      <c r="C1348" s="95" t="s">
        <v>97</v>
      </c>
      <c r="D1348" s="95">
        <v>1.0</v>
      </c>
      <c r="E1348" s="101">
        <v>99.95</v>
      </c>
      <c r="F1348" s="101">
        <f>E1348*D1348</f>
        <v>99.95</v>
      </c>
      <c r="G1348" s="101">
        <f>F1348/3</f>
        <v>33.31666667</v>
      </c>
      <c r="H1348" s="95" t="s">
        <v>1721</v>
      </c>
      <c r="J1348" s="120" t="s">
        <v>1711</v>
      </c>
      <c r="K1348" s="99"/>
      <c r="L1348" s="50"/>
      <c r="M1348" s="50"/>
      <c r="P1348" s="68"/>
    </row>
    <row r="1349">
      <c r="A1349" s="152" t="s">
        <v>1630</v>
      </c>
      <c r="B1349" s="122" t="s">
        <v>1722</v>
      </c>
      <c r="C1349" s="153"/>
      <c r="D1349" s="154"/>
      <c r="E1349" s="154"/>
      <c r="F1349" s="154"/>
      <c r="G1349" s="154"/>
      <c r="H1349" s="155"/>
      <c r="I1349" s="98"/>
      <c r="J1349" s="156"/>
      <c r="K1349" s="157"/>
      <c r="L1349" s="158"/>
      <c r="M1349" s="158"/>
      <c r="N1349" s="98"/>
      <c r="O1349" s="98"/>
      <c r="P1349" s="68"/>
      <c r="Q1349" s="98"/>
      <c r="R1349" s="98"/>
      <c r="S1349" s="98"/>
      <c r="T1349" s="98"/>
      <c r="U1349" s="98"/>
      <c r="V1349" s="98"/>
      <c r="W1349" s="98"/>
      <c r="X1349" s="98"/>
      <c r="Y1349" s="98"/>
      <c r="Z1349" s="98"/>
    </row>
    <row r="1350">
      <c r="A1350" s="111" t="s">
        <v>267</v>
      </c>
      <c r="B1350" s="111" t="s">
        <v>1723</v>
      </c>
      <c r="C1350" s="112" t="str">
        <f>MID($B1350,6,7)</f>
        <v>CL18272</v>
      </c>
      <c r="D1350" s="111"/>
      <c r="E1350" s="111"/>
      <c r="F1350" s="111"/>
      <c r="G1350" s="111"/>
      <c r="H1350" s="113">
        <v>44559.0</v>
      </c>
      <c r="I1350" s="159"/>
      <c r="J1350" s="160" t="str">
        <f>IF(LEFT(B1350,3)="Box","BOX","COUNT")</f>
        <v>BOX</v>
      </c>
      <c r="K1350" s="161">
        <f>SUMIF($J$4:$J$8712,$C1350,$D$4:$D$8712)</f>
        <v>8</v>
      </c>
      <c r="L1350" s="162">
        <f>SUMIF($J$4:$J$8712,$C1350,$F$4:$F$8712)</f>
        <v>819.95</v>
      </c>
      <c r="M1350" s="162">
        <f>SUMIF($J$4:$J$8712,$C1350,$G$4:$G$8712)</f>
        <v>273.3166667</v>
      </c>
      <c r="N1350" s="159" t="str">
        <f>C1350</f>
        <v>CL18272</v>
      </c>
      <c r="O1350" s="159" t="str">
        <f>J1351</f>
        <v>SHIP</v>
      </c>
      <c r="P1350" s="68">
        <f>M1350</f>
        <v>273.3166667</v>
      </c>
      <c r="Q1350" s="168">
        <v>44501.0</v>
      </c>
      <c r="R1350" s="37" t="s">
        <v>1639</v>
      </c>
      <c r="S1350" s="37" t="s">
        <v>1640</v>
      </c>
      <c r="T1350" s="159"/>
      <c r="U1350" s="159"/>
      <c r="V1350" s="159"/>
      <c r="W1350" s="159"/>
      <c r="X1350" s="159"/>
      <c r="Y1350" s="159"/>
      <c r="Z1350" s="159"/>
    </row>
    <row r="1351">
      <c r="A1351" s="211"/>
      <c r="B1351" s="111" t="s">
        <v>1724</v>
      </c>
      <c r="C1351" s="109"/>
      <c r="D1351" s="109"/>
      <c r="E1351" s="116"/>
      <c r="F1351" s="116"/>
      <c r="G1351" s="116"/>
      <c r="H1351" s="109"/>
      <c r="J1351" s="108" t="str">
        <f>IF(B1351="","NSHIP","SHIP")</f>
        <v>SHIP</v>
      </c>
      <c r="K1351" s="99">
        <f>IF($J1351="NSHIP",0,-SUMIF($J$4:$J$8712,$C1350,$D$4:$D$8712))</f>
        <v>-8</v>
      </c>
      <c r="L1351" s="50">
        <f>IF($J1351="NSHIP",0,-SUMIF($J$4:$J$8710,$C1350,$F$4:$F$8710))</f>
        <v>-819.95</v>
      </c>
      <c r="M1351" s="50">
        <f>IF($J1351="NSHIP",0,-SUMIF($J$4:$J$8710,$C1350,$G$4:$G$8710))</f>
        <v>-273.3166667</v>
      </c>
      <c r="P1351" s="68"/>
    </row>
    <row r="1352">
      <c r="A1352" s="95">
        <v>1.93408560822E11</v>
      </c>
      <c r="B1352" s="151" t="s">
        <v>1725</v>
      </c>
      <c r="C1352" s="95" t="s">
        <v>97</v>
      </c>
      <c r="D1352" s="95">
        <v>1.0</v>
      </c>
      <c r="E1352" s="101">
        <v>99.99</v>
      </c>
      <c r="F1352" s="101">
        <f t="shared" ref="F1352:F1361" si="214">E1352*D1352</f>
        <v>99.99</v>
      </c>
      <c r="G1352" s="101">
        <f t="shared" ref="G1352:G1361" si="215">F1352/3</f>
        <v>33.33</v>
      </c>
      <c r="H1352" s="95" t="s">
        <v>1726</v>
      </c>
      <c r="J1352" s="120" t="s">
        <v>1727</v>
      </c>
      <c r="K1352" s="99"/>
      <c r="L1352" s="50"/>
      <c r="M1352" s="50"/>
      <c r="P1352" s="68"/>
    </row>
    <row r="1353">
      <c r="A1353" s="95">
        <v>1.94068950121E11</v>
      </c>
      <c r="B1353" s="151" t="s">
        <v>1728</v>
      </c>
      <c r="C1353" s="95" t="s">
        <v>97</v>
      </c>
      <c r="D1353" s="95">
        <v>1.0</v>
      </c>
      <c r="E1353" s="101">
        <v>112.0</v>
      </c>
      <c r="F1353" s="101">
        <f t="shared" si="214"/>
        <v>112</v>
      </c>
      <c r="G1353" s="101">
        <f t="shared" si="215"/>
        <v>37.33333333</v>
      </c>
      <c r="H1353" s="95" t="s">
        <v>1729</v>
      </c>
      <c r="J1353" s="120" t="s">
        <v>1727</v>
      </c>
      <c r="K1353" s="99"/>
      <c r="L1353" s="50"/>
      <c r="M1353" s="50"/>
      <c r="P1353" s="68"/>
    </row>
    <row r="1354">
      <c r="A1354" s="95">
        <v>1.94068950145E11</v>
      </c>
      <c r="B1354" s="151" t="s">
        <v>1728</v>
      </c>
      <c r="C1354" s="95" t="s">
        <v>97</v>
      </c>
      <c r="D1354" s="95">
        <v>1.0</v>
      </c>
      <c r="E1354" s="101">
        <v>112.0</v>
      </c>
      <c r="F1354" s="101">
        <f t="shared" si="214"/>
        <v>112</v>
      </c>
      <c r="G1354" s="101">
        <f t="shared" si="215"/>
        <v>37.33333333</v>
      </c>
      <c r="H1354" s="95" t="s">
        <v>1729</v>
      </c>
      <c r="J1354" s="120" t="s">
        <v>1727</v>
      </c>
      <c r="K1354" s="99"/>
      <c r="L1354" s="50"/>
      <c r="M1354" s="50"/>
      <c r="P1354" s="68"/>
    </row>
    <row r="1355">
      <c r="A1355" s="95">
        <v>1.94068950152E11</v>
      </c>
      <c r="B1355" s="151" t="s">
        <v>1728</v>
      </c>
      <c r="C1355" s="95" t="s">
        <v>97</v>
      </c>
      <c r="D1355" s="95">
        <v>1.0</v>
      </c>
      <c r="E1355" s="101">
        <v>112.0</v>
      </c>
      <c r="F1355" s="101">
        <f t="shared" si="214"/>
        <v>112</v>
      </c>
      <c r="G1355" s="101">
        <f t="shared" si="215"/>
        <v>37.33333333</v>
      </c>
      <c r="H1355" s="95" t="s">
        <v>1729</v>
      </c>
      <c r="J1355" s="120" t="s">
        <v>1727</v>
      </c>
      <c r="K1355" s="99"/>
      <c r="L1355" s="50"/>
      <c r="M1355" s="50"/>
      <c r="P1355" s="68"/>
    </row>
    <row r="1356">
      <c r="A1356" s="95">
        <v>1.94068950169E11</v>
      </c>
      <c r="B1356" s="151" t="s">
        <v>1728</v>
      </c>
      <c r="C1356" s="95" t="s">
        <v>97</v>
      </c>
      <c r="D1356" s="95">
        <v>1.0</v>
      </c>
      <c r="E1356" s="101">
        <v>112.0</v>
      </c>
      <c r="F1356" s="101">
        <f t="shared" si="214"/>
        <v>112</v>
      </c>
      <c r="G1356" s="101">
        <f t="shared" si="215"/>
        <v>37.33333333</v>
      </c>
      <c r="H1356" s="95" t="s">
        <v>1729</v>
      </c>
      <c r="J1356" s="120" t="s">
        <v>1727</v>
      </c>
      <c r="K1356" s="99"/>
      <c r="L1356" s="50"/>
      <c r="M1356" s="50"/>
      <c r="P1356" s="68"/>
    </row>
    <row r="1357">
      <c r="A1357" s="95">
        <v>1.94068950176E11</v>
      </c>
      <c r="B1357" s="151" t="s">
        <v>1728</v>
      </c>
      <c r="C1357" s="95" t="s">
        <v>97</v>
      </c>
      <c r="D1357" s="95">
        <v>2.0</v>
      </c>
      <c r="E1357" s="101">
        <v>112.0</v>
      </c>
      <c r="F1357" s="101">
        <f t="shared" si="214"/>
        <v>224</v>
      </c>
      <c r="G1357" s="101">
        <f t="shared" si="215"/>
        <v>74.66666667</v>
      </c>
      <c r="H1357" s="95" t="s">
        <v>1729</v>
      </c>
      <c r="J1357" s="120" t="s">
        <v>1727</v>
      </c>
      <c r="K1357" s="99"/>
      <c r="L1357" s="50"/>
      <c r="M1357" s="50"/>
      <c r="P1357" s="68"/>
    </row>
    <row r="1358">
      <c r="A1358" s="95">
        <v>1.94068950213E11</v>
      </c>
      <c r="B1358" s="151" t="s">
        <v>1728</v>
      </c>
      <c r="C1358" s="95" t="s">
        <v>97</v>
      </c>
      <c r="D1358" s="95">
        <v>1.0</v>
      </c>
      <c r="E1358" s="101">
        <v>112.0</v>
      </c>
      <c r="F1358" s="101">
        <f t="shared" si="214"/>
        <v>112</v>
      </c>
      <c r="G1358" s="101">
        <f t="shared" si="215"/>
        <v>37.33333333</v>
      </c>
      <c r="H1358" s="95" t="s">
        <v>1729</v>
      </c>
      <c r="J1358" s="120" t="s">
        <v>1727</v>
      </c>
      <c r="K1358" s="99"/>
      <c r="L1358" s="50"/>
      <c r="M1358" s="50"/>
      <c r="P1358" s="68"/>
    </row>
    <row r="1359">
      <c r="A1359" s="95">
        <v>1.95189008999E11</v>
      </c>
      <c r="B1359" s="151" t="s">
        <v>1730</v>
      </c>
      <c r="C1359" s="95" t="s">
        <v>97</v>
      </c>
      <c r="D1359" s="95">
        <v>1.0</v>
      </c>
      <c r="E1359" s="101">
        <v>69.95</v>
      </c>
      <c r="F1359" s="101">
        <f t="shared" si="214"/>
        <v>69.95</v>
      </c>
      <c r="G1359" s="101">
        <f t="shared" si="215"/>
        <v>23.31666667</v>
      </c>
      <c r="H1359" s="95" t="s">
        <v>1726</v>
      </c>
      <c r="J1359" s="120" t="s">
        <v>1727</v>
      </c>
      <c r="K1359" s="99"/>
      <c r="L1359" s="50"/>
      <c r="M1359" s="50"/>
      <c r="P1359" s="68"/>
    </row>
    <row r="1360">
      <c r="A1360" s="95">
        <v>1.95189575804E11</v>
      </c>
      <c r="B1360" s="151" t="s">
        <v>1731</v>
      </c>
      <c r="C1360" s="95" t="s">
        <v>97</v>
      </c>
      <c r="D1360" s="95">
        <v>1.0</v>
      </c>
      <c r="E1360" s="101">
        <v>69.0</v>
      </c>
      <c r="F1360" s="101">
        <f t="shared" si="214"/>
        <v>69</v>
      </c>
      <c r="G1360" s="101">
        <f t="shared" si="215"/>
        <v>23</v>
      </c>
      <c r="H1360" s="95" t="s">
        <v>1729</v>
      </c>
      <c r="J1360" s="120" t="s">
        <v>1727</v>
      </c>
      <c r="K1360" s="99"/>
      <c r="L1360" s="50"/>
      <c r="M1360" s="50"/>
      <c r="P1360" s="68"/>
    </row>
    <row r="1361">
      <c r="A1361" s="95">
        <v>8.24095427081E11</v>
      </c>
      <c r="B1361" s="151" t="s">
        <v>1732</v>
      </c>
      <c r="C1361" s="95" t="s">
        <v>97</v>
      </c>
      <c r="D1361" s="95">
        <v>1.0</v>
      </c>
      <c r="E1361" s="101">
        <v>69.0</v>
      </c>
      <c r="F1361" s="101">
        <f t="shared" si="214"/>
        <v>69</v>
      </c>
      <c r="G1361" s="101">
        <f t="shared" si="215"/>
        <v>23</v>
      </c>
      <c r="H1361" s="95" t="s">
        <v>1729</v>
      </c>
      <c r="J1361" s="120" t="s">
        <v>1727</v>
      </c>
      <c r="K1361" s="99"/>
      <c r="L1361" s="50"/>
      <c r="M1361" s="50"/>
      <c r="P1361" s="68"/>
    </row>
    <row r="1362">
      <c r="A1362" s="228"/>
      <c r="B1362" s="228" t="s">
        <v>1733</v>
      </c>
      <c r="C1362" s="229" t="str">
        <f>MID($B1362,6,7)</f>
        <v>CL18273</v>
      </c>
      <c r="D1362" s="228"/>
      <c r="E1362" s="228"/>
      <c r="F1362" s="228"/>
      <c r="G1362" s="228"/>
      <c r="H1362" s="230">
        <v>44559.0</v>
      </c>
      <c r="J1362" s="108" t="str">
        <f>IF(LEFT(B1362,3)="Box","BOX","COUNT")</f>
        <v>BOX</v>
      </c>
      <c r="K1362" s="99">
        <f>SUMIF($J$4:$J$8712,$C1362,$D$4:$D$8712)</f>
        <v>11</v>
      </c>
      <c r="L1362" s="50">
        <f>SUMIF($J$4:$J$8712,$C1362,$F$4:$F$8712)</f>
        <v>1091.94</v>
      </c>
      <c r="M1362" s="50">
        <f>SUMIF($J$4:$J$8712,$C1362,$G$4:$G$8712)</f>
        <v>363.98</v>
      </c>
      <c r="N1362" s="70" t="str">
        <f>C1362</f>
        <v>CL18273</v>
      </c>
      <c r="O1362" s="70" t="str">
        <f>J1363</f>
        <v>NSHIP</v>
      </c>
      <c r="P1362" s="68">
        <f>M1362</f>
        <v>363.98</v>
      </c>
      <c r="T1362" s="37" t="s">
        <v>1734</v>
      </c>
    </row>
    <row r="1363">
      <c r="A1363" s="211"/>
      <c r="B1363" s="231"/>
      <c r="C1363" s="109"/>
      <c r="D1363" s="109"/>
      <c r="E1363" s="116"/>
      <c r="F1363" s="116"/>
      <c r="G1363" s="116"/>
      <c r="H1363" s="109"/>
      <c r="J1363" s="108" t="str">
        <f>IF(B1363="","NSHIP","SHIP")</f>
        <v>NSHIP</v>
      </c>
      <c r="K1363" s="99">
        <f>IF($J1363="NSHIP",0,-SUMIF($J$4:$J$8712,$C1362,$D$4:$D$8712))</f>
        <v>0</v>
      </c>
      <c r="L1363" s="50">
        <f>IF($J1363="NSHIP",0,-SUMIF($J$4:$J$8710,$C1362,$F$4:$F$8710))</f>
        <v>0</v>
      </c>
      <c r="M1363" s="50">
        <f>IF($J1363="NSHIP",0,-SUMIF($J$4:$J$8710,$C1362,$G$4:$G$8710))</f>
        <v>0</v>
      </c>
      <c r="P1363" s="68"/>
    </row>
    <row r="1364">
      <c r="A1364" s="95">
        <v>1.9307315591E11</v>
      </c>
      <c r="B1364" s="164" t="s">
        <v>1735</v>
      </c>
      <c r="C1364" s="95" t="s">
        <v>97</v>
      </c>
      <c r="D1364" s="95">
        <v>1.0</v>
      </c>
      <c r="E1364" s="101">
        <v>60.0</v>
      </c>
      <c r="F1364" s="101">
        <f t="shared" ref="F1364:F1374" si="216">E1364*D1364</f>
        <v>60</v>
      </c>
      <c r="G1364" s="101">
        <f t="shared" ref="G1364:G1374" si="217">F1364/3</f>
        <v>20</v>
      </c>
      <c r="H1364" s="95" t="s">
        <v>1736</v>
      </c>
      <c r="J1364" s="120" t="s">
        <v>1737</v>
      </c>
      <c r="K1364" s="99"/>
      <c r="L1364" s="50"/>
      <c r="M1364" s="50"/>
      <c r="P1364" s="68"/>
    </row>
    <row r="1365">
      <c r="A1365" s="95">
        <v>1.93073178254E11</v>
      </c>
      <c r="B1365" s="131" t="s">
        <v>1738</v>
      </c>
      <c r="C1365" s="95" t="s">
        <v>97</v>
      </c>
      <c r="D1365" s="95">
        <v>1.0</v>
      </c>
      <c r="E1365" s="101">
        <v>60.0</v>
      </c>
      <c r="F1365" s="101">
        <f t="shared" si="216"/>
        <v>60</v>
      </c>
      <c r="G1365" s="101">
        <f t="shared" si="217"/>
        <v>20</v>
      </c>
      <c r="H1365" s="95" t="s">
        <v>1736</v>
      </c>
      <c r="J1365" s="120" t="s">
        <v>1737</v>
      </c>
      <c r="K1365" s="99"/>
      <c r="L1365" s="50"/>
      <c r="M1365" s="50"/>
      <c r="P1365" s="68"/>
    </row>
    <row r="1366">
      <c r="A1366" s="95">
        <v>8.85660253245E11</v>
      </c>
      <c r="B1366" s="131" t="s">
        <v>1739</v>
      </c>
      <c r="C1366" s="95" t="s">
        <v>97</v>
      </c>
      <c r="D1366" s="95">
        <v>1.0</v>
      </c>
      <c r="E1366" s="101">
        <v>49.99</v>
      </c>
      <c r="F1366" s="101">
        <f t="shared" si="216"/>
        <v>49.99</v>
      </c>
      <c r="G1366" s="101">
        <f t="shared" si="217"/>
        <v>16.66333333</v>
      </c>
      <c r="H1366" s="95" t="s">
        <v>1740</v>
      </c>
      <c r="J1366" s="120" t="s">
        <v>1737</v>
      </c>
      <c r="K1366" s="99"/>
      <c r="L1366" s="50"/>
      <c r="M1366" s="50"/>
      <c r="P1366" s="68"/>
    </row>
    <row r="1367">
      <c r="A1367" s="95">
        <v>8.85660495461E11</v>
      </c>
      <c r="B1367" s="131" t="s">
        <v>1741</v>
      </c>
      <c r="C1367" s="95" t="s">
        <v>97</v>
      </c>
      <c r="D1367" s="95">
        <v>1.0</v>
      </c>
      <c r="E1367" s="101">
        <v>50.0</v>
      </c>
      <c r="F1367" s="101">
        <f t="shared" si="216"/>
        <v>50</v>
      </c>
      <c r="G1367" s="101">
        <f t="shared" si="217"/>
        <v>16.66666667</v>
      </c>
      <c r="H1367" s="95" t="s">
        <v>1736</v>
      </c>
      <c r="J1367" s="120" t="s">
        <v>1737</v>
      </c>
      <c r="K1367" s="99"/>
      <c r="L1367" s="50"/>
      <c r="M1367" s="50"/>
      <c r="P1367" s="68"/>
    </row>
    <row r="1368">
      <c r="A1368" s="95">
        <v>8.85660972221E11</v>
      </c>
      <c r="B1368" s="131" t="s">
        <v>1742</v>
      </c>
      <c r="C1368" s="95" t="s">
        <v>97</v>
      </c>
      <c r="D1368" s="95">
        <v>1.0</v>
      </c>
      <c r="E1368" s="101">
        <v>59.99</v>
      </c>
      <c r="F1368" s="101">
        <f t="shared" si="216"/>
        <v>59.99</v>
      </c>
      <c r="G1368" s="101">
        <f t="shared" si="217"/>
        <v>19.99666667</v>
      </c>
      <c r="H1368" s="95" t="s">
        <v>1740</v>
      </c>
      <c r="J1368" s="120" t="s">
        <v>1737</v>
      </c>
      <c r="K1368" s="99"/>
      <c r="L1368" s="50"/>
      <c r="M1368" s="50"/>
      <c r="P1368" s="68"/>
    </row>
    <row r="1369">
      <c r="A1369" s="95">
        <v>8.89885358358E11</v>
      </c>
      <c r="B1369" s="131" t="s">
        <v>1743</v>
      </c>
      <c r="C1369" s="95" t="s">
        <v>97</v>
      </c>
      <c r="D1369" s="95">
        <v>1.0</v>
      </c>
      <c r="E1369" s="101">
        <v>55.0</v>
      </c>
      <c r="F1369" s="101">
        <f t="shared" si="216"/>
        <v>55</v>
      </c>
      <c r="G1369" s="101">
        <f t="shared" si="217"/>
        <v>18.33333333</v>
      </c>
      <c r="H1369" s="95" t="s">
        <v>1736</v>
      </c>
      <c r="J1369" s="120" t="s">
        <v>1737</v>
      </c>
      <c r="K1369" s="99"/>
      <c r="L1369" s="50"/>
      <c r="M1369" s="50"/>
      <c r="P1369" s="68"/>
    </row>
    <row r="1370">
      <c r="A1370" s="95">
        <v>8.89885378189E11</v>
      </c>
      <c r="B1370" s="131" t="s">
        <v>1744</v>
      </c>
      <c r="C1370" s="95" t="s">
        <v>97</v>
      </c>
      <c r="D1370" s="95">
        <v>1.0</v>
      </c>
      <c r="E1370" s="101">
        <v>55.0</v>
      </c>
      <c r="F1370" s="101">
        <f t="shared" si="216"/>
        <v>55</v>
      </c>
      <c r="G1370" s="101">
        <f t="shared" si="217"/>
        <v>18.33333333</v>
      </c>
      <c r="H1370" s="95" t="s">
        <v>1736</v>
      </c>
      <c r="J1370" s="120" t="s">
        <v>1737</v>
      </c>
      <c r="K1370" s="99"/>
      <c r="L1370" s="50"/>
      <c r="M1370" s="50"/>
      <c r="P1370" s="68"/>
    </row>
    <row r="1371">
      <c r="A1371" s="95">
        <v>8.8988583728E11</v>
      </c>
      <c r="B1371" s="131" t="s">
        <v>1745</v>
      </c>
      <c r="C1371" s="95" t="s">
        <v>97</v>
      </c>
      <c r="D1371" s="95">
        <v>1.0</v>
      </c>
      <c r="E1371" s="101">
        <v>90.0</v>
      </c>
      <c r="F1371" s="101">
        <f t="shared" si="216"/>
        <v>90</v>
      </c>
      <c r="G1371" s="101">
        <f t="shared" si="217"/>
        <v>30</v>
      </c>
      <c r="H1371" s="95" t="s">
        <v>1736</v>
      </c>
      <c r="J1371" s="120" t="s">
        <v>1737</v>
      </c>
      <c r="K1371" s="99"/>
      <c r="L1371" s="50"/>
      <c r="M1371" s="50"/>
      <c r="P1371" s="68"/>
    </row>
    <row r="1372">
      <c r="A1372" s="95">
        <v>8.8988588695E11</v>
      </c>
      <c r="B1372" s="131" t="s">
        <v>1746</v>
      </c>
      <c r="C1372" s="95" t="s">
        <v>97</v>
      </c>
      <c r="D1372" s="95">
        <v>1.0</v>
      </c>
      <c r="E1372" s="101">
        <v>90.0</v>
      </c>
      <c r="F1372" s="101">
        <f t="shared" si="216"/>
        <v>90</v>
      </c>
      <c r="G1372" s="101">
        <f t="shared" si="217"/>
        <v>30</v>
      </c>
      <c r="H1372" s="95" t="s">
        <v>1736</v>
      </c>
      <c r="J1372" s="120" t="s">
        <v>1737</v>
      </c>
      <c r="K1372" s="99"/>
      <c r="L1372" s="50"/>
      <c r="M1372" s="50"/>
      <c r="P1372" s="68"/>
    </row>
    <row r="1373">
      <c r="A1373" s="95">
        <v>8.89885888206E11</v>
      </c>
      <c r="B1373" s="131" t="s">
        <v>1747</v>
      </c>
      <c r="C1373" s="95" t="s">
        <v>97</v>
      </c>
      <c r="D1373" s="95">
        <v>1.0</v>
      </c>
      <c r="E1373" s="101">
        <v>90.0</v>
      </c>
      <c r="F1373" s="101">
        <f t="shared" si="216"/>
        <v>90</v>
      </c>
      <c r="G1373" s="101">
        <f t="shared" si="217"/>
        <v>30</v>
      </c>
      <c r="H1373" s="95" t="s">
        <v>1736</v>
      </c>
      <c r="J1373" s="120" t="s">
        <v>1737</v>
      </c>
      <c r="K1373" s="99"/>
      <c r="L1373" s="50"/>
      <c r="M1373" s="50"/>
      <c r="P1373" s="68"/>
    </row>
    <row r="1374">
      <c r="A1374" s="110">
        <v>8.89885902001E11</v>
      </c>
      <c r="B1374" s="131" t="s">
        <v>1748</v>
      </c>
      <c r="C1374" s="95" t="s">
        <v>97</v>
      </c>
      <c r="D1374" s="95">
        <v>1.0</v>
      </c>
      <c r="E1374" s="101">
        <v>50.0</v>
      </c>
      <c r="F1374" s="101">
        <f t="shared" si="216"/>
        <v>50</v>
      </c>
      <c r="G1374" s="101">
        <f t="shared" si="217"/>
        <v>16.66666667</v>
      </c>
      <c r="H1374" s="95" t="s">
        <v>1736</v>
      </c>
      <c r="J1374" s="120" t="s">
        <v>1737</v>
      </c>
      <c r="K1374" s="99"/>
      <c r="L1374" s="50"/>
      <c r="M1374" s="50"/>
      <c r="P1374" s="68"/>
    </row>
    <row r="1375">
      <c r="A1375" s="102" t="s">
        <v>1749</v>
      </c>
      <c r="B1375" s="209" t="s">
        <v>1750</v>
      </c>
      <c r="C1375" s="104"/>
      <c r="D1375" s="104"/>
      <c r="E1375" s="105"/>
      <c r="F1375" s="106"/>
      <c r="G1375" s="106"/>
      <c r="H1375" s="107"/>
      <c r="J1375" s="108"/>
      <c r="K1375" s="99"/>
      <c r="L1375" s="50"/>
      <c r="M1375" s="50"/>
      <c r="P1375" s="68"/>
    </row>
    <row r="1376">
      <c r="A1376" s="95">
        <v>8.86065977989E11</v>
      </c>
      <c r="B1376" s="164" t="s">
        <v>1751</v>
      </c>
      <c r="C1376" s="95" t="s">
        <v>97</v>
      </c>
      <c r="D1376" s="95">
        <v>1.0</v>
      </c>
      <c r="E1376" s="101">
        <v>55.0</v>
      </c>
      <c r="F1376" s="101">
        <f t="shared" ref="F1376:F1377" si="218">E1376*D1376</f>
        <v>55</v>
      </c>
      <c r="G1376" s="101">
        <f t="shared" ref="G1376:G1377" si="219">F1376/3</f>
        <v>18.33333333</v>
      </c>
      <c r="H1376" s="95" t="s">
        <v>1736</v>
      </c>
      <c r="J1376" s="120" t="s">
        <v>1737</v>
      </c>
      <c r="K1376" s="99"/>
      <c r="L1376" s="50"/>
      <c r="M1376" s="50"/>
      <c r="P1376" s="68"/>
    </row>
    <row r="1377">
      <c r="A1377" s="95">
        <v>8.89885747459E11</v>
      </c>
      <c r="B1377" s="131" t="s">
        <v>1752</v>
      </c>
      <c r="C1377" s="95" t="s">
        <v>97</v>
      </c>
      <c r="D1377" s="95">
        <v>1.0</v>
      </c>
      <c r="E1377" s="101">
        <v>60.0</v>
      </c>
      <c r="F1377" s="101">
        <f t="shared" si="218"/>
        <v>60</v>
      </c>
      <c r="G1377" s="101">
        <f t="shared" si="219"/>
        <v>20</v>
      </c>
      <c r="H1377" s="95" t="s">
        <v>1736</v>
      </c>
      <c r="J1377" s="120" t="s">
        <v>1737</v>
      </c>
      <c r="K1377" s="99"/>
      <c r="L1377" s="50"/>
      <c r="M1377" s="50"/>
      <c r="P1377" s="68"/>
    </row>
    <row r="1378">
      <c r="A1378" s="102" t="s">
        <v>819</v>
      </c>
      <c r="B1378" s="209" t="s">
        <v>1753</v>
      </c>
      <c r="C1378" s="104"/>
      <c r="D1378" s="104"/>
      <c r="E1378" s="105"/>
      <c r="F1378" s="106"/>
      <c r="G1378" s="106"/>
      <c r="H1378" s="107"/>
      <c r="J1378" s="108"/>
      <c r="K1378" s="99"/>
      <c r="L1378" s="50"/>
      <c r="M1378" s="50"/>
      <c r="P1378" s="68"/>
    </row>
    <row r="1379">
      <c r="A1379" s="210">
        <v>1.93073052486E11</v>
      </c>
      <c r="B1379" s="151" t="s">
        <v>1754</v>
      </c>
      <c r="C1379" s="95" t="s">
        <v>97</v>
      </c>
      <c r="D1379" s="95">
        <v>1.0</v>
      </c>
      <c r="E1379" s="101">
        <v>50.0</v>
      </c>
      <c r="F1379" s="101">
        <f t="shared" ref="F1379:F1381" si="220">E1379*D1379</f>
        <v>50</v>
      </c>
      <c r="G1379" s="101">
        <f t="shared" ref="G1379:G1381" si="221">F1379/3</f>
        <v>16.66666667</v>
      </c>
      <c r="H1379" s="95" t="s">
        <v>1736</v>
      </c>
      <c r="I1379" s="70" t="s">
        <v>149</v>
      </c>
      <c r="J1379" s="120" t="s">
        <v>1737</v>
      </c>
      <c r="K1379" s="99"/>
      <c r="L1379" s="50"/>
      <c r="M1379" s="50"/>
      <c r="P1379" s="68"/>
    </row>
    <row r="1380">
      <c r="A1380" s="210">
        <v>8.89885517373E11</v>
      </c>
      <c r="B1380" s="151" t="s">
        <v>1755</v>
      </c>
      <c r="C1380" s="95" t="s">
        <v>97</v>
      </c>
      <c r="D1380" s="95">
        <v>1.0</v>
      </c>
      <c r="E1380" s="101">
        <v>50.0</v>
      </c>
      <c r="F1380" s="101">
        <f t="shared" si="220"/>
        <v>50</v>
      </c>
      <c r="G1380" s="101">
        <f t="shared" si="221"/>
        <v>16.66666667</v>
      </c>
      <c r="H1380" s="95" t="s">
        <v>1736</v>
      </c>
      <c r="I1380" s="70" t="s">
        <v>149</v>
      </c>
      <c r="J1380" s="120" t="s">
        <v>1737</v>
      </c>
      <c r="K1380" s="99"/>
      <c r="L1380" s="50"/>
      <c r="M1380" s="50"/>
      <c r="P1380" s="68"/>
    </row>
    <row r="1381">
      <c r="A1381" s="210">
        <v>8.8988596177E11</v>
      </c>
      <c r="B1381" s="151" t="s">
        <v>1756</v>
      </c>
      <c r="C1381" s="95" t="s">
        <v>97</v>
      </c>
      <c r="D1381" s="95">
        <v>1.0</v>
      </c>
      <c r="E1381" s="101">
        <v>49.99</v>
      </c>
      <c r="F1381" s="101">
        <f t="shared" si="220"/>
        <v>49.99</v>
      </c>
      <c r="G1381" s="101">
        <f t="shared" si="221"/>
        <v>16.66333333</v>
      </c>
      <c r="H1381" s="95" t="s">
        <v>1740</v>
      </c>
      <c r="I1381" s="70" t="s">
        <v>149</v>
      </c>
      <c r="J1381" s="120" t="s">
        <v>1737</v>
      </c>
      <c r="K1381" s="99"/>
      <c r="L1381" s="50"/>
      <c r="M1381" s="50"/>
      <c r="P1381" s="68"/>
    </row>
    <row r="1382">
      <c r="A1382" s="111" t="s">
        <v>115</v>
      </c>
      <c r="B1382" s="111" t="s">
        <v>1757</v>
      </c>
      <c r="C1382" s="112" t="str">
        <f>MID($B1382,6,7)</f>
        <v>CL18274</v>
      </c>
      <c r="D1382" s="111"/>
      <c r="E1382" s="111"/>
      <c r="F1382" s="111"/>
      <c r="G1382" s="111"/>
      <c r="H1382" s="113">
        <v>44559.0</v>
      </c>
      <c r="J1382" s="108" t="str">
        <f>IF(LEFT(B1382,3)="Box","BOX","COUNT")</f>
        <v>BOX</v>
      </c>
      <c r="K1382" s="99">
        <f>SUMIF($J$4:$J$8712,$C1382,$D$4:$D$8712)</f>
        <v>16</v>
      </c>
      <c r="L1382" s="50">
        <f>SUMIF($J$4:$J$8712,$C1382,$F$4:$F$8712)</f>
        <v>974.97</v>
      </c>
      <c r="M1382" s="50">
        <f>SUMIF($J$4:$J$8712,$C1382,$G$4:$G$8712)</f>
        <v>324.99</v>
      </c>
      <c r="N1382" s="70" t="str">
        <f>C1382</f>
        <v>CL18274</v>
      </c>
      <c r="O1382" s="70" t="str">
        <f>J1383</f>
        <v>SHIP</v>
      </c>
      <c r="P1382" s="68">
        <f>M1382</f>
        <v>324.99</v>
      </c>
      <c r="Q1382" s="114">
        <v>44559.0</v>
      </c>
      <c r="R1382" s="37" t="s">
        <v>155</v>
      </c>
      <c r="S1382" s="37" t="s">
        <v>156</v>
      </c>
    </row>
    <row r="1383">
      <c r="A1383" s="211"/>
      <c r="B1383" s="111" t="s">
        <v>1758</v>
      </c>
      <c r="C1383" s="109"/>
      <c r="D1383" s="109"/>
      <c r="E1383" s="116"/>
      <c r="F1383" s="116"/>
      <c r="G1383" s="116"/>
      <c r="H1383" s="109"/>
      <c r="J1383" s="108" t="str">
        <f>IF(B1383="","NSHIP","SHIP")</f>
        <v>SHIP</v>
      </c>
      <c r="K1383" s="99">
        <f>IF($J1383="NSHIP",0,-SUMIF($J$4:$J$8712,$C1382,$D$4:$D$8712))</f>
        <v>-16</v>
      </c>
      <c r="L1383" s="50">
        <f>IF($J1383="NSHIP",0,-SUMIF($J$4:$J$8710,$C1382,$F$4:$F$8710))</f>
        <v>-974.97</v>
      </c>
      <c r="M1383" s="50">
        <f>IF($J1383="NSHIP",0,-SUMIF($J$4:$J$8710,$C1382,$G$4:$G$8710))</f>
        <v>-324.99</v>
      </c>
      <c r="P1383" s="68"/>
    </row>
    <row r="1384">
      <c r="A1384" s="117">
        <v>1.92675114745E11</v>
      </c>
      <c r="B1384" s="100" t="s">
        <v>1759</v>
      </c>
      <c r="C1384" s="118" t="s">
        <v>97</v>
      </c>
      <c r="D1384" s="100">
        <v>1.0</v>
      </c>
      <c r="E1384" s="119">
        <v>109.0</v>
      </c>
      <c r="F1384" s="119">
        <f t="shared" ref="F1384:F1388" si="222">E1384*D1384</f>
        <v>109</v>
      </c>
      <c r="G1384" s="119">
        <f t="shared" ref="G1384:G1388" si="223">F1384/3</f>
        <v>36.33333333</v>
      </c>
      <c r="H1384" s="100" t="s">
        <v>1760</v>
      </c>
      <c r="I1384" s="1"/>
      <c r="J1384" s="120" t="s">
        <v>1761</v>
      </c>
      <c r="K1384" s="99"/>
      <c r="L1384" s="50"/>
      <c r="M1384" s="50"/>
      <c r="P1384" s="68"/>
    </row>
    <row r="1385">
      <c r="A1385" s="117">
        <v>1.92675122993E11</v>
      </c>
      <c r="B1385" s="100" t="s">
        <v>1762</v>
      </c>
      <c r="C1385" s="118" t="s">
        <v>97</v>
      </c>
      <c r="D1385" s="100">
        <v>1.0</v>
      </c>
      <c r="E1385" s="119">
        <v>109.0</v>
      </c>
      <c r="F1385" s="119">
        <f t="shared" si="222"/>
        <v>109</v>
      </c>
      <c r="G1385" s="119">
        <f t="shared" si="223"/>
        <v>36.33333333</v>
      </c>
      <c r="H1385" s="100" t="s">
        <v>1760</v>
      </c>
      <c r="I1385" s="1"/>
      <c r="J1385" s="120" t="s">
        <v>1761</v>
      </c>
      <c r="K1385" s="99"/>
      <c r="L1385" s="50"/>
      <c r="M1385" s="50"/>
      <c r="P1385" s="68"/>
    </row>
    <row r="1386">
      <c r="A1386" s="117">
        <v>1.94060105673E11</v>
      </c>
      <c r="B1386" s="100" t="s">
        <v>1763</v>
      </c>
      <c r="C1386" s="118" t="s">
        <v>97</v>
      </c>
      <c r="D1386" s="100">
        <v>1.0</v>
      </c>
      <c r="E1386" s="119">
        <v>169.0</v>
      </c>
      <c r="F1386" s="119">
        <f t="shared" si="222"/>
        <v>169</v>
      </c>
      <c r="G1386" s="119">
        <f t="shared" si="223"/>
        <v>56.33333333</v>
      </c>
      <c r="H1386" s="100" t="s">
        <v>1760</v>
      </c>
      <c r="I1386" s="1"/>
      <c r="J1386" s="120" t="s">
        <v>1761</v>
      </c>
      <c r="K1386" s="99"/>
      <c r="L1386" s="50"/>
      <c r="M1386" s="50"/>
      <c r="P1386" s="68"/>
    </row>
    <row r="1387">
      <c r="A1387" s="117">
        <v>1.94060181363E11</v>
      </c>
      <c r="B1387" s="100" t="s">
        <v>1764</v>
      </c>
      <c r="C1387" s="118" t="s">
        <v>97</v>
      </c>
      <c r="D1387" s="100">
        <v>1.0</v>
      </c>
      <c r="E1387" s="119">
        <v>169.0</v>
      </c>
      <c r="F1387" s="119">
        <f t="shared" si="222"/>
        <v>169</v>
      </c>
      <c r="G1387" s="119">
        <f t="shared" si="223"/>
        <v>56.33333333</v>
      </c>
      <c r="H1387" s="100" t="s">
        <v>1760</v>
      </c>
      <c r="I1387" s="1"/>
      <c r="J1387" s="120" t="s">
        <v>1761</v>
      </c>
      <c r="K1387" s="99"/>
      <c r="L1387" s="50"/>
      <c r="M1387" s="50"/>
      <c r="P1387" s="68"/>
    </row>
    <row r="1388">
      <c r="A1388" s="117">
        <v>8.89655249459E11</v>
      </c>
      <c r="B1388" s="100" t="s">
        <v>1765</v>
      </c>
      <c r="C1388" s="118" t="s">
        <v>97</v>
      </c>
      <c r="D1388" s="100">
        <v>1.0</v>
      </c>
      <c r="E1388" s="119">
        <v>99.0</v>
      </c>
      <c r="F1388" s="119">
        <f t="shared" si="222"/>
        <v>99</v>
      </c>
      <c r="G1388" s="119">
        <f t="shared" si="223"/>
        <v>33</v>
      </c>
      <c r="H1388" s="100" t="s">
        <v>1760</v>
      </c>
      <c r="I1388" s="1"/>
      <c r="J1388" s="120" t="s">
        <v>1761</v>
      </c>
      <c r="K1388" s="99"/>
      <c r="L1388" s="50"/>
      <c r="M1388" s="50"/>
      <c r="P1388" s="68"/>
    </row>
    <row r="1389">
      <c r="A1389" s="121" t="s">
        <v>1766</v>
      </c>
      <c r="B1389" s="122" t="s">
        <v>1767</v>
      </c>
      <c r="C1389" s="118"/>
      <c r="D1389" s="100"/>
      <c r="E1389" s="119"/>
      <c r="F1389" s="119"/>
      <c r="G1389" s="119"/>
      <c r="H1389" s="100"/>
      <c r="I1389" s="1"/>
      <c r="J1389" s="120"/>
      <c r="K1389" s="99"/>
      <c r="L1389" s="50"/>
      <c r="M1389" s="50"/>
      <c r="P1389" s="68"/>
    </row>
    <row r="1390">
      <c r="A1390" s="232">
        <v>1.9171205415E11</v>
      </c>
      <c r="B1390" s="100" t="s">
        <v>1768</v>
      </c>
      <c r="C1390" s="118" t="s">
        <v>97</v>
      </c>
      <c r="D1390" s="100">
        <v>1.0</v>
      </c>
      <c r="E1390" s="119">
        <v>99.0</v>
      </c>
      <c r="F1390" s="119">
        <f t="shared" ref="F1390:F1391" si="224">E1390*D1390</f>
        <v>99</v>
      </c>
      <c r="G1390" s="119">
        <f t="shared" ref="G1390:G1391" si="225">F1390/3</f>
        <v>33</v>
      </c>
      <c r="H1390" s="100" t="s">
        <v>1760</v>
      </c>
      <c r="I1390" s="198" t="s">
        <v>1769</v>
      </c>
      <c r="J1390" s="120" t="s">
        <v>1761</v>
      </c>
      <c r="K1390" s="99"/>
      <c r="L1390" s="50"/>
      <c r="M1390" s="50"/>
      <c r="P1390" s="68"/>
    </row>
    <row r="1391">
      <c r="A1391" s="232">
        <v>1.91712054198E11</v>
      </c>
      <c r="B1391" s="100" t="s">
        <v>1770</v>
      </c>
      <c r="C1391" s="118" t="s">
        <v>97</v>
      </c>
      <c r="D1391" s="100">
        <v>1.0</v>
      </c>
      <c r="E1391" s="119">
        <v>99.0</v>
      </c>
      <c r="F1391" s="119">
        <f t="shared" si="224"/>
        <v>99</v>
      </c>
      <c r="G1391" s="119">
        <f t="shared" si="225"/>
        <v>33</v>
      </c>
      <c r="H1391" s="100" t="s">
        <v>1760</v>
      </c>
      <c r="I1391" s="198" t="s">
        <v>1769</v>
      </c>
      <c r="J1391" s="120" t="s">
        <v>1761</v>
      </c>
      <c r="K1391" s="99"/>
      <c r="L1391" s="50"/>
      <c r="M1391" s="50"/>
      <c r="P1391" s="68"/>
    </row>
    <row r="1392">
      <c r="A1392" s="123" t="s">
        <v>132</v>
      </c>
      <c r="B1392" s="112" t="s">
        <v>1771</v>
      </c>
      <c r="C1392" s="124" t="str">
        <f>MID($B1392,6,7)</f>
        <v>GR18275</v>
      </c>
      <c r="D1392" s="125"/>
      <c r="E1392" s="126"/>
      <c r="F1392" s="126"/>
      <c r="G1392" s="126"/>
      <c r="H1392" s="127">
        <v>44559.0</v>
      </c>
      <c r="I1392" s="1"/>
      <c r="J1392" s="108" t="str">
        <f>IF(LEFT(B1392,3)="Box","BOX","COUNT")</f>
        <v>BOX</v>
      </c>
      <c r="K1392" s="99">
        <f>SUMIF($J$4:$J$8712,$C1392,$D$4:$D$8712)</f>
        <v>7</v>
      </c>
      <c r="L1392" s="50">
        <f>SUMIF($J$4:$J$8712,$C1392,$F$4:$F$8712)</f>
        <v>853</v>
      </c>
      <c r="M1392" s="50">
        <f>SUMIF($J$4:$J$8712,$C1392,$G$4:$G$8712)</f>
        <v>284.3333333</v>
      </c>
      <c r="N1392" s="36" t="str">
        <f>C1392</f>
        <v>GR18275</v>
      </c>
      <c r="O1392" s="70" t="str">
        <f>J1393</f>
        <v>SHIP</v>
      </c>
      <c r="P1392" s="68">
        <f>M1392</f>
        <v>284.3333333</v>
      </c>
      <c r="Q1392" s="114">
        <v>44559.0</v>
      </c>
      <c r="R1392" s="37" t="s">
        <v>155</v>
      </c>
      <c r="S1392" s="37" t="s">
        <v>156</v>
      </c>
    </row>
    <row r="1393">
      <c r="A1393" s="221"/>
      <c r="B1393" s="112" t="s">
        <v>1772</v>
      </c>
      <c r="C1393" s="129"/>
      <c r="D1393" s="125"/>
      <c r="E1393" s="126"/>
      <c r="F1393" s="126"/>
      <c r="G1393" s="126"/>
      <c r="H1393" s="125"/>
      <c r="I1393" s="1"/>
      <c r="J1393" s="108" t="str">
        <f>IF(B1393="","NSHIP","SHIP")</f>
        <v>SHIP</v>
      </c>
      <c r="K1393" s="99">
        <f>IF($J1393="NSHIP",0,-SUMIF($J$4:$J$8712,$C1392,$D$4:$D$8712))</f>
        <v>-7</v>
      </c>
      <c r="L1393" s="50">
        <f>IF($J1393="NSHIP",0,-SUMIF($J$4:$J$8710,$C1392,$F$4:$F$8710))</f>
        <v>-853</v>
      </c>
      <c r="M1393" s="50">
        <f>IF($J1393="NSHIP",0,-SUMIF($J$4:$J$8710,$C1392,$G$4:$G$8710))</f>
        <v>-284.3333333</v>
      </c>
      <c r="P1393" s="68"/>
    </row>
    <row r="1394">
      <c r="A1394" s="96">
        <v>1.91045655048E11</v>
      </c>
      <c r="B1394" s="186" t="s">
        <v>1773</v>
      </c>
      <c r="C1394" s="100" t="s">
        <v>97</v>
      </c>
      <c r="D1394" s="100">
        <v>1.0</v>
      </c>
      <c r="E1394" s="119">
        <v>60.0</v>
      </c>
      <c r="F1394" s="119">
        <f t="shared" ref="F1394:F1399" si="226">E1394*D1394</f>
        <v>60</v>
      </c>
      <c r="G1394" s="119">
        <f t="shared" ref="G1394:G1399" si="227">F1394/3</f>
        <v>20</v>
      </c>
      <c r="H1394" s="132" t="s">
        <v>1774</v>
      </c>
      <c r="I1394" s="1"/>
      <c r="J1394" s="104" t="s">
        <v>1775</v>
      </c>
      <c r="K1394" s="133"/>
      <c r="L1394" s="105"/>
      <c r="M1394" s="105"/>
      <c r="N1394" s="1"/>
      <c r="O1394" s="1"/>
      <c r="P1394" s="68"/>
    </row>
    <row r="1395">
      <c r="A1395" s="100">
        <v>1.91045731018E11</v>
      </c>
      <c r="B1395" s="131" t="s">
        <v>1776</v>
      </c>
      <c r="C1395" s="100" t="s">
        <v>97</v>
      </c>
      <c r="D1395" s="100">
        <v>1.0</v>
      </c>
      <c r="E1395" s="119">
        <v>65.0</v>
      </c>
      <c r="F1395" s="119">
        <f t="shared" si="226"/>
        <v>65</v>
      </c>
      <c r="G1395" s="119">
        <f t="shared" si="227"/>
        <v>21.66666667</v>
      </c>
      <c r="H1395" s="132" t="s">
        <v>1774</v>
      </c>
      <c r="I1395" s="1"/>
      <c r="J1395" s="104" t="s">
        <v>1775</v>
      </c>
      <c r="K1395" s="133"/>
      <c r="L1395" s="105"/>
      <c r="M1395" s="105"/>
      <c r="N1395" s="1"/>
      <c r="O1395" s="1"/>
      <c r="P1395" s="68"/>
    </row>
    <row r="1396">
      <c r="A1396" s="100">
        <v>1.91045882765E11</v>
      </c>
      <c r="B1396" s="186" t="s">
        <v>1777</v>
      </c>
      <c r="C1396" s="100" t="s">
        <v>97</v>
      </c>
      <c r="D1396" s="100">
        <v>1.0</v>
      </c>
      <c r="E1396" s="119">
        <v>60.0</v>
      </c>
      <c r="F1396" s="119">
        <f t="shared" si="226"/>
        <v>60</v>
      </c>
      <c r="G1396" s="119">
        <f t="shared" si="227"/>
        <v>20</v>
      </c>
      <c r="H1396" s="132" t="s">
        <v>1774</v>
      </c>
      <c r="I1396" s="1"/>
      <c r="J1396" s="104" t="s">
        <v>1775</v>
      </c>
      <c r="K1396" s="133"/>
      <c r="L1396" s="105"/>
      <c r="M1396" s="105"/>
      <c r="N1396" s="1"/>
      <c r="O1396" s="1"/>
      <c r="P1396" s="68"/>
    </row>
    <row r="1397">
      <c r="A1397" s="100">
        <v>1.93605142517E11</v>
      </c>
      <c r="B1397" s="131" t="s">
        <v>1778</v>
      </c>
      <c r="C1397" s="100" t="s">
        <v>97</v>
      </c>
      <c r="D1397" s="100">
        <v>1.0</v>
      </c>
      <c r="E1397" s="119">
        <v>39.99</v>
      </c>
      <c r="F1397" s="119">
        <f t="shared" si="226"/>
        <v>39.99</v>
      </c>
      <c r="G1397" s="119">
        <f t="shared" si="227"/>
        <v>13.33</v>
      </c>
      <c r="H1397" s="100" t="s">
        <v>1779</v>
      </c>
      <c r="I1397" s="1"/>
      <c r="J1397" s="104" t="s">
        <v>1775</v>
      </c>
      <c r="K1397" s="133"/>
      <c r="L1397" s="105"/>
      <c r="M1397" s="105"/>
      <c r="N1397" s="1"/>
      <c r="O1397" s="1"/>
      <c r="P1397" s="68"/>
    </row>
    <row r="1398">
      <c r="A1398" s="100">
        <v>1.93605186467E11</v>
      </c>
      <c r="B1398" s="131" t="s">
        <v>1780</v>
      </c>
      <c r="C1398" s="100" t="s">
        <v>97</v>
      </c>
      <c r="D1398" s="100">
        <v>1.0</v>
      </c>
      <c r="E1398" s="119">
        <v>50.0</v>
      </c>
      <c r="F1398" s="119">
        <f t="shared" si="226"/>
        <v>50</v>
      </c>
      <c r="G1398" s="119">
        <f t="shared" si="227"/>
        <v>16.66666667</v>
      </c>
      <c r="H1398" s="100" t="s">
        <v>1779</v>
      </c>
      <c r="I1398" s="1"/>
      <c r="J1398" s="104" t="s">
        <v>1775</v>
      </c>
      <c r="K1398" s="133"/>
      <c r="L1398" s="105"/>
      <c r="M1398" s="105"/>
      <c r="N1398" s="1"/>
      <c r="O1398" s="1"/>
      <c r="P1398" s="68"/>
    </row>
    <row r="1399">
      <c r="A1399" s="100">
        <v>1.91045882727E11</v>
      </c>
      <c r="B1399" s="186" t="s">
        <v>1781</v>
      </c>
      <c r="C1399" s="100" t="s">
        <v>97</v>
      </c>
      <c r="D1399" s="100">
        <v>1.0</v>
      </c>
      <c r="E1399" s="119">
        <v>60.0</v>
      </c>
      <c r="F1399" s="119">
        <f t="shared" si="226"/>
        <v>60</v>
      </c>
      <c r="G1399" s="119">
        <f t="shared" si="227"/>
        <v>20</v>
      </c>
      <c r="H1399" s="132" t="s">
        <v>1774</v>
      </c>
      <c r="I1399" s="1"/>
      <c r="J1399" s="104" t="s">
        <v>1775</v>
      </c>
      <c r="K1399" s="133"/>
      <c r="L1399" s="105"/>
      <c r="M1399" s="105"/>
      <c r="N1399" s="1"/>
      <c r="O1399" s="1"/>
      <c r="P1399" s="68"/>
    </row>
    <row r="1400">
      <c r="A1400" s="135" t="s">
        <v>1782</v>
      </c>
      <c r="B1400" s="233" t="s">
        <v>1783</v>
      </c>
      <c r="C1400" s="100"/>
      <c r="D1400" s="100"/>
      <c r="E1400" s="119"/>
      <c r="F1400" s="119"/>
      <c r="G1400" s="119"/>
      <c r="H1400" s="100"/>
      <c r="I1400" s="1"/>
      <c r="J1400" s="104"/>
      <c r="K1400" s="133"/>
      <c r="L1400" s="105"/>
      <c r="M1400" s="105"/>
      <c r="N1400" s="1"/>
      <c r="O1400" s="1"/>
      <c r="P1400" s="68"/>
    </row>
    <row r="1401">
      <c r="A1401" s="134">
        <v>1.93605353753E11</v>
      </c>
      <c r="B1401" s="131" t="s">
        <v>1784</v>
      </c>
      <c r="C1401" s="100" t="s">
        <v>97</v>
      </c>
      <c r="D1401" s="100">
        <v>1.0</v>
      </c>
      <c r="E1401" s="119">
        <v>60.0</v>
      </c>
      <c r="F1401" s="119">
        <f t="shared" ref="F1401:F1402" si="228">E1401*D1401</f>
        <v>60</v>
      </c>
      <c r="G1401" s="119">
        <f t="shared" ref="G1401:G1402" si="229">F1401/3</f>
        <v>20</v>
      </c>
      <c r="H1401" s="132" t="s">
        <v>1774</v>
      </c>
      <c r="I1401" s="1"/>
      <c r="J1401" s="104" t="s">
        <v>1775</v>
      </c>
      <c r="K1401" s="133"/>
      <c r="L1401" s="105"/>
      <c r="M1401" s="105"/>
      <c r="N1401" s="1"/>
      <c r="O1401" s="1"/>
      <c r="P1401" s="68"/>
    </row>
    <row r="1402">
      <c r="A1402" s="134">
        <v>1.91045882727E11</v>
      </c>
      <c r="B1402" s="186" t="s">
        <v>1781</v>
      </c>
      <c r="C1402" s="100" t="s">
        <v>97</v>
      </c>
      <c r="D1402" s="100">
        <v>1.0</v>
      </c>
      <c r="E1402" s="119">
        <v>60.0</v>
      </c>
      <c r="F1402" s="119">
        <f t="shared" si="228"/>
        <v>60</v>
      </c>
      <c r="G1402" s="119">
        <f t="shared" si="229"/>
        <v>20</v>
      </c>
      <c r="H1402" s="132" t="s">
        <v>1774</v>
      </c>
      <c r="I1402" s="1"/>
      <c r="J1402" s="104" t="s">
        <v>1775</v>
      </c>
      <c r="K1402" s="133"/>
      <c r="L1402" s="105"/>
      <c r="M1402" s="105"/>
      <c r="N1402" s="1"/>
      <c r="O1402" s="1"/>
      <c r="P1402" s="68"/>
    </row>
    <row r="1403">
      <c r="A1403" s="135" t="s">
        <v>1699</v>
      </c>
      <c r="B1403" s="103" t="s">
        <v>1785</v>
      </c>
      <c r="C1403" s="100"/>
      <c r="D1403" s="100"/>
      <c r="E1403" s="119"/>
      <c r="F1403" s="119"/>
      <c r="G1403" s="119"/>
      <c r="H1403" s="146"/>
      <c r="I1403" s="1"/>
      <c r="J1403" s="104"/>
      <c r="K1403" s="133"/>
      <c r="L1403" s="105"/>
      <c r="M1403" s="105"/>
      <c r="N1403" s="1"/>
      <c r="O1403" s="1"/>
      <c r="P1403" s="68"/>
    </row>
    <row r="1404">
      <c r="A1404" s="112" t="s">
        <v>153</v>
      </c>
      <c r="B1404" s="112" t="s">
        <v>1786</v>
      </c>
      <c r="C1404" s="112" t="str">
        <f>MID($B1404,6,7)</f>
        <v>GR18276</v>
      </c>
      <c r="D1404" s="112"/>
      <c r="E1404" s="138"/>
      <c r="F1404" s="138"/>
      <c r="G1404" s="138"/>
      <c r="H1404" s="127">
        <v>44559.0</v>
      </c>
      <c r="I1404" s="1"/>
      <c r="J1404" s="104" t="str">
        <f>IF(LEFT(B1404,3)="Box","BOX","COUNT")</f>
        <v>BOX</v>
      </c>
      <c r="K1404" s="139">
        <f>SUMIF($J$3:$J$8686,$C1404,$D$3:$D$8686)</f>
        <v>8</v>
      </c>
      <c r="L1404" s="32">
        <f>SUMIF($J$3:$J$8686,$C1404,$F$3:$F$8686)</f>
        <v>454.99</v>
      </c>
      <c r="M1404" s="32">
        <f>SUMIF($J$3:$J$8686,$C1404,$G$3:$G$8686)</f>
        <v>151.6633333</v>
      </c>
      <c r="N1404" s="1" t="str">
        <f>C1404</f>
        <v>GR18276</v>
      </c>
      <c r="O1404" s="1" t="str">
        <f>J1405</f>
        <v>SHIP</v>
      </c>
      <c r="P1404" s="68">
        <f>M1404</f>
        <v>151.6633333</v>
      </c>
      <c r="Q1404" s="114">
        <v>44559.0</v>
      </c>
      <c r="R1404" s="37" t="s">
        <v>155</v>
      </c>
      <c r="S1404" s="37" t="s">
        <v>156</v>
      </c>
    </row>
    <row r="1405">
      <c r="A1405" s="211">
        <v>44561.0</v>
      </c>
      <c r="B1405" s="140" t="s">
        <v>1228</v>
      </c>
      <c r="C1405" s="141"/>
      <c r="D1405" s="141"/>
      <c r="E1405" s="142"/>
      <c r="F1405" s="142"/>
      <c r="G1405" s="142"/>
      <c r="H1405" s="150"/>
      <c r="I1405" s="1"/>
      <c r="J1405" s="104" t="str">
        <f>IF(B1405="","NSHIP","SHIP")</f>
        <v>SHIP</v>
      </c>
      <c r="K1405" s="139">
        <f>IF($J1405="NSHIP",0,-SUMIF($J$3:$J$8686,$C1404,$D$3:$D$8686))</f>
        <v>-8</v>
      </c>
      <c r="L1405" s="32">
        <f>IF($J1405="NSHIP",0,-SUMIF($J$3:$J$8684,$C1404,$F$3:$F$8684))</f>
        <v>-454.99</v>
      </c>
      <c r="M1405" s="32">
        <f>IF($J1405="NSHIP",0,-SUMIF($J$3:$J$8684,$C1404,$G$3:$G$8684))</f>
        <v>-151.6633333</v>
      </c>
      <c r="N1405" s="1"/>
      <c r="O1405" s="1"/>
      <c r="P1405" s="68"/>
    </row>
    <row r="1406">
      <c r="A1406" s="100">
        <v>1.91010433305E11</v>
      </c>
      <c r="B1406" s="131" t="s">
        <v>1787</v>
      </c>
      <c r="C1406" s="100" t="s">
        <v>97</v>
      </c>
      <c r="D1406" s="100">
        <v>1.0</v>
      </c>
      <c r="E1406" s="119">
        <v>130.0</v>
      </c>
      <c r="F1406" s="119">
        <f t="shared" ref="F1406:F1417" si="230">E1406*D1406</f>
        <v>130</v>
      </c>
      <c r="G1406" s="119">
        <f t="shared" ref="G1406:G1417" si="231">F1406/3</f>
        <v>43.33333333</v>
      </c>
      <c r="H1406" s="100" t="s">
        <v>1788</v>
      </c>
      <c r="J1406" s="120" t="s">
        <v>1789</v>
      </c>
      <c r="K1406" s="99"/>
      <c r="L1406" s="50"/>
      <c r="M1406" s="50"/>
      <c r="P1406" s="68"/>
    </row>
    <row r="1407">
      <c r="A1407" s="100">
        <v>1.91010704092E11</v>
      </c>
      <c r="B1407" s="131" t="s">
        <v>1790</v>
      </c>
      <c r="C1407" s="100" t="s">
        <v>97</v>
      </c>
      <c r="D1407" s="100">
        <v>1.0</v>
      </c>
      <c r="E1407" s="119">
        <v>99.0</v>
      </c>
      <c r="F1407" s="119">
        <f t="shared" si="230"/>
        <v>99</v>
      </c>
      <c r="G1407" s="119">
        <f t="shared" si="231"/>
        <v>33</v>
      </c>
      <c r="H1407" s="100" t="s">
        <v>905</v>
      </c>
      <c r="J1407" s="120" t="s">
        <v>1789</v>
      </c>
      <c r="K1407" s="99"/>
      <c r="L1407" s="50"/>
      <c r="M1407" s="50"/>
      <c r="P1407" s="68"/>
    </row>
    <row r="1408">
      <c r="A1408" s="100">
        <v>1.92004531038E11</v>
      </c>
      <c r="B1408" s="131" t="s">
        <v>1791</v>
      </c>
      <c r="C1408" s="100" t="s">
        <v>97</v>
      </c>
      <c r="D1408" s="100">
        <v>1.0</v>
      </c>
      <c r="E1408" s="119">
        <v>150.0</v>
      </c>
      <c r="F1408" s="119">
        <f t="shared" si="230"/>
        <v>150</v>
      </c>
      <c r="G1408" s="119">
        <f t="shared" si="231"/>
        <v>50</v>
      </c>
      <c r="H1408" s="100" t="s">
        <v>1792</v>
      </c>
      <c r="J1408" s="120" t="s">
        <v>1789</v>
      </c>
      <c r="K1408" s="99"/>
      <c r="L1408" s="50"/>
      <c r="M1408" s="50"/>
      <c r="P1408" s="68"/>
    </row>
    <row r="1409">
      <c r="A1409" s="100">
        <v>1.93569137352E11</v>
      </c>
      <c r="B1409" s="131" t="s">
        <v>1793</v>
      </c>
      <c r="C1409" s="100" t="s">
        <v>97</v>
      </c>
      <c r="D1409" s="100">
        <v>1.0</v>
      </c>
      <c r="E1409" s="119">
        <v>199.0</v>
      </c>
      <c r="F1409" s="119">
        <f t="shared" si="230"/>
        <v>199</v>
      </c>
      <c r="G1409" s="119">
        <f t="shared" si="231"/>
        <v>66.33333333</v>
      </c>
      <c r="H1409" s="100" t="s">
        <v>1788</v>
      </c>
      <c r="J1409" s="120" t="s">
        <v>1789</v>
      </c>
      <c r="K1409" s="99"/>
      <c r="L1409" s="50"/>
      <c r="M1409" s="50"/>
      <c r="P1409" s="68"/>
    </row>
    <row r="1410">
      <c r="A1410" s="100">
        <v>1.93569147085E11</v>
      </c>
      <c r="B1410" s="131" t="s">
        <v>1794</v>
      </c>
      <c r="C1410" s="100" t="s">
        <v>97</v>
      </c>
      <c r="D1410" s="100">
        <v>1.0</v>
      </c>
      <c r="E1410" s="119">
        <v>109.0</v>
      </c>
      <c r="F1410" s="119">
        <f t="shared" si="230"/>
        <v>109</v>
      </c>
      <c r="G1410" s="119">
        <f t="shared" si="231"/>
        <v>36.33333333</v>
      </c>
      <c r="H1410" s="100" t="s">
        <v>905</v>
      </c>
      <c r="J1410" s="120" t="s">
        <v>1789</v>
      </c>
      <c r="K1410" s="99"/>
      <c r="L1410" s="50"/>
      <c r="M1410" s="50"/>
      <c r="P1410" s="68"/>
    </row>
    <row r="1411">
      <c r="A1411" s="100">
        <v>1.93569151976E11</v>
      </c>
      <c r="B1411" s="131" t="s">
        <v>1795</v>
      </c>
      <c r="C1411" s="100" t="s">
        <v>97</v>
      </c>
      <c r="D1411" s="100">
        <v>1.0</v>
      </c>
      <c r="E1411" s="119">
        <v>129.0</v>
      </c>
      <c r="F1411" s="119">
        <f t="shared" si="230"/>
        <v>129</v>
      </c>
      <c r="G1411" s="119">
        <f t="shared" si="231"/>
        <v>43</v>
      </c>
      <c r="H1411" s="100" t="s">
        <v>905</v>
      </c>
      <c r="J1411" s="120" t="s">
        <v>1789</v>
      </c>
      <c r="K1411" s="99"/>
      <c r="L1411" s="50"/>
      <c r="M1411" s="50"/>
      <c r="P1411" s="68"/>
    </row>
    <row r="1412">
      <c r="A1412" s="100">
        <v>1.9356928803E11</v>
      </c>
      <c r="B1412" s="131" t="s">
        <v>1796</v>
      </c>
      <c r="C1412" s="100" t="s">
        <v>97</v>
      </c>
      <c r="D1412" s="100">
        <v>1.0</v>
      </c>
      <c r="E1412" s="119">
        <v>100.0</v>
      </c>
      <c r="F1412" s="119">
        <f t="shared" si="230"/>
        <v>100</v>
      </c>
      <c r="G1412" s="119">
        <f t="shared" si="231"/>
        <v>33.33333333</v>
      </c>
      <c r="H1412" s="100" t="s">
        <v>1788</v>
      </c>
      <c r="J1412" s="120" t="s">
        <v>1789</v>
      </c>
      <c r="K1412" s="99"/>
      <c r="L1412" s="50"/>
      <c r="M1412" s="50"/>
      <c r="P1412" s="68"/>
    </row>
    <row r="1413">
      <c r="A1413" s="100">
        <v>1.93569365151E11</v>
      </c>
      <c r="B1413" s="131" t="s">
        <v>1797</v>
      </c>
      <c r="C1413" s="100" t="s">
        <v>97</v>
      </c>
      <c r="D1413" s="100">
        <v>1.0</v>
      </c>
      <c r="E1413" s="119">
        <v>159.0</v>
      </c>
      <c r="F1413" s="119">
        <f t="shared" si="230"/>
        <v>159</v>
      </c>
      <c r="G1413" s="119">
        <f t="shared" si="231"/>
        <v>53</v>
      </c>
      <c r="H1413" s="100" t="s">
        <v>1788</v>
      </c>
      <c r="J1413" s="120" t="s">
        <v>1789</v>
      </c>
      <c r="K1413" s="99"/>
      <c r="L1413" s="50"/>
      <c r="M1413" s="50"/>
      <c r="P1413" s="68"/>
    </row>
    <row r="1414">
      <c r="A1414" s="100">
        <v>1.9356937065E11</v>
      </c>
      <c r="B1414" s="131" t="s">
        <v>1798</v>
      </c>
      <c r="C1414" s="100" t="s">
        <v>97</v>
      </c>
      <c r="D1414" s="100">
        <v>1.0</v>
      </c>
      <c r="E1414" s="119">
        <v>85.0</v>
      </c>
      <c r="F1414" s="119">
        <f t="shared" si="230"/>
        <v>85</v>
      </c>
      <c r="G1414" s="119">
        <f t="shared" si="231"/>
        <v>28.33333333</v>
      </c>
      <c r="H1414" s="100" t="s">
        <v>905</v>
      </c>
      <c r="J1414" s="120" t="s">
        <v>1789</v>
      </c>
      <c r="K1414" s="99"/>
      <c r="L1414" s="50"/>
      <c r="M1414" s="50"/>
      <c r="P1414" s="68"/>
    </row>
    <row r="1415">
      <c r="A1415" s="100">
        <v>8.82698164789E11</v>
      </c>
      <c r="B1415" s="131" t="s">
        <v>1799</v>
      </c>
      <c r="C1415" s="100" t="s">
        <v>97</v>
      </c>
      <c r="D1415" s="100">
        <v>1.0</v>
      </c>
      <c r="E1415" s="119">
        <v>49.0</v>
      </c>
      <c r="F1415" s="119">
        <f t="shared" si="230"/>
        <v>49</v>
      </c>
      <c r="G1415" s="119">
        <f t="shared" si="231"/>
        <v>16.33333333</v>
      </c>
      <c r="H1415" s="100" t="s">
        <v>905</v>
      </c>
      <c r="J1415" s="120" t="s">
        <v>1789</v>
      </c>
      <c r="K1415" s="99"/>
      <c r="L1415" s="50"/>
      <c r="M1415" s="50"/>
      <c r="P1415" s="68"/>
    </row>
    <row r="1416">
      <c r="A1416" s="100">
        <v>8.83465119094E11</v>
      </c>
      <c r="B1416" s="131" t="s">
        <v>1800</v>
      </c>
      <c r="C1416" s="100" t="s">
        <v>97</v>
      </c>
      <c r="D1416" s="100">
        <v>1.0</v>
      </c>
      <c r="E1416" s="119">
        <v>79.0</v>
      </c>
      <c r="F1416" s="119">
        <f t="shared" si="230"/>
        <v>79</v>
      </c>
      <c r="G1416" s="119">
        <f t="shared" si="231"/>
        <v>26.33333333</v>
      </c>
      <c r="H1416" s="100" t="s">
        <v>905</v>
      </c>
      <c r="J1416" s="120" t="s">
        <v>1789</v>
      </c>
      <c r="K1416" s="99"/>
      <c r="L1416" s="50"/>
      <c r="M1416" s="50"/>
      <c r="P1416" s="68"/>
    </row>
    <row r="1417">
      <c r="A1417" s="100">
        <v>8.88452122606E11</v>
      </c>
      <c r="B1417" s="131" t="s">
        <v>1801</v>
      </c>
      <c r="C1417" s="100" t="s">
        <v>97</v>
      </c>
      <c r="D1417" s="100">
        <v>1.0</v>
      </c>
      <c r="E1417" s="119">
        <v>130.0</v>
      </c>
      <c r="F1417" s="119">
        <f t="shared" si="230"/>
        <v>130</v>
      </c>
      <c r="G1417" s="119">
        <f t="shared" si="231"/>
        <v>43.33333333</v>
      </c>
      <c r="H1417" s="100" t="s">
        <v>1788</v>
      </c>
      <c r="J1417" s="120" t="s">
        <v>1789</v>
      </c>
      <c r="K1417" s="99"/>
      <c r="L1417" s="50"/>
      <c r="M1417" s="50"/>
      <c r="P1417" s="68"/>
    </row>
    <row r="1418">
      <c r="A1418" s="144" t="s">
        <v>1153</v>
      </c>
      <c r="B1418" s="152" t="s">
        <v>1802</v>
      </c>
      <c r="C1418" s="146"/>
      <c r="D1418" s="146"/>
      <c r="E1418" s="147"/>
      <c r="F1418" s="147"/>
      <c r="G1418" s="147"/>
      <c r="H1418" s="148"/>
      <c r="J1418" s="35"/>
      <c r="K1418" s="99"/>
      <c r="L1418" s="50"/>
      <c r="M1418" s="50"/>
      <c r="P1418" s="68"/>
    </row>
    <row r="1419">
      <c r="A1419" s="134">
        <v>1.93569151181E11</v>
      </c>
      <c r="B1419" s="131" t="s">
        <v>1803</v>
      </c>
      <c r="C1419" s="100" t="s">
        <v>97</v>
      </c>
      <c r="D1419" s="100">
        <v>1.0</v>
      </c>
      <c r="E1419" s="119">
        <v>149.0</v>
      </c>
      <c r="F1419" s="119">
        <f>E1419*D1419</f>
        <v>149</v>
      </c>
      <c r="G1419" s="119">
        <f>F1419/3</f>
        <v>49.66666667</v>
      </c>
      <c r="H1419" s="143" t="s">
        <v>905</v>
      </c>
      <c r="J1419" s="120" t="s">
        <v>1789</v>
      </c>
      <c r="K1419" s="99"/>
      <c r="L1419" s="50"/>
      <c r="M1419" s="50"/>
      <c r="P1419" s="68"/>
    </row>
    <row r="1420">
      <c r="A1420" s="144" t="s">
        <v>429</v>
      </c>
      <c r="B1420" s="152" t="s">
        <v>1804</v>
      </c>
      <c r="C1420" s="146"/>
      <c r="D1420" s="146"/>
      <c r="E1420" s="146"/>
      <c r="F1420" s="146"/>
      <c r="G1420" s="146"/>
      <c r="H1420" s="148"/>
      <c r="J1420" s="108"/>
      <c r="K1420" s="99"/>
      <c r="L1420" s="50"/>
      <c r="M1420" s="50"/>
      <c r="P1420" s="68"/>
    </row>
    <row r="1421">
      <c r="A1421" s="112" t="s">
        <v>224</v>
      </c>
      <c r="B1421" s="112" t="s">
        <v>1805</v>
      </c>
      <c r="C1421" s="112" t="str">
        <f>MID($B1421,6,7)</f>
        <v>GR18277</v>
      </c>
      <c r="D1421" s="112"/>
      <c r="E1421" s="112"/>
      <c r="F1421" s="112"/>
      <c r="G1421" s="112"/>
      <c r="H1421" s="127">
        <v>44559.0</v>
      </c>
      <c r="J1421" s="108" t="str">
        <f>IF(LEFT(B1421,3)="Box","BOX","COUNT")</f>
        <v>BOX</v>
      </c>
      <c r="K1421" s="99">
        <f>SUMIF($J$4:$J$8712,$C1421,$D$4:$D$8712)</f>
        <v>13</v>
      </c>
      <c r="L1421" s="50">
        <f>SUMIF($J$4:$J$8712,$C1421,$F$4:$F$8712)</f>
        <v>1567</v>
      </c>
      <c r="M1421" s="50">
        <f>SUMIF($J$4:$J$8712,$C1421,$G$4:$G$8712)</f>
        <v>522.3333333</v>
      </c>
      <c r="N1421" s="70" t="str">
        <f>C1421</f>
        <v>GR18277</v>
      </c>
      <c r="O1421" s="70" t="str">
        <f>J1422</f>
        <v>SHIP</v>
      </c>
      <c r="P1421" s="68">
        <f>M1421</f>
        <v>522.3333333</v>
      </c>
      <c r="Q1421" s="114">
        <v>44559.0</v>
      </c>
      <c r="R1421" s="37" t="s">
        <v>155</v>
      </c>
      <c r="S1421" s="37" t="s">
        <v>156</v>
      </c>
    </row>
    <row r="1422">
      <c r="A1422" s="222"/>
      <c r="B1422" s="112" t="s">
        <v>1806</v>
      </c>
      <c r="C1422" s="141"/>
      <c r="D1422" s="141"/>
      <c r="E1422" s="142"/>
      <c r="F1422" s="142"/>
      <c r="G1422" s="142"/>
      <c r="H1422" s="223"/>
      <c r="J1422" s="108" t="str">
        <f>IF(B1422="","NSHIP","SHIP")</f>
        <v>SHIP</v>
      </c>
      <c r="K1422" s="99">
        <f>IF($J1422="NSHIP",0,-SUMIF($J$4:$J$8712,$C1421,$D$4:$D$8712))</f>
        <v>-13</v>
      </c>
      <c r="L1422" s="50">
        <f>IF($J1422="NSHIP",0,-SUMIF($J$4:$J$8710,$C1421,$F$4:$F$8710))</f>
        <v>-1567</v>
      </c>
      <c r="M1422" s="50">
        <f>IF($J1422="NSHIP",0,-SUMIF($J$4:$J$8710,$C1421,$G$4:$G$8710))</f>
        <v>-522.3333333</v>
      </c>
      <c r="P1422" s="68"/>
    </row>
    <row r="1423">
      <c r="A1423" s="95">
        <v>1.92004551937E11</v>
      </c>
      <c r="B1423" s="151" t="s">
        <v>1807</v>
      </c>
      <c r="C1423" s="95" t="s">
        <v>97</v>
      </c>
      <c r="D1423" s="95">
        <v>1.0</v>
      </c>
      <c r="E1423" s="101">
        <v>220.0</v>
      </c>
      <c r="F1423" s="101">
        <f t="shared" ref="F1423:F1428" si="232">E1423*D1423</f>
        <v>220</v>
      </c>
      <c r="G1423" s="101">
        <f t="shared" ref="G1423:G1428" si="233">F1423/3</f>
        <v>73.33333333</v>
      </c>
      <c r="H1423" s="95" t="s">
        <v>1792</v>
      </c>
      <c r="J1423" s="120" t="s">
        <v>1808</v>
      </c>
      <c r="K1423" s="99"/>
      <c r="L1423" s="50"/>
      <c r="M1423" s="50"/>
      <c r="P1423" s="68"/>
    </row>
    <row r="1424">
      <c r="A1424" s="95">
        <v>1.92004551944E11</v>
      </c>
      <c r="B1424" s="151" t="s">
        <v>1807</v>
      </c>
      <c r="C1424" s="95" t="s">
        <v>97</v>
      </c>
      <c r="D1424" s="95">
        <v>1.0</v>
      </c>
      <c r="E1424" s="101">
        <v>220.0</v>
      </c>
      <c r="F1424" s="101">
        <f t="shared" si="232"/>
        <v>220</v>
      </c>
      <c r="G1424" s="101">
        <f t="shared" si="233"/>
        <v>73.33333333</v>
      </c>
      <c r="H1424" s="95" t="s">
        <v>1792</v>
      </c>
      <c r="J1424" s="120" t="s">
        <v>1808</v>
      </c>
      <c r="K1424" s="99"/>
      <c r="L1424" s="50"/>
      <c r="M1424" s="50"/>
      <c r="P1424" s="68"/>
    </row>
    <row r="1425">
      <c r="A1425" s="95">
        <v>1.92004551951E11</v>
      </c>
      <c r="B1425" s="151" t="s">
        <v>1807</v>
      </c>
      <c r="C1425" s="95" t="s">
        <v>97</v>
      </c>
      <c r="D1425" s="95">
        <v>1.0</v>
      </c>
      <c r="E1425" s="101">
        <v>220.0</v>
      </c>
      <c r="F1425" s="101">
        <f t="shared" si="232"/>
        <v>220</v>
      </c>
      <c r="G1425" s="101">
        <f t="shared" si="233"/>
        <v>73.33333333</v>
      </c>
      <c r="H1425" s="95" t="s">
        <v>1792</v>
      </c>
      <c r="J1425" s="120" t="s">
        <v>1808</v>
      </c>
      <c r="K1425" s="99"/>
      <c r="L1425" s="50"/>
      <c r="M1425" s="50"/>
      <c r="P1425" s="68"/>
    </row>
    <row r="1426">
      <c r="A1426" s="95">
        <v>1.92004551968E11</v>
      </c>
      <c r="B1426" s="151" t="s">
        <v>1807</v>
      </c>
      <c r="C1426" s="95" t="s">
        <v>97</v>
      </c>
      <c r="D1426" s="95">
        <v>1.0</v>
      </c>
      <c r="E1426" s="101">
        <v>220.0</v>
      </c>
      <c r="F1426" s="101">
        <f t="shared" si="232"/>
        <v>220</v>
      </c>
      <c r="G1426" s="101">
        <f t="shared" si="233"/>
        <v>73.33333333</v>
      </c>
      <c r="H1426" s="95" t="s">
        <v>1792</v>
      </c>
      <c r="J1426" s="120" t="s">
        <v>1808</v>
      </c>
      <c r="K1426" s="99"/>
      <c r="L1426" s="50"/>
      <c r="M1426" s="50"/>
      <c r="P1426" s="68"/>
    </row>
    <row r="1427">
      <c r="A1427" s="95">
        <v>1.92004551975E11</v>
      </c>
      <c r="B1427" s="151" t="s">
        <v>1807</v>
      </c>
      <c r="C1427" s="95" t="s">
        <v>97</v>
      </c>
      <c r="D1427" s="95">
        <v>1.0</v>
      </c>
      <c r="E1427" s="101">
        <v>220.0</v>
      </c>
      <c r="F1427" s="101">
        <f t="shared" si="232"/>
        <v>220</v>
      </c>
      <c r="G1427" s="101">
        <f t="shared" si="233"/>
        <v>73.33333333</v>
      </c>
      <c r="H1427" s="95" t="s">
        <v>1792</v>
      </c>
      <c r="J1427" s="120" t="s">
        <v>1808</v>
      </c>
      <c r="K1427" s="99"/>
      <c r="L1427" s="50"/>
      <c r="M1427" s="50"/>
      <c r="P1427" s="68"/>
    </row>
    <row r="1428">
      <c r="A1428" s="95">
        <v>1.92004551982E11</v>
      </c>
      <c r="B1428" s="151" t="s">
        <v>1807</v>
      </c>
      <c r="C1428" s="95" t="s">
        <v>97</v>
      </c>
      <c r="D1428" s="95">
        <v>2.0</v>
      </c>
      <c r="E1428" s="101">
        <v>220.0</v>
      </c>
      <c r="F1428" s="101">
        <f t="shared" si="232"/>
        <v>440</v>
      </c>
      <c r="G1428" s="101">
        <f t="shared" si="233"/>
        <v>146.6666667</v>
      </c>
      <c r="H1428" s="95" t="s">
        <v>1792</v>
      </c>
      <c r="J1428" s="120" t="s">
        <v>1808</v>
      </c>
      <c r="K1428" s="99"/>
      <c r="L1428" s="50"/>
      <c r="M1428" s="50"/>
      <c r="P1428" s="68"/>
    </row>
    <row r="1429">
      <c r="A1429" s="231" t="s">
        <v>267</v>
      </c>
      <c r="B1429" s="231" t="s">
        <v>1809</v>
      </c>
      <c r="C1429" s="234" t="str">
        <f>MID($B1429,6,7)</f>
        <v>GR18278</v>
      </c>
      <c r="D1429" s="231"/>
      <c r="E1429" s="231"/>
      <c r="F1429" s="231"/>
      <c r="G1429" s="231"/>
      <c r="H1429" s="235">
        <v>44559.0</v>
      </c>
      <c r="J1429" s="108" t="str">
        <f>IF(LEFT(B1429,3)="Box","BOX","COUNT")</f>
        <v>BOX</v>
      </c>
      <c r="K1429" s="99">
        <f>SUMIF($J$4:$J$8712,$C1429,$D$4:$D$8712)</f>
        <v>7</v>
      </c>
      <c r="L1429" s="50">
        <f>SUMIF($J$4:$J$8712,$C1429,$F$4:$F$8712)</f>
        <v>1540</v>
      </c>
      <c r="M1429" s="50">
        <f>SUMIF($J$4:$J$8712,$C1429,$G$4:$G$8712)</f>
        <v>513.3333333</v>
      </c>
      <c r="N1429" s="70" t="str">
        <f>C1429</f>
        <v>GR18278</v>
      </c>
      <c r="O1429" s="70" t="str">
        <f>J1430</f>
        <v>NSHIP</v>
      </c>
      <c r="P1429" s="68">
        <f>M1429</f>
        <v>513.3333333</v>
      </c>
      <c r="Q1429" s="114">
        <v>44559.0</v>
      </c>
      <c r="R1429" s="37" t="s">
        <v>155</v>
      </c>
      <c r="S1429" s="37" t="s">
        <v>156</v>
      </c>
    </row>
    <row r="1430">
      <c r="A1430" s="211"/>
      <c r="B1430" s="231"/>
      <c r="C1430" s="109"/>
      <c r="D1430" s="109"/>
      <c r="E1430" s="116"/>
      <c r="F1430" s="116"/>
      <c r="G1430" s="116"/>
      <c r="H1430" s="109"/>
      <c r="J1430" s="108" t="str">
        <f>IF(B1430="","NSHIP","SHIP")</f>
        <v>NSHIP</v>
      </c>
      <c r="K1430" s="99">
        <f>IF($J1430="NSHIP",0,-SUMIF($J$4:$J$8712,$C1429,$D$4:$D$8712))</f>
        <v>0</v>
      </c>
      <c r="L1430" s="50">
        <f>IF($J1430="NSHIP",0,-SUMIF($J$4:$J$8710,$C1429,$F$4:$F$8710))</f>
        <v>0</v>
      </c>
      <c r="M1430" s="50">
        <f>IF($J1430="NSHIP",0,-SUMIF($J$4:$J$8710,$C1429,$G$4:$G$8710))</f>
        <v>0</v>
      </c>
      <c r="P1430" s="68"/>
    </row>
    <row r="1431">
      <c r="A1431" s="95">
        <v>1.90955078565E11</v>
      </c>
      <c r="B1431" s="164" t="s">
        <v>1810</v>
      </c>
      <c r="C1431" s="95" t="s">
        <v>97</v>
      </c>
      <c r="D1431" s="95">
        <v>1.0</v>
      </c>
      <c r="E1431" s="101">
        <v>79.0</v>
      </c>
      <c r="F1431" s="101">
        <f t="shared" ref="F1431:F1432" si="234">E1431*D1431</f>
        <v>79</v>
      </c>
      <c r="G1431" s="101">
        <f t="shared" ref="G1431:G1432" si="235">F1431/3</f>
        <v>26.33333333</v>
      </c>
      <c r="H1431" s="95" t="s">
        <v>1811</v>
      </c>
      <c r="J1431" s="120" t="s">
        <v>1812</v>
      </c>
      <c r="K1431" s="99"/>
      <c r="L1431" s="50"/>
      <c r="M1431" s="50"/>
      <c r="P1431" s="68"/>
    </row>
    <row r="1432">
      <c r="A1432" s="95">
        <v>1.92151903719E11</v>
      </c>
      <c r="B1432" s="131" t="s">
        <v>1813</v>
      </c>
      <c r="C1432" s="95" t="s">
        <v>97</v>
      </c>
      <c r="D1432" s="95">
        <v>1.0</v>
      </c>
      <c r="E1432" s="101">
        <v>79.0</v>
      </c>
      <c r="F1432" s="101">
        <f t="shared" si="234"/>
        <v>79</v>
      </c>
      <c r="G1432" s="101">
        <f t="shared" si="235"/>
        <v>26.33333333</v>
      </c>
      <c r="H1432" s="95" t="s">
        <v>1811</v>
      </c>
      <c r="J1432" s="120" t="s">
        <v>1812</v>
      </c>
      <c r="K1432" s="99"/>
      <c r="L1432" s="50"/>
      <c r="M1432" s="50"/>
      <c r="P1432" s="68"/>
    </row>
    <row r="1433">
      <c r="A1433" s="102" t="s">
        <v>819</v>
      </c>
      <c r="B1433" s="209" t="s">
        <v>1814</v>
      </c>
      <c r="C1433" s="104"/>
      <c r="D1433" s="104"/>
      <c r="E1433" s="105"/>
      <c r="F1433" s="106"/>
      <c r="G1433" s="106"/>
      <c r="H1433" s="104"/>
      <c r="J1433" s="120"/>
      <c r="K1433" s="99"/>
      <c r="L1433" s="50"/>
      <c r="M1433" s="50"/>
      <c r="P1433" s="68"/>
    </row>
    <row r="1434">
      <c r="A1434" s="210">
        <v>1.90955078619E11</v>
      </c>
      <c r="B1434" s="151" t="s">
        <v>1815</v>
      </c>
      <c r="C1434" s="95" t="s">
        <v>97</v>
      </c>
      <c r="D1434" s="95">
        <v>1.0</v>
      </c>
      <c r="E1434" s="101">
        <v>79.0</v>
      </c>
      <c r="F1434" s="101">
        <f t="shared" ref="F1434:F1439" si="236">E1434*D1434</f>
        <v>79</v>
      </c>
      <c r="G1434" s="101">
        <f t="shared" ref="G1434:G1439" si="237">F1434/3</f>
        <v>26.33333333</v>
      </c>
      <c r="H1434" s="95" t="s">
        <v>1811</v>
      </c>
      <c r="I1434" s="70" t="s">
        <v>1816</v>
      </c>
      <c r="J1434" s="120" t="s">
        <v>1812</v>
      </c>
      <c r="K1434" s="99"/>
      <c r="L1434" s="50"/>
      <c r="M1434" s="50"/>
      <c r="P1434" s="68"/>
    </row>
    <row r="1435">
      <c r="A1435" s="210">
        <v>1.91644036606E11</v>
      </c>
      <c r="B1435" s="151" t="s">
        <v>1817</v>
      </c>
      <c r="C1435" s="95" t="s">
        <v>97</v>
      </c>
      <c r="D1435" s="95">
        <v>1.0</v>
      </c>
      <c r="E1435" s="101">
        <v>59.0</v>
      </c>
      <c r="F1435" s="101">
        <f t="shared" si="236"/>
        <v>59</v>
      </c>
      <c r="G1435" s="101">
        <f t="shared" si="237"/>
        <v>19.66666667</v>
      </c>
      <c r="H1435" s="95" t="s">
        <v>1811</v>
      </c>
      <c r="I1435" s="70" t="s">
        <v>1816</v>
      </c>
      <c r="J1435" s="120" t="s">
        <v>1812</v>
      </c>
      <c r="K1435" s="99"/>
      <c r="L1435" s="50"/>
      <c r="M1435" s="50"/>
      <c r="P1435" s="68"/>
    </row>
    <row r="1436">
      <c r="A1436" s="210">
        <v>1.91644151507E11</v>
      </c>
      <c r="B1436" s="151" t="s">
        <v>1818</v>
      </c>
      <c r="C1436" s="95" t="s">
        <v>97</v>
      </c>
      <c r="D1436" s="95">
        <v>2.0</v>
      </c>
      <c r="E1436" s="101">
        <v>79.0</v>
      </c>
      <c r="F1436" s="101">
        <f t="shared" si="236"/>
        <v>158</v>
      </c>
      <c r="G1436" s="101">
        <f t="shared" si="237"/>
        <v>52.66666667</v>
      </c>
      <c r="H1436" s="95" t="s">
        <v>1811</v>
      </c>
      <c r="I1436" s="70" t="s">
        <v>1816</v>
      </c>
      <c r="J1436" s="120" t="s">
        <v>1812</v>
      </c>
      <c r="K1436" s="99"/>
      <c r="L1436" s="50"/>
      <c r="M1436" s="50"/>
      <c r="P1436" s="68"/>
    </row>
    <row r="1437">
      <c r="A1437" s="210">
        <v>1.91644251535E11</v>
      </c>
      <c r="B1437" s="151" t="s">
        <v>1819</v>
      </c>
      <c r="C1437" s="95" t="s">
        <v>97</v>
      </c>
      <c r="D1437" s="95">
        <v>1.0</v>
      </c>
      <c r="E1437" s="101">
        <v>129.0</v>
      </c>
      <c r="F1437" s="101">
        <f t="shared" si="236"/>
        <v>129</v>
      </c>
      <c r="G1437" s="101">
        <f t="shared" si="237"/>
        <v>43</v>
      </c>
      <c r="H1437" s="95" t="s">
        <v>1811</v>
      </c>
      <c r="I1437" s="70" t="s">
        <v>1816</v>
      </c>
      <c r="J1437" s="120" t="s">
        <v>1812</v>
      </c>
      <c r="K1437" s="99"/>
      <c r="L1437" s="50"/>
      <c r="M1437" s="50"/>
      <c r="P1437" s="68"/>
    </row>
    <row r="1438">
      <c r="A1438" s="210">
        <v>1.92151233762E11</v>
      </c>
      <c r="B1438" s="151" t="s">
        <v>1820</v>
      </c>
      <c r="C1438" s="95" t="s">
        <v>97</v>
      </c>
      <c r="D1438" s="95">
        <v>1.0</v>
      </c>
      <c r="E1438" s="101">
        <v>129.0</v>
      </c>
      <c r="F1438" s="101">
        <f t="shared" si="236"/>
        <v>129</v>
      </c>
      <c r="G1438" s="101">
        <f t="shared" si="237"/>
        <v>43</v>
      </c>
      <c r="H1438" s="95" t="s">
        <v>1811</v>
      </c>
      <c r="I1438" s="70" t="s">
        <v>1816</v>
      </c>
      <c r="J1438" s="120" t="s">
        <v>1812</v>
      </c>
      <c r="K1438" s="99"/>
      <c r="L1438" s="50"/>
      <c r="M1438" s="50"/>
      <c r="P1438" s="68"/>
    </row>
    <row r="1439">
      <c r="A1439" s="210">
        <v>1.92151864744E11</v>
      </c>
      <c r="B1439" s="151" t="s">
        <v>1821</v>
      </c>
      <c r="C1439" s="95" t="s">
        <v>97</v>
      </c>
      <c r="D1439" s="95">
        <v>1.0</v>
      </c>
      <c r="E1439" s="101">
        <v>89.0</v>
      </c>
      <c r="F1439" s="101">
        <f t="shared" si="236"/>
        <v>89</v>
      </c>
      <c r="G1439" s="101">
        <f t="shared" si="237"/>
        <v>29.66666667</v>
      </c>
      <c r="H1439" s="95" t="s">
        <v>1811</v>
      </c>
      <c r="I1439" s="70" t="s">
        <v>1816</v>
      </c>
      <c r="J1439" s="120" t="s">
        <v>1812</v>
      </c>
      <c r="K1439" s="99"/>
      <c r="L1439" s="50"/>
      <c r="M1439" s="50"/>
      <c r="P1439" s="68"/>
    </row>
    <row r="1440">
      <c r="A1440" s="111" t="s">
        <v>115</v>
      </c>
      <c r="B1440" s="111" t="s">
        <v>1822</v>
      </c>
      <c r="C1440" s="112" t="str">
        <f>MID($B1440,6,7)</f>
        <v>GR18279</v>
      </c>
      <c r="D1440" s="111"/>
      <c r="E1440" s="111"/>
      <c r="F1440" s="111"/>
      <c r="G1440" s="111"/>
      <c r="H1440" s="113">
        <v>44559.0</v>
      </c>
      <c r="J1440" s="108" t="str">
        <f>IF(LEFT(B1440,3)="Box","BOX","COUNT")</f>
        <v>BOX</v>
      </c>
      <c r="K1440" s="99">
        <f>SUMIF($J$4:$J$8712,$C1440,$D$4:$D$8712)</f>
        <v>9</v>
      </c>
      <c r="L1440" s="50">
        <f>SUMIF($J$4:$J$8712,$C1440,$F$4:$F$8712)</f>
        <v>801</v>
      </c>
      <c r="M1440" s="50">
        <f>SUMIF($J$4:$J$8712,$C1440,$G$4:$G$8712)</f>
        <v>267</v>
      </c>
      <c r="N1440" s="70" t="str">
        <f>C1440</f>
        <v>GR18279</v>
      </c>
      <c r="O1440" s="70" t="str">
        <f>J1441</f>
        <v>SHIP</v>
      </c>
      <c r="P1440" s="68">
        <f>M1440</f>
        <v>267</v>
      </c>
      <c r="Q1440" s="114">
        <v>44529.0</v>
      </c>
      <c r="R1440" s="37" t="s">
        <v>1823</v>
      </c>
      <c r="S1440" s="37" t="s">
        <v>1824</v>
      </c>
    </row>
    <row r="1441">
      <c r="A1441" s="211"/>
      <c r="B1441" s="111" t="s">
        <v>1825</v>
      </c>
      <c r="C1441" s="109"/>
      <c r="D1441" s="109"/>
      <c r="E1441" s="116"/>
      <c r="F1441" s="116"/>
      <c r="G1441" s="116"/>
      <c r="H1441" s="109"/>
      <c r="J1441" s="108" t="str">
        <f>IF(B1441="","NSHIP","SHIP")</f>
        <v>SHIP</v>
      </c>
      <c r="K1441" s="99">
        <f>IF($J1441="NSHIP",0,-SUMIF($J$4:$J$8712,$C1440,$D$4:$D$8712))</f>
        <v>-9</v>
      </c>
      <c r="L1441" s="50">
        <f>IF($J1441="NSHIP",0,-SUMIF($J$4:$J$8710,$C1440,$F$4:$F$8710))</f>
        <v>-801</v>
      </c>
      <c r="M1441" s="50">
        <f>IF($J1441="NSHIP",0,-SUMIF($J$4:$J$8710,$C1440,$G$4:$G$8710))</f>
        <v>-267</v>
      </c>
      <c r="P1441" s="68"/>
    </row>
    <row r="1442">
      <c r="A1442" s="117">
        <v>8.25073963805E11</v>
      </c>
      <c r="B1442" s="100" t="s">
        <v>1826</v>
      </c>
      <c r="C1442" s="118" t="s">
        <v>97</v>
      </c>
      <c r="D1442" s="100">
        <v>1.0</v>
      </c>
      <c r="E1442" s="119">
        <v>79.99</v>
      </c>
      <c r="F1442" s="119">
        <f t="shared" ref="F1442:F1446" si="238">E1442*D1442</f>
        <v>79.99</v>
      </c>
      <c r="G1442" s="119">
        <f t="shared" ref="G1442:G1446" si="239">F1442/3</f>
        <v>26.66333333</v>
      </c>
      <c r="H1442" s="100" t="s">
        <v>1827</v>
      </c>
      <c r="J1442" s="120" t="s">
        <v>1828</v>
      </c>
      <c r="K1442" s="99"/>
      <c r="L1442" s="50"/>
      <c r="M1442" s="50"/>
      <c r="P1442" s="68"/>
    </row>
    <row r="1443">
      <c r="A1443" s="117">
        <v>8.25076178954E11</v>
      </c>
      <c r="B1443" s="100" t="s">
        <v>1829</v>
      </c>
      <c r="C1443" s="118" t="s">
        <v>97</v>
      </c>
      <c r="D1443" s="100">
        <v>1.0</v>
      </c>
      <c r="E1443" s="119">
        <v>110.0</v>
      </c>
      <c r="F1443" s="119">
        <f t="shared" si="238"/>
        <v>110</v>
      </c>
      <c r="G1443" s="119">
        <f t="shared" si="239"/>
        <v>36.66666667</v>
      </c>
      <c r="H1443" s="100" t="s">
        <v>98</v>
      </c>
      <c r="J1443" s="120" t="s">
        <v>1828</v>
      </c>
      <c r="K1443" s="99"/>
      <c r="L1443" s="50"/>
      <c r="M1443" s="50"/>
      <c r="P1443" s="68"/>
    </row>
    <row r="1444">
      <c r="A1444" s="117">
        <v>8.25076178961E11</v>
      </c>
      <c r="B1444" s="100" t="s">
        <v>1830</v>
      </c>
      <c r="C1444" s="118" t="s">
        <v>97</v>
      </c>
      <c r="D1444" s="100">
        <v>1.0</v>
      </c>
      <c r="E1444" s="119">
        <v>110.0</v>
      </c>
      <c r="F1444" s="119">
        <f t="shared" si="238"/>
        <v>110</v>
      </c>
      <c r="G1444" s="119">
        <f t="shared" si="239"/>
        <v>36.66666667</v>
      </c>
      <c r="H1444" s="100" t="s">
        <v>98</v>
      </c>
      <c r="J1444" s="120" t="s">
        <v>1828</v>
      </c>
      <c r="K1444" s="99"/>
      <c r="L1444" s="50"/>
      <c r="M1444" s="50"/>
      <c r="P1444" s="68"/>
    </row>
    <row r="1445">
      <c r="A1445" s="117">
        <v>8.87039757095E11</v>
      </c>
      <c r="B1445" s="100" t="s">
        <v>1831</v>
      </c>
      <c r="C1445" s="118" t="s">
        <v>97</v>
      </c>
      <c r="D1445" s="100">
        <v>1.0</v>
      </c>
      <c r="E1445" s="119">
        <v>200.0</v>
      </c>
      <c r="F1445" s="119">
        <f t="shared" si="238"/>
        <v>200</v>
      </c>
      <c r="G1445" s="119">
        <f t="shared" si="239"/>
        <v>66.66666667</v>
      </c>
      <c r="H1445" s="100" t="s">
        <v>98</v>
      </c>
      <c r="J1445" s="120" t="s">
        <v>1828</v>
      </c>
      <c r="K1445" s="99"/>
      <c r="L1445" s="50"/>
      <c r="M1445" s="50"/>
      <c r="P1445" s="68"/>
    </row>
    <row r="1446">
      <c r="A1446" s="117">
        <v>8.87039819229E11</v>
      </c>
      <c r="B1446" s="100" t="s">
        <v>1832</v>
      </c>
      <c r="C1446" s="118" t="s">
        <v>97</v>
      </c>
      <c r="D1446" s="100">
        <v>1.0</v>
      </c>
      <c r="E1446" s="119">
        <v>89.99</v>
      </c>
      <c r="F1446" s="119">
        <f t="shared" si="238"/>
        <v>89.99</v>
      </c>
      <c r="G1446" s="119">
        <f t="shared" si="239"/>
        <v>29.99666667</v>
      </c>
      <c r="H1446" s="100" t="s">
        <v>1827</v>
      </c>
      <c r="J1446" s="120" t="s">
        <v>1828</v>
      </c>
      <c r="K1446" s="99"/>
      <c r="L1446" s="50"/>
      <c r="M1446" s="50"/>
      <c r="P1446" s="68"/>
    </row>
    <row r="1447">
      <c r="A1447" s="166" t="s">
        <v>1766</v>
      </c>
      <c r="B1447" s="122" t="s">
        <v>1833</v>
      </c>
      <c r="C1447" s="118"/>
      <c r="D1447" s="100"/>
      <c r="E1447" s="119"/>
      <c r="F1447" s="119"/>
      <c r="G1447" s="119"/>
      <c r="H1447" s="100"/>
      <c r="J1447" s="120"/>
      <c r="K1447" s="99"/>
      <c r="L1447" s="50"/>
      <c r="M1447" s="50"/>
      <c r="P1447" s="68"/>
    </row>
    <row r="1448">
      <c r="A1448" s="117">
        <v>8.8703983864E11</v>
      </c>
      <c r="B1448" s="100" t="s">
        <v>1834</v>
      </c>
      <c r="C1448" s="118" t="s">
        <v>97</v>
      </c>
      <c r="D1448" s="100">
        <v>1.0</v>
      </c>
      <c r="E1448" s="119">
        <v>89.99</v>
      </c>
      <c r="F1448" s="119">
        <f>E1448*D1448</f>
        <v>89.99</v>
      </c>
      <c r="G1448" s="119">
        <f>F1448/3</f>
        <v>29.99666667</v>
      </c>
      <c r="H1448" s="100" t="s">
        <v>1827</v>
      </c>
      <c r="J1448" s="120" t="s">
        <v>1828</v>
      </c>
      <c r="K1448" s="99"/>
      <c r="L1448" s="50"/>
      <c r="M1448" s="50"/>
      <c r="P1448" s="68"/>
    </row>
    <row r="1449">
      <c r="A1449" s="166" t="s">
        <v>587</v>
      </c>
      <c r="B1449" s="135" t="s">
        <v>1835</v>
      </c>
      <c r="C1449" s="118"/>
      <c r="D1449" s="100"/>
      <c r="E1449" s="119"/>
      <c r="F1449" s="119"/>
      <c r="G1449" s="119"/>
      <c r="H1449" s="100"/>
      <c r="J1449" s="120"/>
      <c r="K1449" s="99"/>
      <c r="L1449" s="50"/>
      <c r="M1449" s="50"/>
      <c r="P1449" s="68"/>
    </row>
    <row r="1450">
      <c r="A1450" s="123" t="s">
        <v>132</v>
      </c>
      <c r="B1450" s="112" t="s">
        <v>1836</v>
      </c>
      <c r="C1450" s="124" t="str">
        <f>MID($B1450,6,7)</f>
        <v>GR18280</v>
      </c>
      <c r="D1450" s="125"/>
      <c r="E1450" s="126"/>
      <c r="F1450" s="126"/>
      <c r="G1450" s="126"/>
      <c r="H1450" s="127">
        <v>44559.0</v>
      </c>
      <c r="J1450" s="108" t="str">
        <f>IF(LEFT(B1450,3)="Box","BOX","COUNT")</f>
        <v>BOX</v>
      </c>
      <c r="K1450" s="99">
        <f>SUMIF($J$4:$J$8712,$C1450,$D$4:$D$8712)</f>
        <v>6</v>
      </c>
      <c r="L1450" s="50">
        <f>SUMIF($J$4:$J$8712,$C1450,$F$4:$F$8712)</f>
        <v>679.97</v>
      </c>
      <c r="M1450" s="50">
        <f>SUMIF($J$4:$J$8712,$C1450,$G$4:$G$8712)</f>
        <v>226.6566667</v>
      </c>
      <c r="N1450" s="36" t="str">
        <f>C1450</f>
        <v>GR18280</v>
      </c>
      <c r="O1450" s="70" t="str">
        <f>J1451</f>
        <v>SHIP</v>
      </c>
      <c r="P1450" s="68">
        <f>M1450</f>
        <v>226.6566667</v>
      </c>
      <c r="Q1450" s="114">
        <v>44529.0</v>
      </c>
      <c r="R1450" s="37" t="s">
        <v>1823</v>
      </c>
      <c r="S1450" s="37" t="s">
        <v>1824</v>
      </c>
    </row>
    <row r="1451">
      <c r="A1451" s="221"/>
      <c r="B1451" s="112" t="s">
        <v>1837</v>
      </c>
      <c r="C1451" s="129"/>
      <c r="D1451" s="125"/>
      <c r="E1451" s="126"/>
      <c r="F1451" s="126"/>
      <c r="G1451" s="126"/>
      <c r="H1451" s="125"/>
      <c r="J1451" s="108" t="str">
        <f>IF(B1451="","NSHIP","SHIP")</f>
        <v>SHIP</v>
      </c>
      <c r="K1451" s="99">
        <f>IF($J1451="NSHIP",0,-SUMIF($J$4:$J$8712,$C1450,$D$4:$D$8712))</f>
        <v>-6</v>
      </c>
      <c r="L1451" s="50">
        <f>IF($J1451="NSHIP",0,-SUMIF($J$4:$J$8710,$C1450,$F$4:$F$8710))</f>
        <v>-679.97</v>
      </c>
      <c r="M1451" s="50">
        <f>IF($J1451="NSHIP",0,-SUMIF($J$4:$J$8710,$C1450,$G$4:$G$8710))</f>
        <v>-226.6566667</v>
      </c>
      <c r="P1451" s="68"/>
    </row>
    <row r="1452">
      <c r="A1452" s="96">
        <v>2.9016111838E10</v>
      </c>
      <c r="B1452" s="100" t="s">
        <v>1838</v>
      </c>
      <c r="C1452" s="100" t="s">
        <v>97</v>
      </c>
      <c r="D1452" s="100">
        <v>1.0</v>
      </c>
      <c r="E1452" s="119">
        <v>59.0</v>
      </c>
      <c r="F1452" s="119">
        <f t="shared" ref="F1452:F1456" si="240">E1452*D1452</f>
        <v>59</v>
      </c>
      <c r="G1452" s="119">
        <f t="shared" ref="G1452:G1456" si="241">F1452/3</f>
        <v>19.66666667</v>
      </c>
      <c r="H1452" s="132" t="s">
        <v>1839</v>
      </c>
      <c r="I1452" s="1"/>
      <c r="J1452" s="104" t="s">
        <v>1840</v>
      </c>
      <c r="K1452" s="133"/>
      <c r="L1452" s="105"/>
      <c r="M1452" s="105"/>
      <c r="N1452" s="1"/>
      <c r="O1452" s="1"/>
      <c r="P1452" s="68"/>
    </row>
    <row r="1453">
      <c r="A1453" s="100">
        <v>7.40372395235E11</v>
      </c>
      <c r="B1453" s="100" t="s">
        <v>1841</v>
      </c>
      <c r="C1453" s="100" t="s">
        <v>97</v>
      </c>
      <c r="D1453" s="100">
        <v>1.0</v>
      </c>
      <c r="E1453" s="119">
        <v>59.0</v>
      </c>
      <c r="F1453" s="119">
        <f t="shared" si="240"/>
        <v>59</v>
      </c>
      <c r="G1453" s="119">
        <f t="shared" si="241"/>
        <v>19.66666667</v>
      </c>
      <c r="H1453" s="132" t="s">
        <v>1839</v>
      </c>
      <c r="I1453" s="1"/>
      <c r="J1453" s="104" t="s">
        <v>1840</v>
      </c>
      <c r="K1453" s="133"/>
      <c r="L1453" s="105"/>
      <c r="M1453" s="105"/>
      <c r="N1453" s="1"/>
      <c r="O1453" s="1"/>
      <c r="P1453" s="68"/>
    </row>
    <row r="1454">
      <c r="A1454" s="100">
        <v>7.40372395259E11</v>
      </c>
      <c r="B1454" s="100" t="s">
        <v>1842</v>
      </c>
      <c r="C1454" s="100" t="s">
        <v>97</v>
      </c>
      <c r="D1454" s="100">
        <v>1.0</v>
      </c>
      <c r="E1454" s="119">
        <v>59.0</v>
      </c>
      <c r="F1454" s="119">
        <f t="shared" si="240"/>
        <v>59</v>
      </c>
      <c r="G1454" s="119">
        <f t="shared" si="241"/>
        <v>19.66666667</v>
      </c>
      <c r="H1454" s="132" t="s">
        <v>1839</v>
      </c>
      <c r="I1454" s="1"/>
      <c r="J1454" s="104" t="s">
        <v>1840</v>
      </c>
      <c r="K1454" s="133"/>
      <c r="L1454" s="105"/>
      <c r="M1454" s="105"/>
      <c r="N1454" s="1"/>
      <c r="O1454" s="1"/>
      <c r="P1454" s="68"/>
    </row>
    <row r="1455">
      <c r="A1455" s="100">
        <v>8.86063619355E11</v>
      </c>
      <c r="B1455" s="100" t="s">
        <v>1843</v>
      </c>
      <c r="C1455" s="100" t="s">
        <v>97</v>
      </c>
      <c r="D1455" s="100">
        <v>1.0</v>
      </c>
      <c r="E1455" s="119">
        <v>139.0</v>
      </c>
      <c r="F1455" s="119">
        <f t="shared" si="240"/>
        <v>139</v>
      </c>
      <c r="G1455" s="119">
        <f t="shared" si="241"/>
        <v>46.33333333</v>
      </c>
      <c r="H1455" s="132" t="s">
        <v>1839</v>
      </c>
      <c r="I1455" s="1"/>
      <c r="J1455" s="104" t="s">
        <v>1840</v>
      </c>
      <c r="K1455" s="133"/>
      <c r="L1455" s="105"/>
      <c r="M1455" s="105"/>
      <c r="N1455" s="1"/>
      <c r="O1455" s="1"/>
      <c r="P1455" s="68"/>
    </row>
    <row r="1456">
      <c r="A1456" s="100">
        <v>8.86063651744E11</v>
      </c>
      <c r="B1456" s="100" t="s">
        <v>1844</v>
      </c>
      <c r="C1456" s="100" t="s">
        <v>97</v>
      </c>
      <c r="D1456" s="100">
        <v>1.0</v>
      </c>
      <c r="E1456" s="119">
        <v>99.0</v>
      </c>
      <c r="F1456" s="119">
        <f t="shared" si="240"/>
        <v>99</v>
      </c>
      <c r="G1456" s="119">
        <f t="shared" si="241"/>
        <v>33</v>
      </c>
      <c r="H1456" s="132" t="s">
        <v>1839</v>
      </c>
      <c r="I1456" s="1"/>
      <c r="J1456" s="104" t="s">
        <v>1840</v>
      </c>
      <c r="K1456" s="133"/>
      <c r="L1456" s="105"/>
      <c r="M1456" s="105"/>
      <c r="N1456" s="1"/>
      <c r="O1456" s="1"/>
      <c r="P1456" s="68"/>
    </row>
    <row r="1457">
      <c r="A1457" s="135" t="s">
        <v>1396</v>
      </c>
      <c r="B1457" s="236" t="s">
        <v>1845</v>
      </c>
      <c r="C1457" s="100"/>
      <c r="D1457" s="100"/>
      <c r="E1457" s="119"/>
      <c r="F1457" s="119"/>
      <c r="G1457" s="119"/>
      <c r="H1457" s="146"/>
      <c r="I1457" s="1"/>
      <c r="J1457" s="104"/>
      <c r="K1457" s="133"/>
      <c r="L1457" s="105"/>
      <c r="M1457" s="105"/>
      <c r="N1457" s="1"/>
      <c r="O1457" s="1"/>
      <c r="P1457" s="68"/>
    </row>
    <row r="1458">
      <c r="A1458" s="112" t="s">
        <v>153</v>
      </c>
      <c r="B1458" s="112" t="s">
        <v>1846</v>
      </c>
      <c r="C1458" s="112" t="str">
        <f>MID($B1458,6,7)</f>
        <v>GR18281</v>
      </c>
      <c r="D1458" s="112"/>
      <c r="E1458" s="138"/>
      <c r="F1458" s="138"/>
      <c r="G1458" s="138"/>
      <c r="H1458" s="127">
        <v>44559.0</v>
      </c>
      <c r="I1458" s="1"/>
      <c r="J1458" s="104" t="str">
        <f>IF(LEFT(B1458,3)="Box","BOX","COUNT")</f>
        <v>BOX</v>
      </c>
      <c r="K1458" s="139">
        <f>SUMIF($J$4:$J$8683,$C1458,$D$4:$D$8683)</f>
        <v>5</v>
      </c>
      <c r="L1458" s="32">
        <f>SUMIF($J$4:$J$8683,$C1458,$F$4:$F$8683)</f>
        <v>415</v>
      </c>
      <c r="M1458" s="32">
        <f>SUMIF($J$4:$J$8683,$C1458,$G$4:$G$8683)</f>
        <v>138.3333333</v>
      </c>
      <c r="N1458" s="1" t="str">
        <f>C1458</f>
        <v>GR18281</v>
      </c>
      <c r="O1458" s="1" t="str">
        <f>J1459</f>
        <v>SHIP</v>
      </c>
      <c r="P1458" s="68">
        <f>M1458</f>
        <v>138.3333333</v>
      </c>
      <c r="Q1458" s="114">
        <v>44529.0</v>
      </c>
      <c r="R1458" s="37" t="s">
        <v>1823</v>
      </c>
      <c r="S1458" s="37" t="s">
        <v>1824</v>
      </c>
    </row>
    <row r="1459">
      <c r="A1459" s="211">
        <v>44561.0</v>
      </c>
      <c r="B1459" s="140" t="s">
        <v>1847</v>
      </c>
      <c r="C1459" s="141"/>
      <c r="D1459" s="141"/>
      <c r="E1459" s="142"/>
      <c r="F1459" s="142"/>
      <c r="G1459" s="142"/>
      <c r="H1459" s="150"/>
      <c r="I1459" s="1"/>
      <c r="J1459" s="104" t="str">
        <f>IF(B1459="","NSHIP","SHIP")</f>
        <v>SHIP</v>
      </c>
      <c r="K1459" s="139">
        <f>IF($J1459="NSHIP",0,-SUMIF($J$4:$J$8683,$C1458,$D$4:$D$8683))</f>
        <v>-5</v>
      </c>
      <c r="L1459" s="32">
        <f>IF($J1459="NSHIP",0,-SUMIF($J$4:$J$8681,$C1458,$F$4:$F$8681))</f>
        <v>-415</v>
      </c>
      <c r="M1459" s="32">
        <f>IF($J1459="NSHIP",0,-SUMIF($J$4:$J$8681,$C1458,$G$4:$G$8681))</f>
        <v>-138.3333333</v>
      </c>
      <c r="N1459" s="1"/>
      <c r="O1459" s="1"/>
      <c r="P1459" s="68"/>
    </row>
    <row r="1460">
      <c r="A1460" s="100">
        <v>1.7114956888E10</v>
      </c>
      <c r="B1460" s="131" t="s">
        <v>1848</v>
      </c>
      <c r="C1460" s="100" t="s">
        <v>97</v>
      </c>
      <c r="D1460" s="100">
        <v>1.0</v>
      </c>
      <c r="E1460" s="119">
        <v>89.0</v>
      </c>
      <c r="F1460" s="119">
        <f t="shared" ref="F1460:F1464" si="242">E1460*D1460</f>
        <v>89</v>
      </c>
      <c r="G1460" s="119">
        <f t="shared" ref="G1460:G1464" si="243">F1460/3</f>
        <v>29.66666667</v>
      </c>
      <c r="H1460" s="100" t="s">
        <v>1849</v>
      </c>
      <c r="J1460" s="120" t="s">
        <v>1850</v>
      </c>
      <c r="K1460" s="99"/>
      <c r="L1460" s="50"/>
      <c r="M1460" s="50"/>
      <c r="P1460" s="68"/>
    </row>
    <row r="1461">
      <c r="A1461" s="100">
        <v>7.27686170628E11</v>
      </c>
      <c r="B1461" s="131" t="s">
        <v>1851</v>
      </c>
      <c r="C1461" s="100" t="s">
        <v>97</v>
      </c>
      <c r="D1461" s="100">
        <v>1.0</v>
      </c>
      <c r="E1461" s="119">
        <v>89.0</v>
      </c>
      <c r="F1461" s="119">
        <f t="shared" si="242"/>
        <v>89</v>
      </c>
      <c r="G1461" s="119">
        <f t="shared" si="243"/>
        <v>29.66666667</v>
      </c>
      <c r="H1461" s="100" t="s">
        <v>1849</v>
      </c>
      <c r="J1461" s="120" t="s">
        <v>1850</v>
      </c>
      <c r="K1461" s="99"/>
      <c r="L1461" s="50"/>
      <c r="M1461" s="50"/>
      <c r="P1461" s="68"/>
    </row>
    <row r="1462">
      <c r="A1462" s="100">
        <v>7.36713168378E11</v>
      </c>
      <c r="B1462" s="131" t="s">
        <v>1852</v>
      </c>
      <c r="C1462" s="100" t="s">
        <v>97</v>
      </c>
      <c r="D1462" s="100">
        <v>1.0</v>
      </c>
      <c r="E1462" s="119">
        <v>159.0</v>
      </c>
      <c r="F1462" s="119">
        <f t="shared" si="242"/>
        <v>159</v>
      </c>
      <c r="G1462" s="119">
        <f t="shared" si="243"/>
        <v>53</v>
      </c>
      <c r="H1462" s="100" t="s">
        <v>1849</v>
      </c>
      <c r="J1462" s="120" t="s">
        <v>1850</v>
      </c>
      <c r="K1462" s="99"/>
      <c r="L1462" s="50"/>
      <c r="M1462" s="50"/>
      <c r="P1462" s="68"/>
    </row>
    <row r="1463">
      <c r="A1463" s="100">
        <v>7.36716130167E11</v>
      </c>
      <c r="B1463" s="131" t="s">
        <v>1853</v>
      </c>
      <c r="C1463" s="100" t="s">
        <v>97</v>
      </c>
      <c r="D1463" s="100">
        <v>1.0</v>
      </c>
      <c r="E1463" s="119">
        <v>139.0</v>
      </c>
      <c r="F1463" s="119">
        <f t="shared" si="242"/>
        <v>139</v>
      </c>
      <c r="G1463" s="119">
        <f t="shared" si="243"/>
        <v>46.33333333</v>
      </c>
      <c r="H1463" s="100" t="s">
        <v>1849</v>
      </c>
      <c r="J1463" s="120" t="s">
        <v>1850</v>
      </c>
      <c r="K1463" s="99"/>
      <c r="L1463" s="50"/>
      <c r="M1463" s="50"/>
      <c r="P1463" s="68"/>
    </row>
    <row r="1464">
      <c r="A1464" s="100">
        <v>7.36716142269E11</v>
      </c>
      <c r="B1464" s="131" t="s">
        <v>1854</v>
      </c>
      <c r="C1464" s="100" t="s">
        <v>97</v>
      </c>
      <c r="D1464" s="100">
        <v>1.0</v>
      </c>
      <c r="E1464" s="119">
        <v>189.0</v>
      </c>
      <c r="F1464" s="119">
        <f t="shared" si="242"/>
        <v>189</v>
      </c>
      <c r="G1464" s="119">
        <f t="shared" si="243"/>
        <v>63</v>
      </c>
      <c r="H1464" s="100" t="s">
        <v>1849</v>
      </c>
      <c r="J1464" s="120" t="s">
        <v>1850</v>
      </c>
      <c r="K1464" s="99"/>
      <c r="L1464" s="50"/>
      <c r="M1464" s="50"/>
      <c r="P1464" s="68"/>
    </row>
    <row r="1465">
      <c r="A1465" s="144" t="s">
        <v>217</v>
      </c>
      <c r="B1465" s="152" t="s">
        <v>1855</v>
      </c>
      <c r="C1465" s="146"/>
      <c r="D1465" s="146"/>
      <c r="E1465" s="147"/>
      <c r="F1465" s="147"/>
      <c r="G1465" s="147"/>
      <c r="H1465" s="148"/>
      <c r="J1465" s="35"/>
      <c r="K1465" s="99"/>
      <c r="L1465" s="50"/>
      <c r="M1465" s="50"/>
      <c r="P1465" s="68"/>
    </row>
    <row r="1466">
      <c r="A1466" s="100">
        <v>7.36716139955E11</v>
      </c>
      <c r="B1466" s="131" t="s">
        <v>1856</v>
      </c>
      <c r="C1466" s="100" t="s">
        <v>97</v>
      </c>
      <c r="D1466" s="100">
        <v>1.0</v>
      </c>
      <c r="E1466" s="119">
        <v>199.0</v>
      </c>
      <c r="F1466" s="119">
        <f>E1466*D1466</f>
        <v>199</v>
      </c>
      <c r="G1466" s="119">
        <f>F1466/3</f>
        <v>66.33333333</v>
      </c>
      <c r="H1466" s="143" t="s">
        <v>1849</v>
      </c>
      <c r="J1466" s="120" t="s">
        <v>1850</v>
      </c>
      <c r="K1466" s="99"/>
      <c r="L1466" s="50"/>
      <c r="M1466" s="50"/>
      <c r="P1466" s="68"/>
    </row>
    <row r="1467">
      <c r="A1467" s="144" t="s">
        <v>429</v>
      </c>
      <c r="B1467" s="152" t="s">
        <v>1857</v>
      </c>
      <c r="C1467" s="146"/>
      <c r="D1467" s="146"/>
      <c r="E1467" s="146"/>
      <c r="F1467" s="146"/>
      <c r="G1467" s="146"/>
      <c r="H1467" s="148"/>
      <c r="J1467" s="108"/>
      <c r="K1467" s="99"/>
      <c r="L1467" s="50"/>
      <c r="M1467" s="50"/>
      <c r="P1467" s="68"/>
    </row>
    <row r="1468">
      <c r="A1468" s="112" t="s">
        <v>224</v>
      </c>
      <c r="B1468" s="112" t="s">
        <v>1858</v>
      </c>
      <c r="C1468" s="112" t="str">
        <f>MID($B1468,6,7)</f>
        <v>GR18282</v>
      </c>
      <c r="D1468" s="112"/>
      <c r="E1468" s="112"/>
      <c r="F1468" s="112"/>
      <c r="G1468" s="112"/>
      <c r="H1468" s="127">
        <v>44559.0</v>
      </c>
      <c r="J1468" s="108" t="str">
        <f>IF(LEFT(B1468,3)="Box","BOX","COUNT")</f>
        <v>BOX</v>
      </c>
      <c r="K1468" s="99">
        <f>SUMIF($J$4:$J$8712,$C1468,$D$4:$D$8712)</f>
        <v>6</v>
      </c>
      <c r="L1468" s="50">
        <f>SUMIF($J$4:$J$8712,$C1468,$F$4:$F$8712)</f>
        <v>864</v>
      </c>
      <c r="M1468" s="50">
        <f>SUMIF($J$4:$J$8712,$C1468,$G$4:$G$8712)</f>
        <v>288</v>
      </c>
      <c r="N1468" s="70" t="str">
        <f>C1468</f>
        <v>GR18282</v>
      </c>
      <c r="O1468" s="70" t="str">
        <f>J1469</f>
        <v>SHIP</v>
      </c>
      <c r="P1468" s="68">
        <f>M1468</f>
        <v>288</v>
      </c>
      <c r="Q1468" s="114">
        <v>44529.0</v>
      </c>
      <c r="R1468" s="37" t="s">
        <v>1823</v>
      </c>
      <c r="S1468" s="37" t="s">
        <v>1824</v>
      </c>
    </row>
    <row r="1469">
      <c r="A1469" s="222"/>
      <c r="B1469" s="112" t="s">
        <v>1859</v>
      </c>
      <c r="C1469" s="141"/>
      <c r="D1469" s="141"/>
      <c r="E1469" s="142"/>
      <c r="F1469" s="142"/>
      <c r="G1469" s="142"/>
      <c r="H1469" s="115" t="s">
        <v>119</v>
      </c>
      <c r="J1469" s="108" t="str">
        <f>IF(B1469="","NSHIP","SHIP")</f>
        <v>SHIP</v>
      </c>
      <c r="K1469" s="99">
        <f>IF($J1469="NSHIP",0,-SUMIF($J$4:$J$8712,$C1468,$D$4:$D$8712))</f>
        <v>-6</v>
      </c>
      <c r="L1469" s="50">
        <f>IF($J1469="NSHIP",0,-SUMIF($J$4:$J$8710,$C1468,$F$4:$F$8710))</f>
        <v>-864</v>
      </c>
      <c r="M1469" s="50">
        <f>IF($J1469="NSHIP",0,-SUMIF($J$4:$J$8710,$C1468,$G$4:$G$8710))</f>
        <v>-288</v>
      </c>
      <c r="P1469" s="68"/>
    </row>
    <row r="1470">
      <c r="A1470" s="95">
        <v>8.89305548567E11</v>
      </c>
      <c r="B1470" s="151" t="s">
        <v>1860</v>
      </c>
      <c r="C1470" s="95" t="s">
        <v>97</v>
      </c>
      <c r="D1470" s="95">
        <v>1.0</v>
      </c>
      <c r="E1470" s="101">
        <v>85.0</v>
      </c>
      <c r="F1470" s="101">
        <f t="shared" ref="F1470:F1480" si="244">E1470*D1470</f>
        <v>85</v>
      </c>
      <c r="G1470" s="101">
        <f t="shared" ref="G1470:G1480" si="245">F1470/3</f>
        <v>28.33333333</v>
      </c>
      <c r="H1470" s="95" t="s">
        <v>797</v>
      </c>
      <c r="J1470" s="120" t="s">
        <v>1861</v>
      </c>
      <c r="K1470" s="99"/>
      <c r="L1470" s="50"/>
      <c r="M1470" s="50"/>
      <c r="P1470" s="68"/>
    </row>
    <row r="1471">
      <c r="A1471" s="95">
        <v>8.89307562967E11</v>
      </c>
      <c r="B1471" s="151" t="s">
        <v>1862</v>
      </c>
      <c r="C1471" s="95" t="s">
        <v>97</v>
      </c>
      <c r="D1471" s="95">
        <v>1.0</v>
      </c>
      <c r="E1471" s="101">
        <v>135.0</v>
      </c>
      <c r="F1471" s="101">
        <f t="shared" si="244"/>
        <v>135</v>
      </c>
      <c r="G1471" s="101">
        <f t="shared" si="245"/>
        <v>45</v>
      </c>
      <c r="H1471" s="95" t="s">
        <v>797</v>
      </c>
      <c r="J1471" s="120" t="s">
        <v>1861</v>
      </c>
      <c r="K1471" s="99"/>
      <c r="L1471" s="50"/>
      <c r="M1471" s="50"/>
      <c r="P1471" s="68"/>
    </row>
    <row r="1472">
      <c r="A1472" s="95">
        <v>8.89307683327E11</v>
      </c>
      <c r="B1472" s="151" t="s">
        <v>1863</v>
      </c>
      <c r="C1472" s="95" t="s">
        <v>97</v>
      </c>
      <c r="D1472" s="95">
        <v>1.0</v>
      </c>
      <c r="E1472" s="101">
        <v>130.0</v>
      </c>
      <c r="F1472" s="101">
        <f t="shared" si="244"/>
        <v>130</v>
      </c>
      <c r="G1472" s="101">
        <f t="shared" si="245"/>
        <v>43.33333333</v>
      </c>
      <c r="H1472" s="95" t="s">
        <v>797</v>
      </c>
      <c r="J1472" s="120" t="s">
        <v>1861</v>
      </c>
      <c r="K1472" s="99"/>
      <c r="L1472" s="50"/>
      <c r="M1472" s="50"/>
      <c r="P1472" s="68"/>
    </row>
    <row r="1473">
      <c r="A1473" s="95">
        <v>8.89308394246E11</v>
      </c>
      <c r="B1473" s="151" t="s">
        <v>1864</v>
      </c>
      <c r="C1473" s="95" t="s">
        <v>97</v>
      </c>
      <c r="D1473" s="95">
        <v>1.0</v>
      </c>
      <c r="E1473" s="101">
        <v>120.0</v>
      </c>
      <c r="F1473" s="101">
        <f t="shared" si="244"/>
        <v>120</v>
      </c>
      <c r="G1473" s="101">
        <f t="shared" si="245"/>
        <v>40</v>
      </c>
      <c r="H1473" s="95" t="s">
        <v>797</v>
      </c>
      <c r="J1473" s="120" t="s">
        <v>1861</v>
      </c>
      <c r="K1473" s="99"/>
      <c r="L1473" s="50"/>
      <c r="M1473" s="50"/>
      <c r="P1473" s="68"/>
    </row>
    <row r="1474">
      <c r="A1474" s="95">
        <v>8.89308530163E11</v>
      </c>
      <c r="B1474" s="151" t="s">
        <v>1865</v>
      </c>
      <c r="C1474" s="95" t="s">
        <v>97</v>
      </c>
      <c r="D1474" s="95">
        <v>1.0</v>
      </c>
      <c r="E1474" s="101">
        <v>180.0</v>
      </c>
      <c r="F1474" s="101">
        <f t="shared" si="244"/>
        <v>180</v>
      </c>
      <c r="G1474" s="101">
        <f t="shared" si="245"/>
        <v>60</v>
      </c>
      <c r="H1474" s="95" t="s">
        <v>797</v>
      </c>
      <c r="J1474" s="120" t="s">
        <v>1861</v>
      </c>
      <c r="K1474" s="99"/>
      <c r="L1474" s="50"/>
      <c r="M1474" s="50"/>
      <c r="P1474" s="68"/>
    </row>
    <row r="1475">
      <c r="A1475" s="95">
        <v>8.89308530187E11</v>
      </c>
      <c r="B1475" s="151" t="s">
        <v>1866</v>
      </c>
      <c r="C1475" s="95" t="s">
        <v>97</v>
      </c>
      <c r="D1475" s="95">
        <v>1.0</v>
      </c>
      <c r="E1475" s="101">
        <v>180.0</v>
      </c>
      <c r="F1475" s="101">
        <f t="shared" si="244"/>
        <v>180</v>
      </c>
      <c r="G1475" s="101">
        <f t="shared" si="245"/>
        <v>60</v>
      </c>
      <c r="H1475" s="95" t="s">
        <v>797</v>
      </c>
      <c r="J1475" s="120" t="s">
        <v>1861</v>
      </c>
      <c r="K1475" s="99"/>
      <c r="L1475" s="50"/>
      <c r="M1475" s="50"/>
      <c r="P1475" s="68"/>
    </row>
    <row r="1476">
      <c r="A1476" s="95">
        <v>8.89308530217E11</v>
      </c>
      <c r="B1476" s="151" t="s">
        <v>1866</v>
      </c>
      <c r="C1476" s="95" t="s">
        <v>97</v>
      </c>
      <c r="D1476" s="95">
        <v>2.0</v>
      </c>
      <c r="E1476" s="101">
        <v>180.0</v>
      </c>
      <c r="F1476" s="101">
        <f t="shared" si="244"/>
        <v>360</v>
      </c>
      <c r="G1476" s="101">
        <f t="shared" si="245"/>
        <v>120</v>
      </c>
      <c r="H1476" s="95" t="s">
        <v>797</v>
      </c>
      <c r="J1476" s="120" t="s">
        <v>1861</v>
      </c>
      <c r="K1476" s="99"/>
      <c r="L1476" s="50"/>
      <c r="M1476" s="50"/>
      <c r="P1476" s="68"/>
    </row>
    <row r="1477">
      <c r="A1477" s="95">
        <v>8.89308530224E11</v>
      </c>
      <c r="B1477" s="151" t="s">
        <v>1866</v>
      </c>
      <c r="C1477" s="95" t="s">
        <v>97</v>
      </c>
      <c r="D1477" s="95">
        <v>1.0</v>
      </c>
      <c r="E1477" s="101">
        <v>180.0</v>
      </c>
      <c r="F1477" s="101">
        <f t="shared" si="244"/>
        <v>180</v>
      </c>
      <c r="G1477" s="101">
        <f t="shared" si="245"/>
        <v>60</v>
      </c>
      <c r="H1477" s="95" t="s">
        <v>797</v>
      </c>
      <c r="J1477" s="120" t="s">
        <v>1861</v>
      </c>
      <c r="K1477" s="99"/>
      <c r="L1477" s="50"/>
      <c r="M1477" s="50"/>
      <c r="P1477" s="68"/>
    </row>
    <row r="1478">
      <c r="A1478" s="95">
        <v>8.89308530255E11</v>
      </c>
      <c r="B1478" s="151" t="s">
        <v>1866</v>
      </c>
      <c r="C1478" s="95" t="s">
        <v>97</v>
      </c>
      <c r="D1478" s="95">
        <v>1.0</v>
      </c>
      <c r="E1478" s="101">
        <v>180.0</v>
      </c>
      <c r="F1478" s="101">
        <f t="shared" si="244"/>
        <v>180</v>
      </c>
      <c r="G1478" s="101">
        <f t="shared" si="245"/>
        <v>60</v>
      </c>
      <c r="H1478" s="95" t="s">
        <v>797</v>
      </c>
      <c r="J1478" s="120" t="s">
        <v>1861</v>
      </c>
      <c r="K1478" s="99"/>
      <c r="L1478" s="50"/>
      <c r="M1478" s="50"/>
      <c r="P1478" s="68"/>
    </row>
    <row r="1479">
      <c r="A1479" s="95">
        <v>8.89309535624E11</v>
      </c>
      <c r="B1479" s="151" t="s">
        <v>1867</v>
      </c>
      <c r="C1479" s="95" t="s">
        <v>97</v>
      </c>
      <c r="D1479" s="95">
        <v>1.0</v>
      </c>
      <c r="E1479" s="101">
        <v>135.0</v>
      </c>
      <c r="F1479" s="101">
        <f t="shared" si="244"/>
        <v>135</v>
      </c>
      <c r="G1479" s="101">
        <f t="shared" si="245"/>
        <v>45</v>
      </c>
      <c r="H1479" s="95" t="s">
        <v>797</v>
      </c>
      <c r="J1479" s="120" t="s">
        <v>1861</v>
      </c>
      <c r="K1479" s="99"/>
      <c r="L1479" s="50"/>
      <c r="M1479" s="50"/>
      <c r="P1479" s="68"/>
    </row>
    <row r="1480">
      <c r="A1480" s="95">
        <v>8.89309535679E11</v>
      </c>
      <c r="B1480" s="151" t="s">
        <v>1868</v>
      </c>
      <c r="C1480" s="95" t="s">
        <v>97</v>
      </c>
      <c r="D1480" s="95">
        <v>1.0</v>
      </c>
      <c r="E1480" s="101">
        <v>135.0</v>
      </c>
      <c r="F1480" s="101">
        <f t="shared" si="244"/>
        <v>135</v>
      </c>
      <c r="G1480" s="101">
        <f t="shared" si="245"/>
        <v>45</v>
      </c>
      <c r="H1480" s="95" t="s">
        <v>797</v>
      </c>
      <c r="J1480" s="120" t="s">
        <v>1861</v>
      </c>
      <c r="K1480" s="99"/>
      <c r="L1480" s="50"/>
      <c r="M1480" s="50"/>
      <c r="P1480" s="68"/>
    </row>
    <row r="1481">
      <c r="A1481" s="231" t="s">
        <v>267</v>
      </c>
      <c r="B1481" s="231" t="s">
        <v>1869</v>
      </c>
      <c r="C1481" s="234" t="str">
        <f>MID($B1481,6,7)</f>
        <v>GR18283</v>
      </c>
      <c r="D1481" s="231"/>
      <c r="E1481" s="231"/>
      <c r="F1481" s="231"/>
      <c r="G1481" s="231"/>
      <c r="H1481" s="235">
        <v>44559.0</v>
      </c>
      <c r="J1481" s="108" t="str">
        <f>IF(LEFT(B1481,3)="Box","BOX","COUNT")</f>
        <v>BOX</v>
      </c>
      <c r="K1481" s="99">
        <f>SUMIF($J$4:$J$8712,$C1481,$D$4:$D$8712)</f>
        <v>12</v>
      </c>
      <c r="L1481" s="50">
        <f>SUMIF($J$4:$J$8712,$C1481,$F$4:$F$8712)</f>
        <v>1820</v>
      </c>
      <c r="M1481" s="50">
        <f>SUMIF($J$4:$J$8712,$C1481,$G$4:$G$8712)</f>
        <v>606.6666667</v>
      </c>
      <c r="N1481" s="70" t="str">
        <f>C1481</f>
        <v>GR18283</v>
      </c>
      <c r="O1481" s="70" t="str">
        <f>J1482</f>
        <v>NSHIP</v>
      </c>
      <c r="P1481" s="68">
        <f>M1481</f>
        <v>606.6666667</v>
      </c>
      <c r="Q1481" s="114">
        <v>44529.0</v>
      </c>
      <c r="R1481" s="37" t="s">
        <v>1823</v>
      </c>
      <c r="S1481" s="37" t="s">
        <v>1824</v>
      </c>
    </row>
    <row r="1482">
      <c r="A1482" s="211"/>
      <c r="B1482" s="231"/>
      <c r="C1482" s="109"/>
      <c r="D1482" s="109"/>
      <c r="E1482" s="116"/>
      <c r="F1482" s="116"/>
      <c r="G1482" s="116"/>
      <c r="H1482" s="109"/>
      <c r="J1482" s="108" t="str">
        <f>IF(B1482="","NSHIP","SHIP")</f>
        <v>NSHIP</v>
      </c>
      <c r="K1482" s="99">
        <f>IF($J1482="NSHIP",0,-SUMIF($J$4:$J$8712,$C1481,$D$4:$D$8712))</f>
        <v>0</v>
      </c>
      <c r="L1482" s="50">
        <f>IF($J1482="NSHIP",0,-SUMIF($J$4:$J$8710,$C1481,$F$4:$F$8710))</f>
        <v>0</v>
      </c>
      <c r="M1482" s="50">
        <f>IF($J1482="NSHIP",0,-SUMIF($J$4:$J$8710,$C1481,$G$4:$G$8710))</f>
        <v>0</v>
      </c>
      <c r="P1482" s="68"/>
    </row>
    <row r="1483">
      <c r="A1483" s="95">
        <v>1.92734268976E11</v>
      </c>
      <c r="B1483" s="164" t="s">
        <v>1870</v>
      </c>
      <c r="C1483" s="95" t="s">
        <v>97</v>
      </c>
      <c r="D1483" s="95">
        <v>1.0</v>
      </c>
      <c r="E1483" s="101">
        <v>49.5</v>
      </c>
      <c r="F1483" s="101">
        <f t="shared" ref="F1483:F1486" si="246">E1483*D1483</f>
        <v>49.5</v>
      </c>
      <c r="G1483" s="101">
        <f t="shared" ref="G1483:G1486" si="247">F1483/3</f>
        <v>16.5</v>
      </c>
      <c r="H1483" s="95" t="s">
        <v>345</v>
      </c>
      <c r="J1483" s="120" t="s">
        <v>1871</v>
      </c>
      <c r="K1483" s="99"/>
      <c r="L1483" s="50"/>
      <c r="M1483" s="50"/>
      <c r="P1483" s="68"/>
    </row>
    <row r="1484">
      <c r="A1484" s="95">
        <v>1.92734333261E11</v>
      </c>
      <c r="B1484" s="131" t="s">
        <v>1872</v>
      </c>
      <c r="C1484" s="95" t="s">
        <v>97</v>
      </c>
      <c r="D1484" s="95">
        <v>1.0</v>
      </c>
      <c r="E1484" s="101">
        <v>99.0</v>
      </c>
      <c r="F1484" s="101">
        <f t="shared" si="246"/>
        <v>99</v>
      </c>
      <c r="G1484" s="101">
        <f t="shared" si="247"/>
        <v>33</v>
      </c>
      <c r="H1484" s="95" t="s">
        <v>1255</v>
      </c>
      <c r="J1484" s="120" t="s">
        <v>1871</v>
      </c>
      <c r="K1484" s="99"/>
      <c r="L1484" s="50"/>
      <c r="M1484" s="50"/>
      <c r="P1484" s="68"/>
    </row>
    <row r="1485">
      <c r="A1485" s="95">
        <v>1.94009484418E11</v>
      </c>
      <c r="B1485" s="131" t="s">
        <v>1873</v>
      </c>
      <c r="C1485" s="95" t="s">
        <v>97</v>
      </c>
      <c r="D1485" s="95">
        <v>1.0</v>
      </c>
      <c r="E1485" s="101">
        <v>129.0</v>
      </c>
      <c r="F1485" s="101">
        <f t="shared" si="246"/>
        <v>129</v>
      </c>
      <c r="G1485" s="101">
        <f t="shared" si="247"/>
        <v>43</v>
      </c>
      <c r="H1485" s="95" t="s">
        <v>1255</v>
      </c>
      <c r="J1485" s="120" t="s">
        <v>1871</v>
      </c>
      <c r="K1485" s="99"/>
      <c r="L1485" s="50"/>
      <c r="M1485" s="50"/>
      <c r="P1485" s="68"/>
    </row>
    <row r="1486">
      <c r="A1486" s="95">
        <v>1.94009517499E11</v>
      </c>
      <c r="B1486" s="131" t="s">
        <v>1874</v>
      </c>
      <c r="C1486" s="95" t="s">
        <v>97</v>
      </c>
      <c r="D1486" s="95">
        <v>1.0</v>
      </c>
      <c r="E1486" s="101">
        <v>129.0</v>
      </c>
      <c r="F1486" s="101">
        <f t="shared" si="246"/>
        <v>129</v>
      </c>
      <c r="G1486" s="101">
        <f t="shared" si="247"/>
        <v>43</v>
      </c>
      <c r="H1486" s="95" t="s">
        <v>1255</v>
      </c>
      <c r="J1486" s="120" t="s">
        <v>1871</v>
      </c>
      <c r="K1486" s="99"/>
      <c r="L1486" s="50"/>
      <c r="M1486" s="50"/>
      <c r="P1486" s="68"/>
    </row>
    <row r="1487">
      <c r="A1487" s="102" t="s">
        <v>1265</v>
      </c>
      <c r="B1487" s="209" t="s">
        <v>1875</v>
      </c>
      <c r="C1487" s="104"/>
      <c r="D1487" s="104"/>
      <c r="E1487" s="105"/>
      <c r="F1487" s="106"/>
      <c r="G1487" s="106"/>
      <c r="H1487" s="107"/>
      <c r="J1487" s="108"/>
      <c r="K1487" s="99"/>
      <c r="L1487" s="50"/>
      <c r="M1487" s="50"/>
      <c r="P1487" s="68"/>
    </row>
    <row r="1488">
      <c r="A1488" s="111" t="s">
        <v>115</v>
      </c>
      <c r="B1488" s="111" t="s">
        <v>1876</v>
      </c>
      <c r="C1488" s="112" t="str">
        <f>MID($B1488,6,7)</f>
        <v>GR18284</v>
      </c>
      <c r="D1488" s="111"/>
      <c r="E1488" s="111"/>
      <c r="F1488" s="111"/>
      <c r="G1488" s="111"/>
      <c r="H1488" s="113">
        <v>44559.0</v>
      </c>
      <c r="J1488" s="108" t="str">
        <f>IF(LEFT(B1488,3)="Box","BOX","COUNT")</f>
        <v>BOX</v>
      </c>
      <c r="K1488" s="99">
        <f>SUMIF($J$4:$J$8712,$C1488,$D$4:$D$8712)</f>
        <v>4</v>
      </c>
      <c r="L1488" s="50">
        <f>SUMIF($J$4:$J$8712,$C1488,$F$4:$F$8712)</f>
        <v>406.5</v>
      </c>
      <c r="M1488" s="50">
        <f>SUMIF($J$4:$J$8712,$C1488,$G$4:$G$8712)</f>
        <v>135.5</v>
      </c>
      <c r="N1488" s="70" t="str">
        <f>C1488</f>
        <v>GR18284</v>
      </c>
      <c r="O1488" s="70" t="str">
        <f>J1489</f>
        <v>SHIP</v>
      </c>
      <c r="P1488" s="68">
        <f>M1488</f>
        <v>135.5</v>
      </c>
      <c r="Q1488" s="114">
        <v>44559.0</v>
      </c>
      <c r="R1488" s="37" t="s">
        <v>155</v>
      </c>
      <c r="S1488" s="37" t="s">
        <v>156</v>
      </c>
    </row>
    <row r="1489">
      <c r="A1489" s="211"/>
      <c r="B1489" s="111" t="s">
        <v>1877</v>
      </c>
      <c r="C1489" s="109"/>
      <c r="D1489" s="109"/>
      <c r="E1489" s="116"/>
      <c r="F1489" s="116"/>
      <c r="G1489" s="116"/>
      <c r="H1489" s="109"/>
      <c r="J1489" s="108" t="str">
        <f>IF(B1489="","NSHIP","SHIP")</f>
        <v>SHIP</v>
      </c>
      <c r="K1489" s="99">
        <f>IF($J1489="NSHIP",0,-SUMIF($J$4:$J$8712,$C1488,$D$4:$D$8712))</f>
        <v>-4</v>
      </c>
      <c r="L1489" s="50">
        <f>IF($J1489="NSHIP",0,-SUMIF($J$4:$J$8710,$C1488,$F$4:$F$8710))</f>
        <v>-406.5</v>
      </c>
      <c r="M1489" s="50">
        <f>IF($J1489="NSHIP",0,-SUMIF($J$4:$J$8710,$C1488,$G$4:$G$8710))</f>
        <v>-135.5</v>
      </c>
      <c r="P1489" s="68"/>
    </row>
    <row r="1490">
      <c r="A1490" s="117">
        <v>7.37182504285E11</v>
      </c>
      <c r="B1490" s="100" t="s">
        <v>1878</v>
      </c>
      <c r="C1490" s="118" t="s">
        <v>97</v>
      </c>
      <c r="D1490" s="100">
        <v>1.0</v>
      </c>
      <c r="E1490" s="119">
        <v>75.0</v>
      </c>
      <c r="F1490" s="119">
        <f t="shared" ref="F1490:F1492" si="248">E1490*D1490</f>
        <v>75</v>
      </c>
      <c r="G1490" s="119">
        <f t="shared" ref="G1490:G1492" si="249">F1490/3</f>
        <v>25</v>
      </c>
      <c r="H1490" s="100" t="s">
        <v>1879</v>
      </c>
      <c r="J1490" s="120" t="s">
        <v>1880</v>
      </c>
      <c r="K1490" s="99"/>
      <c r="L1490" s="50"/>
      <c r="M1490" s="50"/>
      <c r="P1490" s="68"/>
    </row>
    <row r="1491">
      <c r="A1491" s="117">
        <v>7.37182591315E11</v>
      </c>
      <c r="B1491" s="100" t="s">
        <v>1881</v>
      </c>
      <c r="C1491" s="118" t="s">
        <v>97</v>
      </c>
      <c r="D1491" s="100">
        <v>1.0</v>
      </c>
      <c r="E1491" s="119">
        <v>40.0</v>
      </c>
      <c r="F1491" s="119">
        <f t="shared" si="248"/>
        <v>40</v>
      </c>
      <c r="G1491" s="119">
        <f t="shared" si="249"/>
        <v>13.33333333</v>
      </c>
      <c r="H1491" s="100" t="s">
        <v>1879</v>
      </c>
      <c r="J1491" s="120" t="s">
        <v>1880</v>
      </c>
      <c r="K1491" s="99"/>
      <c r="L1491" s="50"/>
      <c r="M1491" s="50"/>
      <c r="P1491" s="68"/>
    </row>
    <row r="1492">
      <c r="A1492" s="117">
        <v>7.37182650654E11</v>
      </c>
      <c r="B1492" s="100" t="s">
        <v>1882</v>
      </c>
      <c r="C1492" s="118" t="s">
        <v>97</v>
      </c>
      <c r="D1492" s="100">
        <v>1.0</v>
      </c>
      <c r="E1492" s="119">
        <v>37.0</v>
      </c>
      <c r="F1492" s="119">
        <f t="shared" si="248"/>
        <v>37</v>
      </c>
      <c r="G1492" s="119">
        <f t="shared" si="249"/>
        <v>12.33333333</v>
      </c>
      <c r="H1492" s="100" t="s">
        <v>1879</v>
      </c>
      <c r="J1492" s="120" t="s">
        <v>1880</v>
      </c>
      <c r="K1492" s="99"/>
      <c r="L1492" s="50"/>
      <c r="M1492" s="50"/>
      <c r="P1492" s="68"/>
    </row>
    <row r="1493">
      <c r="A1493" s="121" t="s">
        <v>1531</v>
      </c>
      <c r="B1493" s="122" t="s">
        <v>1883</v>
      </c>
      <c r="C1493" s="118"/>
      <c r="D1493" s="100"/>
      <c r="E1493" s="119"/>
      <c r="F1493" s="119"/>
      <c r="G1493" s="119"/>
      <c r="H1493" s="100"/>
      <c r="J1493" s="120"/>
      <c r="K1493" s="99"/>
      <c r="L1493" s="50"/>
      <c r="M1493" s="50"/>
      <c r="P1493" s="68"/>
    </row>
    <row r="1494">
      <c r="A1494" s="117">
        <v>7.37182584713E11</v>
      </c>
      <c r="B1494" s="100" t="s">
        <v>1884</v>
      </c>
      <c r="C1494" s="118" t="s">
        <v>97</v>
      </c>
      <c r="D1494" s="100">
        <v>1.0</v>
      </c>
      <c r="E1494" s="119">
        <v>85.0</v>
      </c>
      <c r="F1494" s="119">
        <f>E1494*D1494</f>
        <v>85</v>
      </c>
      <c r="G1494" s="119">
        <f>F1494/3</f>
        <v>28.33333333</v>
      </c>
      <c r="H1494" s="100" t="s">
        <v>1879</v>
      </c>
      <c r="J1494" s="120" t="s">
        <v>1880</v>
      </c>
      <c r="K1494" s="99"/>
      <c r="L1494" s="50"/>
      <c r="M1494" s="50"/>
      <c r="P1494" s="68"/>
    </row>
    <row r="1495">
      <c r="A1495" s="166" t="s">
        <v>587</v>
      </c>
      <c r="B1495" s="135" t="s">
        <v>1885</v>
      </c>
      <c r="C1495" s="118"/>
      <c r="D1495" s="100"/>
      <c r="E1495" s="119"/>
      <c r="F1495" s="119"/>
      <c r="G1495" s="119"/>
      <c r="H1495" s="100"/>
      <c r="J1495" s="120"/>
      <c r="K1495" s="99"/>
      <c r="L1495" s="50"/>
      <c r="M1495" s="50"/>
      <c r="P1495" s="68"/>
    </row>
    <row r="1496">
      <c r="A1496" s="123" t="s">
        <v>132</v>
      </c>
      <c r="B1496" s="112" t="s">
        <v>1886</v>
      </c>
      <c r="C1496" s="124" t="str">
        <f>MID($B1496,6,7)</f>
        <v>GR18285</v>
      </c>
      <c r="D1496" s="125"/>
      <c r="E1496" s="126"/>
      <c r="F1496" s="126"/>
      <c r="G1496" s="126"/>
      <c r="H1496" s="127">
        <v>44559.0</v>
      </c>
      <c r="J1496" s="108" t="str">
        <f>IF(LEFT(B1496,3)="Box","BOX","COUNT")</f>
        <v>BOX</v>
      </c>
      <c r="K1496" s="99">
        <f>SUMIF($J$4:$J$8712,$C1496,$D$4:$D$8712)</f>
        <v>4</v>
      </c>
      <c r="L1496" s="50">
        <f>SUMIF($J$4:$J$8712,$C1496,$F$4:$F$8712)</f>
        <v>237</v>
      </c>
      <c r="M1496" s="50">
        <f>SUMIF($J$4:$J$8712,$C1496,$G$4:$G$8712)</f>
        <v>79</v>
      </c>
      <c r="N1496" s="36" t="str">
        <f>C1496</f>
        <v>GR18285</v>
      </c>
      <c r="O1496" s="70" t="str">
        <f>J1497</f>
        <v>SHIP</v>
      </c>
      <c r="P1496" s="68">
        <f>M1496</f>
        <v>79</v>
      </c>
      <c r="Q1496" s="114">
        <v>44559.0</v>
      </c>
      <c r="R1496" s="37" t="s">
        <v>155</v>
      </c>
      <c r="S1496" s="37" t="s">
        <v>156</v>
      </c>
    </row>
    <row r="1497">
      <c r="A1497" s="221"/>
      <c r="B1497" s="112" t="s">
        <v>1887</v>
      </c>
      <c r="C1497" s="129"/>
      <c r="D1497" s="125"/>
      <c r="E1497" s="126"/>
      <c r="F1497" s="126"/>
      <c r="G1497" s="126"/>
      <c r="H1497" s="125"/>
      <c r="J1497" s="108" t="str">
        <f>IF(B1497="","NSHIP","SHIP")</f>
        <v>SHIP</v>
      </c>
      <c r="K1497" s="99">
        <f>IF($J1497="NSHIP",0,-SUMIF($J$4:$J$8712,$C1496,$D$4:$D$8712))</f>
        <v>-4</v>
      </c>
      <c r="L1497" s="50">
        <f>IF($J1497="NSHIP",0,-SUMIF($J$4:$J$8710,$C1496,$F$4:$F$8710))</f>
        <v>-237</v>
      </c>
      <c r="M1497" s="50">
        <f>IF($J1497="NSHIP",0,-SUMIF($J$4:$J$8710,$C1496,$G$4:$G$8710))</f>
        <v>-79</v>
      </c>
      <c r="P1497" s="68"/>
    </row>
    <row r="1498">
      <c r="A1498" s="96">
        <v>1.9241010666E11</v>
      </c>
      <c r="B1498" s="131" t="s">
        <v>1888</v>
      </c>
      <c r="C1498" s="100" t="s">
        <v>97</v>
      </c>
      <c r="D1498" s="100">
        <v>1.0</v>
      </c>
      <c r="E1498" s="119">
        <v>85.0</v>
      </c>
      <c r="F1498" s="119">
        <f t="shared" ref="F1498:F1505" si="250">E1498*D1498</f>
        <v>85</v>
      </c>
      <c r="G1498" s="119">
        <f t="shared" ref="G1498:G1505" si="251">F1498/3</f>
        <v>28.33333333</v>
      </c>
      <c r="H1498" s="132" t="s">
        <v>1889</v>
      </c>
      <c r="I1498" s="1"/>
      <c r="J1498" s="104" t="s">
        <v>1890</v>
      </c>
      <c r="K1498" s="133"/>
      <c r="L1498" s="105"/>
      <c r="M1498" s="105"/>
      <c r="N1498" s="1"/>
      <c r="O1498" s="1"/>
      <c r="P1498" s="68"/>
    </row>
    <row r="1499">
      <c r="A1499" s="100">
        <v>1.92410364404E11</v>
      </c>
      <c r="B1499" s="186" t="s">
        <v>1891</v>
      </c>
      <c r="C1499" s="100" t="s">
        <v>97</v>
      </c>
      <c r="D1499" s="100">
        <v>1.0</v>
      </c>
      <c r="E1499" s="119">
        <v>100.0</v>
      </c>
      <c r="F1499" s="119">
        <f t="shared" si="250"/>
        <v>100</v>
      </c>
      <c r="G1499" s="119">
        <f t="shared" si="251"/>
        <v>33.33333333</v>
      </c>
      <c r="H1499" s="132" t="s">
        <v>1889</v>
      </c>
      <c r="I1499" s="1"/>
      <c r="J1499" s="104" t="s">
        <v>1890</v>
      </c>
      <c r="K1499" s="133"/>
      <c r="L1499" s="105"/>
      <c r="M1499" s="105"/>
      <c r="N1499" s="1"/>
      <c r="O1499" s="1"/>
      <c r="P1499" s="68"/>
    </row>
    <row r="1500">
      <c r="A1500" s="100">
        <v>1.92410708338E11</v>
      </c>
      <c r="B1500" s="131" t="s">
        <v>1892</v>
      </c>
      <c r="C1500" s="100" t="s">
        <v>97</v>
      </c>
      <c r="D1500" s="100">
        <v>1.0</v>
      </c>
      <c r="E1500" s="119">
        <v>100.0</v>
      </c>
      <c r="F1500" s="119">
        <f t="shared" si="250"/>
        <v>100</v>
      </c>
      <c r="G1500" s="119">
        <f t="shared" si="251"/>
        <v>33.33333333</v>
      </c>
      <c r="H1500" s="132" t="s">
        <v>1889</v>
      </c>
      <c r="I1500" s="1"/>
      <c r="J1500" s="104" t="s">
        <v>1890</v>
      </c>
      <c r="K1500" s="133"/>
      <c r="L1500" s="105"/>
      <c r="M1500" s="105"/>
      <c r="N1500" s="1"/>
      <c r="O1500" s="1"/>
      <c r="P1500" s="68"/>
    </row>
    <row r="1501">
      <c r="A1501" s="100">
        <v>1.92410708376E11</v>
      </c>
      <c r="B1501" s="131" t="s">
        <v>1893</v>
      </c>
      <c r="C1501" s="100" t="s">
        <v>97</v>
      </c>
      <c r="D1501" s="100">
        <v>1.0</v>
      </c>
      <c r="E1501" s="119">
        <v>100.0</v>
      </c>
      <c r="F1501" s="119">
        <f t="shared" si="250"/>
        <v>100</v>
      </c>
      <c r="G1501" s="119">
        <f t="shared" si="251"/>
        <v>33.33333333</v>
      </c>
      <c r="H1501" s="132" t="s">
        <v>1889</v>
      </c>
      <c r="I1501" s="1"/>
      <c r="J1501" s="104" t="s">
        <v>1890</v>
      </c>
      <c r="K1501" s="133"/>
      <c r="L1501" s="105"/>
      <c r="M1501" s="105"/>
      <c r="N1501" s="1"/>
      <c r="O1501" s="1"/>
      <c r="P1501" s="68"/>
    </row>
    <row r="1502">
      <c r="A1502" s="100">
        <v>1.9241070868E11</v>
      </c>
      <c r="B1502" s="131" t="s">
        <v>1894</v>
      </c>
      <c r="C1502" s="100" t="s">
        <v>97</v>
      </c>
      <c r="D1502" s="100">
        <v>1.0</v>
      </c>
      <c r="E1502" s="119">
        <v>65.0</v>
      </c>
      <c r="F1502" s="119">
        <f t="shared" si="250"/>
        <v>65</v>
      </c>
      <c r="G1502" s="119">
        <f t="shared" si="251"/>
        <v>21.66666667</v>
      </c>
      <c r="H1502" s="132" t="s">
        <v>1889</v>
      </c>
      <c r="I1502" s="1"/>
      <c r="J1502" s="104" t="s">
        <v>1890</v>
      </c>
      <c r="K1502" s="133"/>
      <c r="L1502" s="105"/>
      <c r="M1502" s="105"/>
      <c r="N1502" s="1"/>
      <c r="O1502" s="1"/>
      <c r="P1502" s="68"/>
    </row>
    <row r="1503">
      <c r="A1503" s="100">
        <v>1.92410710461E11</v>
      </c>
      <c r="B1503" s="131" t="s">
        <v>1895</v>
      </c>
      <c r="C1503" s="100" t="s">
        <v>97</v>
      </c>
      <c r="D1503" s="100">
        <v>1.0</v>
      </c>
      <c r="E1503" s="119">
        <v>60.0</v>
      </c>
      <c r="F1503" s="119">
        <f t="shared" si="250"/>
        <v>60</v>
      </c>
      <c r="G1503" s="119">
        <f t="shared" si="251"/>
        <v>20</v>
      </c>
      <c r="H1503" s="132" t="s">
        <v>1889</v>
      </c>
      <c r="I1503" s="1"/>
      <c r="J1503" s="104" t="s">
        <v>1890</v>
      </c>
      <c r="K1503" s="133"/>
      <c r="L1503" s="105"/>
      <c r="M1503" s="105"/>
      <c r="N1503" s="1"/>
      <c r="O1503" s="1"/>
      <c r="P1503" s="68"/>
    </row>
    <row r="1504">
      <c r="A1504" s="100">
        <v>1.92410710515E11</v>
      </c>
      <c r="B1504" s="131" t="s">
        <v>1896</v>
      </c>
      <c r="C1504" s="100" t="s">
        <v>97</v>
      </c>
      <c r="D1504" s="100">
        <v>2.0</v>
      </c>
      <c r="E1504" s="119">
        <v>60.0</v>
      </c>
      <c r="F1504" s="119">
        <f t="shared" si="250"/>
        <v>120</v>
      </c>
      <c r="G1504" s="119">
        <f t="shared" si="251"/>
        <v>40</v>
      </c>
      <c r="H1504" s="132" t="s">
        <v>1889</v>
      </c>
      <c r="I1504" s="1"/>
      <c r="J1504" s="104" t="s">
        <v>1890</v>
      </c>
      <c r="K1504" s="133"/>
      <c r="L1504" s="105"/>
      <c r="M1504" s="105"/>
      <c r="N1504" s="1"/>
      <c r="O1504" s="1"/>
      <c r="P1504" s="68"/>
    </row>
    <row r="1505">
      <c r="A1505" s="100">
        <v>1.94715035782E11</v>
      </c>
      <c r="B1505" s="186" t="s">
        <v>1897</v>
      </c>
      <c r="C1505" s="100" t="s">
        <v>97</v>
      </c>
      <c r="D1505" s="100">
        <v>1.0</v>
      </c>
      <c r="E1505" s="119">
        <v>65.0</v>
      </c>
      <c r="F1505" s="119">
        <f t="shared" si="250"/>
        <v>65</v>
      </c>
      <c r="G1505" s="119">
        <f t="shared" si="251"/>
        <v>21.66666667</v>
      </c>
      <c r="H1505" s="132" t="s">
        <v>1889</v>
      </c>
      <c r="I1505" s="1"/>
      <c r="J1505" s="104" t="s">
        <v>1890</v>
      </c>
      <c r="K1505" s="133"/>
      <c r="L1505" s="105"/>
      <c r="M1505" s="105"/>
      <c r="N1505" s="1"/>
      <c r="O1505" s="1"/>
      <c r="P1505" s="68"/>
    </row>
    <row r="1506">
      <c r="A1506" s="135" t="s">
        <v>1898</v>
      </c>
      <c r="B1506" s="209" t="s">
        <v>1899</v>
      </c>
      <c r="C1506" s="100"/>
      <c r="D1506" s="100"/>
      <c r="E1506" s="119"/>
      <c r="F1506" s="119"/>
      <c r="G1506" s="119"/>
      <c r="H1506" s="146"/>
      <c r="I1506" s="1"/>
      <c r="J1506" s="104"/>
      <c r="K1506" s="133"/>
      <c r="L1506" s="105"/>
      <c r="M1506" s="105"/>
      <c r="N1506" s="1"/>
      <c r="O1506" s="1"/>
      <c r="P1506" s="68"/>
    </row>
    <row r="1507">
      <c r="A1507" s="100">
        <v>1.92410710515E11</v>
      </c>
      <c r="B1507" s="131" t="s">
        <v>1896</v>
      </c>
      <c r="C1507" s="100" t="s">
        <v>97</v>
      </c>
      <c r="D1507" s="100">
        <v>2.0</v>
      </c>
      <c r="E1507" s="119">
        <v>60.0</v>
      </c>
      <c r="F1507" s="119">
        <f t="shared" ref="F1507:F1511" si="252">E1507*D1507</f>
        <v>120</v>
      </c>
      <c r="G1507" s="119">
        <f t="shared" ref="G1507:G1511" si="253">F1507/3</f>
        <v>40</v>
      </c>
      <c r="H1507" s="132" t="s">
        <v>1889</v>
      </c>
      <c r="I1507" s="1"/>
      <c r="J1507" s="104" t="s">
        <v>1890</v>
      </c>
      <c r="K1507" s="133"/>
      <c r="L1507" s="105"/>
      <c r="M1507" s="105"/>
      <c r="N1507" s="1"/>
      <c r="O1507" s="1"/>
      <c r="P1507" s="68"/>
    </row>
    <row r="1508">
      <c r="A1508" s="100">
        <v>1.92410710461E11</v>
      </c>
      <c r="B1508" s="131" t="s">
        <v>1895</v>
      </c>
      <c r="C1508" s="100" t="s">
        <v>97</v>
      </c>
      <c r="D1508" s="100">
        <v>1.0</v>
      </c>
      <c r="E1508" s="119">
        <v>60.0</v>
      </c>
      <c r="F1508" s="119">
        <f t="shared" si="252"/>
        <v>60</v>
      </c>
      <c r="G1508" s="119">
        <f t="shared" si="253"/>
        <v>20</v>
      </c>
      <c r="H1508" s="132" t="s">
        <v>1889</v>
      </c>
      <c r="I1508" s="1"/>
      <c r="J1508" s="104" t="s">
        <v>1890</v>
      </c>
      <c r="K1508" s="133"/>
      <c r="L1508" s="105"/>
      <c r="M1508" s="105"/>
      <c r="N1508" s="1"/>
      <c r="O1508" s="1"/>
      <c r="P1508" s="68"/>
    </row>
    <row r="1509">
      <c r="A1509" s="100">
        <v>1.92410708697E11</v>
      </c>
      <c r="B1509" s="186" t="s">
        <v>1900</v>
      </c>
      <c r="C1509" s="100" t="s">
        <v>97</v>
      </c>
      <c r="D1509" s="100">
        <v>1.0</v>
      </c>
      <c r="E1509" s="119">
        <v>65.0</v>
      </c>
      <c r="F1509" s="119">
        <f t="shared" si="252"/>
        <v>65</v>
      </c>
      <c r="G1509" s="119">
        <f t="shared" si="253"/>
        <v>21.66666667</v>
      </c>
      <c r="H1509" s="132" t="s">
        <v>1889</v>
      </c>
      <c r="I1509" s="1"/>
      <c r="J1509" s="104" t="s">
        <v>1890</v>
      </c>
      <c r="K1509" s="133"/>
      <c r="L1509" s="105"/>
      <c r="M1509" s="105"/>
      <c r="N1509" s="1"/>
      <c r="O1509" s="1"/>
      <c r="P1509" s="68"/>
    </row>
    <row r="1510">
      <c r="A1510" s="100">
        <v>1.9241070868E11</v>
      </c>
      <c r="B1510" s="186" t="s">
        <v>1894</v>
      </c>
      <c r="C1510" s="100" t="s">
        <v>97</v>
      </c>
      <c r="D1510" s="100">
        <v>1.0</v>
      </c>
      <c r="E1510" s="119">
        <v>65.0</v>
      </c>
      <c r="F1510" s="119">
        <f t="shared" si="252"/>
        <v>65</v>
      </c>
      <c r="G1510" s="119">
        <f t="shared" si="253"/>
        <v>21.66666667</v>
      </c>
      <c r="H1510" s="132" t="s">
        <v>1889</v>
      </c>
      <c r="I1510" s="1"/>
      <c r="J1510" s="104" t="s">
        <v>1890</v>
      </c>
      <c r="K1510" s="133"/>
      <c r="L1510" s="105"/>
      <c r="M1510" s="105"/>
      <c r="N1510" s="1"/>
      <c r="O1510" s="1"/>
      <c r="P1510" s="68"/>
    </row>
    <row r="1511">
      <c r="A1511" s="100">
        <v>1.92410708536E11</v>
      </c>
      <c r="B1511" s="186" t="s">
        <v>1901</v>
      </c>
      <c r="C1511" s="100" t="s">
        <v>97</v>
      </c>
      <c r="D1511" s="100">
        <v>1.0</v>
      </c>
      <c r="E1511" s="119">
        <v>65.0</v>
      </c>
      <c r="F1511" s="119">
        <f t="shared" si="252"/>
        <v>65</v>
      </c>
      <c r="G1511" s="119">
        <f t="shared" si="253"/>
        <v>21.66666667</v>
      </c>
      <c r="H1511" s="132" t="s">
        <v>1889</v>
      </c>
      <c r="I1511" s="1"/>
      <c r="J1511" s="104" t="s">
        <v>1890</v>
      </c>
      <c r="K1511" s="133"/>
      <c r="L1511" s="105"/>
      <c r="M1511" s="105"/>
      <c r="N1511" s="1"/>
      <c r="O1511" s="1"/>
      <c r="P1511" s="68"/>
    </row>
    <row r="1512">
      <c r="A1512" s="135" t="s">
        <v>1902</v>
      </c>
      <c r="B1512" s="209" t="s">
        <v>1903</v>
      </c>
      <c r="C1512" s="100"/>
      <c r="D1512" s="100"/>
      <c r="E1512" s="119"/>
      <c r="F1512" s="119"/>
      <c r="G1512" s="119"/>
      <c r="H1512" s="146"/>
      <c r="I1512" s="1"/>
      <c r="J1512" s="104"/>
      <c r="K1512" s="133"/>
      <c r="L1512" s="105"/>
      <c r="M1512" s="105"/>
      <c r="N1512" s="1"/>
      <c r="O1512" s="1"/>
      <c r="P1512" s="68"/>
    </row>
    <row r="1513">
      <c r="A1513" s="100">
        <v>1.92410097524E11</v>
      </c>
      <c r="B1513" s="131" t="s">
        <v>1904</v>
      </c>
      <c r="C1513" s="100" t="s">
        <v>97</v>
      </c>
      <c r="D1513" s="100">
        <v>1.0</v>
      </c>
      <c r="E1513" s="119">
        <v>85.0</v>
      </c>
      <c r="F1513" s="119">
        <f t="shared" ref="F1513:F1514" si="254">E1513*D1513</f>
        <v>85</v>
      </c>
      <c r="G1513" s="119">
        <f t="shared" ref="G1513:G1514" si="255">F1513/3</f>
        <v>28.33333333</v>
      </c>
      <c r="H1513" s="132" t="s">
        <v>1889</v>
      </c>
      <c r="I1513" s="1"/>
      <c r="J1513" s="104" t="s">
        <v>1890</v>
      </c>
      <c r="K1513" s="133"/>
      <c r="L1513" s="105"/>
      <c r="M1513" s="105"/>
      <c r="N1513" s="1"/>
      <c r="O1513" s="1"/>
      <c r="P1513" s="68"/>
    </row>
    <row r="1514">
      <c r="A1514" s="100">
        <v>1.92410710515E11</v>
      </c>
      <c r="B1514" s="186" t="s">
        <v>1896</v>
      </c>
      <c r="C1514" s="100" t="s">
        <v>97</v>
      </c>
      <c r="D1514" s="100">
        <v>1.0</v>
      </c>
      <c r="E1514" s="119">
        <v>60.0</v>
      </c>
      <c r="F1514" s="119">
        <f t="shared" si="254"/>
        <v>60</v>
      </c>
      <c r="G1514" s="119">
        <f t="shared" si="255"/>
        <v>20</v>
      </c>
      <c r="H1514" s="132" t="s">
        <v>1889</v>
      </c>
      <c r="I1514" s="1"/>
      <c r="J1514" s="104" t="s">
        <v>1890</v>
      </c>
      <c r="K1514" s="133"/>
      <c r="L1514" s="105"/>
      <c r="M1514" s="105"/>
      <c r="N1514" s="1"/>
      <c r="O1514" s="1"/>
      <c r="P1514" s="68"/>
    </row>
    <row r="1515">
      <c r="A1515" s="135" t="s">
        <v>1699</v>
      </c>
      <c r="B1515" s="209" t="s">
        <v>1905</v>
      </c>
      <c r="C1515" s="100"/>
      <c r="D1515" s="100"/>
      <c r="E1515" s="119"/>
      <c r="F1515" s="119"/>
      <c r="G1515" s="119"/>
      <c r="H1515" s="146"/>
      <c r="I1515" s="1"/>
      <c r="J1515" s="104"/>
      <c r="K1515" s="133"/>
      <c r="L1515" s="105"/>
      <c r="M1515" s="105"/>
      <c r="N1515" s="1"/>
      <c r="O1515" s="1"/>
      <c r="P1515" s="68"/>
    </row>
    <row r="1516">
      <c r="A1516" s="112" t="s">
        <v>153</v>
      </c>
      <c r="B1516" s="112" t="s">
        <v>1906</v>
      </c>
      <c r="C1516" s="112" t="str">
        <f>MID($B1516,6,7)</f>
        <v>XM18286</v>
      </c>
      <c r="D1516" s="112"/>
      <c r="E1516" s="138"/>
      <c r="F1516" s="138"/>
      <c r="G1516" s="138"/>
      <c r="H1516" s="127">
        <v>44559.0</v>
      </c>
      <c r="I1516" s="1"/>
      <c r="J1516" s="104" t="str">
        <f>IF(LEFT(B1516,3)="Box","BOX","COUNT")</f>
        <v>BOX</v>
      </c>
      <c r="K1516" s="139">
        <f>SUMIF($J$3:$J$8682,$C1516,$D$3:$D$8682)</f>
        <v>17</v>
      </c>
      <c r="L1516" s="32">
        <f>SUMIF($J$3:$J$8682,$C1516,$F$3:$F$8682)</f>
        <v>1215</v>
      </c>
      <c r="M1516" s="32">
        <f>SUMIF($J$3:$J$8682,$C1516,$G$3:$G$8682)</f>
        <v>405</v>
      </c>
      <c r="N1516" s="1" t="str">
        <f>C1516</f>
        <v>XM18286</v>
      </c>
      <c r="O1516" s="1" t="str">
        <f>J1517</f>
        <v>SHIP</v>
      </c>
      <c r="P1516" s="68">
        <f>M1516</f>
        <v>405</v>
      </c>
      <c r="Q1516" s="114">
        <v>44510.0</v>
      </c>
      <c r="R1516" s="37" t="s">
        <v>1907</v>
      </c>
      <c r="S1516" s="37" t="s">
        <v>1908</v>
      </c>
    </row>
    <row r="1517">
      <c r="A1517" s="222"/>
      <c r="B1517" s="140" t="s">
        <v>1909</v>
      </c>
      <c r="C1517" s="141"/>
      <c r="D1517" s="141"/>
      <c r="E1517" s="142"/>
      <c r="F1517" s="142"/>
      <c r="G1517" s="142"/>
      <c r="H1517" s="141"/>
      <c r="I1517" s="1"/>
      <c r="J1517" s="104" t="str">
        <f>IF(B1517="","NSHIP","SHIP")</f>
        <v>SHIP</v>
      </c>
      <c r="K1517" s="139">
        <f>IF($J1517="NSHIP",0,-SUMIF($J$3:$J$8682,$C1516,$D$3:$D$8682))</f>
        <v>-17</v>
      </c>
      <c r="L1517" s="32">
        <f>IF($J1517="NSHIP",0,-SUMIF($J$3:$J$8680,$C1516,$F$3:$F$8680))</f>
        <v>-1215</v>
      </c>
      <c r="M1517" s="32">
        <f>IF($J1517="NSHIP",0,-SUMIF($J$3:$J$8680,$C1516,$G$3:$G$8680))</f>
        <v>-405</v>
      </c>
      <c r="N1517" s="1"/>
      <c r="O1517" s="1"/>
      <c r="P1517" s="68"/>
    </row>
    <row r="1518">
      <c r="A1518" s="100">
        <v>1.92410354603E11</v>
      </c>
      <c r="B1518" s="131" t="s">
        <v>1910</v>
      </c>
      <c r="C1518" s="100" t="s">
        <v>97</v>
      </c>
      <c r="D1518" s="100">
        <v>1.0</v>
      </c>
      <c r="E1518" s="119">
        <v>150.0</v>
      </c>
      <c r="F1518" s="119">
        <f t="shared" ref="F1518:F1527" si="256">E1518*D1518</f>
        <v>150</v>
      </c>
      <c r="G1518" s="119">
        <f t="shared" ref="G1518:G1527" si="257">F1518/3</f>
        <v>50</v>
      </c>
      <c r="H1518" s="100" t="s">
        <v>1889</v>
      </c>
      <c r="I1518" s="1"/>
      <c r="J1518" s="120" t="s">
        <v>1911</v>
      </c>
      <c r="K1518" s="99"/>
      <c r="L1518" s="50"/>
      <c r="M1518" s="50"/>
      <c r="P1518" s="68"/>
    </row>
    <row r="1519">
      <c r="A1519" s="100">
        <v>1.92410360215E11</v>
      </c>
      <c r="B1519" s="131" t="s">
        <v>1912</v>
      </c>
      <c r="C1519" s="100" t="s">
        <v>97</v>
      </c>
      <c r="D1519" s="100">
        <v>1.0</v>
      </c>
      <c r="E1519" s="119">
        <v>90.0</v>
      </c>
      <c r="F1519" s="119">
        <f t="shared" si="256"/>
        <v>90</v>
      </c>
      <c r="G1519" s="119">
        <f t="shared" si="257"/>
        <v>30</v>
      </c>
      <c r="H1519" s="100" t="s">
        <v>1889</v>
      </c>
      <c r="I1519" s="1"/>
      <c r="J1519" s="120" t="s">
        <v>1911</v>
      </c>
      <c r="K1519" s="99"/>
      <c r="L1519" s="50"/>
      <c r="M1519" s="50"/>
      <c r="P1519" s="68"/>
    </row>
    <row r="1520">
      <c r="A1520" s="100">
        <v>1.92410364527E11</v>
      </c>
      <c r="B1520" s="131" t="s">
        <v>1913</v>
      </c>
      <c r="C1520" s="100" t="s">
        <v>97</v>
      </c>
      <c r="D1520" s="100">
        <v>1.0</v>
      </c>
      <c r="E1520" s="119">
        <v>100.0</v>
      </c>
      <c r="F1520" s="119">
        <f t="shared" si="256"/>
        <v>100</v>
      </c>
      <c r="G1520" s="119">
        <f t="shared" si="257"/>
        <v>33.33333333</v>
      </c>
      <c r="H1520" s="100" t="s">
        <v>1889</v>
      </c>
      <c r="I1520" s="1"/>
      <c r="J1520" s="120" t="s">
        <v>1911</v>
      </c>
      <c r="K1520" s="99"/>
      <c r="L1520" s="50"/>
      <c r="M1520" s="50"/>
      <c r="P1520" s="68"/>
    </row>
    <row r="1521">
      <c r="A1521" s="100">
        <v>1.92410708314E11</v>
      </c>
      <c r="B1521" s="131" t="s">
        <v>1914</v>
      </c>
      <c r="C1521" s="100" t="s">
        <v>97</v>
      </c>
      <c r="D1521" s="100">
        <v>1.0</v>
      </c>
      <c r="E1521" s="119">
        <v>100.0</v>
      </c>
      <c r="F1521" s="119">
        <f t="shared" si="256"/>
        <v>100</v>
      </c>
      <c r="G1521" s="119">
        <f t="shared" si="257"/>
        <v>33.33333333</v>
      </c>
      <c r="H1521" s="100" t="s">
        <v>1889</v>
      </c>
      <c r="I1521" s="1"/>
      <c r="J1521" s="120" t="s">
        <v>1911</v>
      </c>
      <c r="K1521" s="99"/>
      <c r="L1521" s="50"/>
      <c r="M1521" s="50"/>
      <c r="P1521" s="68"/>
    </row>
    <row r="1522">
      <c r="A1522" s="100">
        <v>1.92410708321E11</v>
      </c>
      <c r="B1522" s="131" t="s">
        <v>1915</v>
      </c>
      <c r="C1522" s="100" t="s">
        <v>97</v>
      </c>
      <c r="D1522" s="100">
        <v>1.0</v>
      </c>
      <c r="E1522" s="119">
        <v>100.0</v>
      </c>
      <c r="F1522" s="119">
        <f t="shared" si="256"/>
        <v>100</v>
      </c>
      <c r="G1522" s="119">
        <f t="shared" si="257"/>
        <v>33.33333333</v>
      </c>
      <c r="H1522" s="100" t="s">
        <v>1889</v>
      </c>
      <c r="I1522" s="1"/>
      <c r="J1522" s="120" t="s">
        <v>1911</v>
      </c>
      <c r="K1522" s="99"/>
      <c r="L1522" s="50"/>
      <c r="M1522" s="50"/>
      <c r="P1522" s="68"/>
    </row>
    <row r="1523">
      <c r="A1523" s="100">
        <v>1.92410708376E11</v>
      </c>
      <c r="B1523" s="131" t="s">
        <v>1916</v>
      </c>
      <c r="C1523" s="100" t="s">
        <v>97</v>
      </c>
      <c r="D1523" s="100">
        <v>1.0</v>
      </c>
      <c r="E1523" s="119">
        <v>100.0</v>
      </c>
      <c r="F1523" s="119">
        <f t="shared" si="256"/>
        <v>100</v>
      </c>
      <c r="G1523" s="119">
        <f t="shared" si="257"/>
        <v>33.33333333</v>
      </c>
      <c r="H1523" s="100" t="s">
        <v>1889</v>
      </c>
      <c r="I1523" s="1"/>
      <c r="J1523" s="120" t="s">
        <v>1911</v>
      </c>
      <c r="K1523" s="99"/>
      <c r="L1523" s="50"/>
      <c r="M1523" s="50"/>
      <c r="P1523" s="68"/>
    </row>
    <row r="1524">
      <c r="A1524" s="100">
        <v>1.9241070868E11</v>
      </c>
      <c r="B1524" s="131" t="s">
        <v>1917</v>
      </c>
      <c r="C1524" s="100" t="s">
        <v>97</v>
      </c>
      <c r="D1524" s="100">
        <v>1.0</v>
      </c>
      <c r="E1524" s="119">
        <v>65.0</v>
      </c>
      <c r="F1524" s="119">
        <f t="shared" si="256"/>
        <v>65</v>
      </c>
      <c r="G1524" s="119">
        <f t="shared" si="257"/>
        <v>21.66666667</v>
      </c>
      <c r="H1524" s="100" t="s">
        <v>1889</v>
      </c>
      <c r="I1524" s="1"/>
      <c r="J1524" s="120" t="s">
        <v>1911</v>
      </c>
      <c r="K1524" s="99"/>
      <c r="L1524" s="50"/>
      <c r="M1524" s="50"/>
      <c r="P1524" s="68"/>
    </row>
    <row r="1525">
      <c r="A1525" s="237">
        <v>1.92410710454E11</v>
      </c>
      <c r="B1525" s="131" t="s">
        <v>1918</v>
      </c>
      <c r="C1525" s="100" t="s">
        <v>97</v>
      </c>
      <c r="D1525" s="100">
        <v>1.0</v>
      </c>
      <c r="E1525" s="119">
        <v>60.0</v>
      </c>
      <c r="F1525" s="119">
        <f t="shared" si="256"/>
        <v>60</v>
      </c>
      <c r="G1525" s="119">
        <f t="shared" si="257"/>
        <v>20</v>
      </c>
      <c r="H1525" s="100" t="s">
        <v>1889</v>
      </c>
      <c r="I1525" s="1" t="s">
        <v>1088</v>
      </c>
      <c r="J1525" s="120" t="s">
        <v>1911</v>
      </c>
      <c r="K1525" s="99"/>
      <c r="L1525" s="50"/>
      <c r="M1525" s="50"/>
      <c r="P1525" s="68"/>
    </row>
    <row r="1526">
      <c r="A1526" s="100">
        <v>1.92410710461E11</v>
      </c>
      <c r="B1526" s="131" t="s">
        <v>1919</v>
      </c>
      <c r="C1526" s="100" t="s">
        <v>97</v>
      </c>
      <c r="D1526" s="100">
        <v>1.0</v>
      </c>
      <c r="E1526" s="119">
        <v>60.0</v>
      </c>
      <c r="F1526" s="119">
        <f t="shared" si="256"/>
        <v>60</v>
      </c>
      <c r="G1526" s="119">
        <f t="shared" si="257"/>
        <v>20</v>
      </c>
      <c r="H1526" s="100" t="s">
        <v>1889</v>
      </c>
      <c r="I1526" s="1"/>
      <c r="J1526" s="120" t="s">
        <v>1911</v>
      </c>
      <c r="K1526" s="99"/>
      <c r="L1526" s="50"/>
      <c r="M1526" s="50"/>
      <c r="P1526" s="68"/>
    </row>
    <row r="1527">
      <c r="A1527" s="100">
        <v>1.92410710515E11</v>
      </c>
      <c r="B1527" s="131" t="s">
        <v>1920</v>
      </c>
      <c r="C1527" s="100" t="s">
        <v>97</v>
      </c>
      <c r="D1527" s="100">
        <v>1.0</v>
      </c>
      <c r="E1527" s="119">
        <v>60.0</v>
      </c>
      <c r="F1527" s="119">
        <f t="shared" si="256"/>
        <v>60</v>
      </c>
      <c r="G1527" s="119">
        <f t="shared" si="257"/>
        <v>20</v>
      </c>
      <c r="H1527" s="100" t="s">
        <v>1889</v>
      </c>
      <c r="I1527" s="1"/>
      <c r="J1527" s="120" t="s">
        <v>1911</v>
      </c>
      <c r="K1527" s="99"/>
      <c r="L1527" s="50"/>
      <c r="M1527" s="50"/>
      <c r="P1527" s="68"/>
    </row>
    <row r="1528">
      <c r="A1528" s="144" t="s">
        <v>1921</v>
      </c>
      <c r="B1528" s="152" t="s">
        <v>1922</v>
      </c>
      <c r="C1528" s="146"/>
      <c r="D1528" s="146"/>
      <c r="E1528" s="147"/>
      <c r="F1528" s="147"/>
      <c r="G1528" s="147"/>
      <c r="H1528" s="148"/>
      <c r="I1528" s="1"/>
      <c r="J1528" s="35"/>
      <c r="K1528" s="99"/>
      <c r="L1528" s="50"/>
      <c r="M1528" s="50"/>
      <c r="P1528" s="68"/>
    </row>
    <row r="1529">
      <c r="A1529" s="100">
        <v>1.9241070868E11</v>
      </c>
      <c r="B1529" s="131" t="s">
        <v>1917</v>
      </c>
      <c r="C1529" s="100" t="s">
        <v>97</v>
      </c>
      <c r="D1529" s="100">
        <v>2.0</v>
      </c>
      <c r="E1529" s="119">
        <v>65.0</v>
      </c>
      <c r="F1529" s="119">
        <f t="shared" ref="F1529:F1533" si="258">E1529*D1529</f>
        <v>130</v>
      </c>
      <c r="G1529" s="119">
        <f t="shared" ref="G1529:G1533" si="259">F1529/3</f>
        <v>43.33333333</v>
      </c>
      <c r="H1529" s="143" t="s">
        <v>1889</v>
      </c>
      <c r="I1529" s="1"/>
      <c r="J1529" s="120" t="s">
        <v>1911</v>
      </c>
      <c r="K1529" s="99"/>
      <c r="L1529" s="50"/>
      <c r="M1529" s="50"/>
      <c r="P1529" s="68"/>
    </row>
    <row r="1530">
      <c r="A1530" s="100">
        <v>1.92410708697E11</v>
      </c>
      <c r="B1530" s="131" t="s">
        <v>1923</v>
      </c>
      <c r="C1530" s="100" t="s">
        <v>97</v>
      </c>
      <c r="D1530" s="100">
        <v>1.0</v>
      </c>
      <c r="E1530" s="119">
        <v>65.0</v>
      </c>
      <c r="F1530" s="119">
        <f t="shared" si="258"/>
        <v>65</v>
      </c>
      <c r="G1530" s="119">
        <f t="shared" si="259"/>
        <v>21.66666667</v>
      </c>
      <c r="H1530" s="143" t="s">
        <v>1889</v>
      </c>
      <c r="I1530" s="1"/>
      <c r="J1530" s="120" t="s">
        <v>1911</v>
      </c>
      <c r="K1530" s="99"/>
      <c r="L1530" s="50"/>
      <c r="M1530" s="50"/>
      <c r="P1530" s="68"/>
    </row>
    <row r="1531">
      <c r="A1531" s="237">
        <v>1.92410710454E11</v>
      </c>
      <c r="B1531" s="131" t="s">
        <v>1918</v>
      </c>
      <c r="C1531" s="100" t="s">
        <v>97</v>
      </c>
      <c r="D1531" s="100">
        <v>1.0</v>
      </c>
      <c r="E1531" s="119">
        <v>60.0</v>
      </c>
      <c r="F1531" s="119">
        <f t="shared" si="258"/>
        <v>60</v>
      </c>
      <c r="G1531" s="119">
        <f t="shared" si="259"/>
        <v>20</v>
      </c>
      <c r="H1531" s="143" t="s">
        <v>1889</v>
      </c>
      <c r="I1531" s="176" t="s">
        <v>1088</v>
      </c>
      <c r="J1531" s="120" t="s">
        <v>1911</v>
      </c>
      <c r="K1531" s="99"/>
      <c r="L1531" s="50"/>
      <c r="M1531" s="50"/>
      <c r="P1531" s="68"/>
    </row>
    <row r="1532">
      <c r="A1532" s="100">
        <v>1.92410710461E11</v>
      </c>
      <c r="B1532" s="131" t="s">
        <v>1919</v>
      </c>
      <c r="C1532" s="100" t="s">
        <v>97</v>
      </c>
      <c r="D1532" s="100">
        <v>1.0</v>
      </c>
      <c r="E1532" s="119">
        <v>60.0</v>
      </c>
      <c r="F1532" s="119">
        <f t="shared" si="258"/>
        <v>60</v>
      </c>
      <c r="G1532" s="119">
        <f t="shared" si="259"/>
        <v>20</v>
      </c>
      <c r="H1532" s="143" t="s">
        <v>1889</v>
      </c>
      <c r="I1532" s="1"/>
      <c r="J1532" s="120" t="s">
        <v>1911</v>
      </c>
      <c r="K1532" s="99"/>
      <c r="L1532" s="50"/>
      <c r="M1532" s="50"/>
      <c r="P1532" s="68"/>
    </row>
    <row r="1533">
      <c r="A1533" s="100">
        <v>1.92410710515E11</v>
      </c>
      <c r="B1533" s="131" t="s">
        <v>1920</v>
      </c>
      <c r="C1533" s="100" t="s">
        <v>97</v>
      </c>
      <c r="D1533" s="100">
        <v>1.0</v>
      </c>
      <c r="E1533" s="119">
        <v>60.0</v>
      </c>
      <c r="F1533" s="119">
        <f t="shared" si="258"/>
        <v>60</v>
      </c>
      <c r="G1533" s="119">
        <f t="shared" si="259"/>
        <v>20</v>
      </c>
      <c r="H1533" s="143" t="s">
        <v>1889</v>
      </c>
      <c r="I1533" s="1"/>
      <c r="J1533" s="120" t="s">
        <v>1911</v>
      </c>
      <c r="K1533" s="99"/>
      <c r="L1533" s="50"/>
      <c r="M1533" s="50"/>
      <c r="P1533" s="68"/>
    </row>
    <row r="1534">
      <c r="A1534" s="144" t="s">
        <v>1924</v>
      </c>
      <c r="B1534" s="152" t="s">
        <v>1925</v>
      </c>
      <c r="C1534" s="146"/>
      <c r="D1534" s="146"/>
      <c r="E1534" s="146"/>
      <c r="F1534" s="146"/>
      <c r="G1534" s="146"/>
      <c r="H1534" s="148"/>
      <c r="I1534" s="1"/>
      <c r="J1534" s="108"/>
      <c r="K1534" s="99"/>
      <c r="L1534" s="50"/>
      <c r="M1534" s="50"/>
      <c r="P1534" s="68"/>
    </row>
    <row r="1535">
      <c r="A1535" s="100">
        <v>1.9241070868E11</v>
      </c>
      <c r="B1535" s="131" t="s">
        <v>1917</v>
      </c>
      <c r="C1535" s="100" t="s">
        <v>97</v>
      </c>
      <c r="D1535" s="100">
        <v>1.0</v>
      </c>
      <c r="E1535" s="119">
        <v>65.0</v>
      </c>
      <c r="F1535" s="119">
        <f>E1535*D1535</f>
        <v>65</v>
      </c>
      <c r="G1535" s="119">
        <f>F1535/3</f>
        <v>21.66666667</v>
      </c>
      <c r="H1535" s="143" t="s">
        <v>1889</v>
      </c>
      <c r="I1535" s="1"/>
      <c r="J1535" s="120" t="s">
        <v>1911</v>
      </c>
      <c r="K1535" s="99"/>
      <c r="L1535" s="50"/>
      <c r="M1535" s="50"/>
      <c r="P1535" s="68"/>
    </row>
    <row r="1536">
      <c r="A1536" s="144" t="s">
        <v>429</v>
      </c>
      <c r="B1536" s="152" t="s">
        <v>1926</v>
      </c>
      <c r="C1536" s="146"/>
      <c r="D1536" s="146"/>
      <c r="E1536" s="146"/>
      <c r="F1536" s="146"/>
      <c r="G1536" s="146"/>
      <c r="H1536" s="148"/>
      <c r="I1536" s="1"/>
      <c r="J1536" s="108"/>
      <c r="K1536" s="99"/>
      <c r="L1536" s="50"/>
      <c r="M1536" s="50"/>
      <c r="P1536" s="68"/>
    </row>
    <row r="1537">
      <c r="A1537" s="112" t="s">
        <v>224</v>
      </c>
      <c r="B1537" s="112" t="s">
        <v>1927</v>
      </c>
      <c r="C1537" s="112" t="str">
        <f>MID($B1537,6,7)</f>
        <v>XM18287</v>
      </c>
      <c r="D1537" s="112"/>
      <c r="E1537" s="112"/>
      <c r="F1537" s="112"/>
      <c r="G1537" s="112"/>
      <c r="H1537" s="127">
        <v>44559.0</v>
      </c>
      <c r="I1537" s="1"/>
      <c r="J1537" s="108" t="str">
        <f>IF(LEFT(B1537,3)="Box","BOX","COUNT")</f>
        <v>BOX</v>
      </c>
      <c r="K1537" s="99">
        <f>SUMIF($J$4:$J$8712,$C1537,$D$4:$D$8712)</f>
        <v>17</v>
      </c>
      <c r="L1537" s="50">
        <f>SUMIF($J$4:$J$8712,$C1537,$F$4:$F$8712)</f>
        <v>1325</v>
      </c>
      <c r="M1537" s="50">
        <f>SUMIF($J$4:$J$8712,$C1537,$G$4:$G$8712)</f>
        <v>441.6666667</v>
      </c>
      <c r="N1537" s="70" t="str">
        <f>C1537</f>
        <v>XM18287</v>
      </c>
      <c r="O1537" s="70" t="str">
        <f>J1538</f>
        <v>SHIP</v>
      </c>
      <c r="P1537" s="68">
        <f>M1537</f>
        <v>441.6666667</v>
      </c>
      <c r="Q1537" s="114">
        <v>44510.0</v>
      </c>
      <c r="R1537" s="37" t="s">
        <v>1907</v>
      </c>
      <c r="S1537" s="37" t="s">
        <v>1908</v>
      </c>
    </row>
    <row r="1538">
      <c r="A1538" s="222"/>
      <c r="B1538" s="112" t="s">
        <v>1928</v>
      </c>
      <c r="C1538" s="141"/>
      <c r="D1538" s="141"/>
      <c r="E1538" s="142"/>
      <c r="F1538" s="142"/>
      <c r="G1538" s="142"/>
      <c r="H1538" s="223"/>
      <c r="I1538" s="1"/>
      <c r="J1538" s="108" t="str">
        <f>IF(B1538="","NSHIP","SHIP")</f>
        <v>SHIP</v>
      </c>
      <c r="K1538" s="99">
        <f>IF($J1538="NSHIP",0,-SUMIF($J$4:$J$8712,$C1537,$D$4:$D$8712))</f>
        <v>-17</v>
      </c>
      <c r="L1538" s="50">
        <f>IF($J1538="NSHIP",0,-SUMIF($J$4:$J$8710,$C1537,$F$4:$F$8710))</f>
        <v>-1325</v>
      </c>
      <c r="M1538" s="50">
        <f>IF($J1538="NSHIP",0,-SUMIF($J$4:$J$8710,$C1537,$G$4:$G$8710))</f>
        <v>-441.6666667</v>
      </c>
      <c r="P1538" s="68"/>
    </row>
    <row r="1539">
      <c r="A1539" s="95">
        <v>1.90108948929E11</v>
      </c>
      <c r="B1539" s="151" t="s">
        <v>1929</v>
      </c>
      <c r="C1539" s="95" t="s">
        <v>97</v>
      </c>
      <c r="D1539" s="95">
        <v>1.0</v>
      </c>
      <c r="E1539" s="101">
        <v>150.0</v>
      </c>
      <c r="F1539" s="101">
        <f t="shared" ref="F1539:F1550" si="260">E1539*D1539</f>
        <v>150</v>
      </c>
      <c r="G1539" s="101">
        <f t="shared" ref="G1539:G1550" si="261">F1539/3</f>
        <v>50</v>
      </c>
      <c r="H1539" s="95" t="s">
        <v>1930</v>
      </c>
      <c r="J1539" s="120" t="s">
        <v>1931</v>
      </c>
      <c r="K1539" s="99"/>
      <c r="L1539" s="50"/>
      <c r="M1539" s="50"/>
      <c r="P1539" s="68"/>
    </row>
    <row r="1540">
      <c r="A1540" s="95">
        <v>1.92410708314E11</v>
      </c>
      <c r="B1540" s="151" t="s">
        <v>1914</v>
      </c>
      <c r="C1540" s="95" t="s">
        <v>97</v>
      </c>
      <c r="D1540" s="95">
        <v>1.0</v>
      </c>
      <c r="E1540" s="101">
        <v>100.0</v>
      </c>
      <c r="F1540" s="101">
        <f t="shared" si="260"/>
        <v>100</v>
      </c>
      <c r="G1540" s="101">
        <f t="shared" si="261"/>
        <v>33.33333333</v>
      </c>
      <c r="H1540" s="95" t="s">
        <v>1889</v>
      </c>
      <c r="J1540" s="120" t="s">
        <v>1931</v>
      </c>
      <c r="K1540" s="99"/>
      <c r="L1540" s="50"/>
      <c r="M1540" s="50"/>
      <c r="P1540" s="68"/>
    </row>
    <row r="1541">
      <c r="A1541" s="95">
        <v>1.92410708574E11</v>
      </c>
      <c r="B1541" s="151" t="s">
        <v>1932</v>
      </c>
      <c r="C1541" s="95" t="s">
        <v>97</v>
      </c>
      <c r="D1541" s="95">
        <v>8.0</v>
      </c>
      <c r="E1541" s="101">
        <v>65.0</v>
      </c>
      <c r="F1541" s="101">
        <f t="shared" si="260"/>
        <v>520</v>
      </c>
      <c r="G1541" s="101">
        <f t="shared" si="261"/>
        <v>173.3333333</v>
      </c>
      <c r="H1541" s="95" t="s">
        <v>1889</v>
      </c>
      <c r="J1541" s="120" t="s">
        <v>1931</v>
      </c>
      <c r="K1541" s="99"/>
      <c r="L1541" s="50"/>
      <c r="M1541" s="50"/>
      <c r="P1541" s="68"/>
    </row>
    <row r="1542">
      <c r="A1542" s="95">
        <v>1.92410708628E11</v>
      </c>
      <c r="B1542" s="151" t="s">
        <v>1933</v>
      </c>
      <c r="C1542" s="95" t="s">
        <v>97</v>
      </c>
      <c r="D1542" s="95">
        <v>1.0</v>
      </c>
      <c r="E1542" s="101">
        <v>65.0</v>
      </c>
      <c r="F1542" s="101">
        <f t="shared" si="260"/>
        <v>65</v>
      </c>
      <c r="G1542" s="101">
        <f t="shared" si="261"/>
        <v>21.66666667</v>
      </c>
      <c r="H1542" s="95" t="s">
        <v>1889</v>
      </c>
      <c r="J1542" s="120" t="s">
        <v>1931</v>
      </c>
      <c r="K1542" s="99"/>
      <c r="L1542" s="50"/>
      <c r="M1542" s="50"/>
      <c r="P1542" s="68"/>
    </row>
    <row r="1543">
      <c r="A1543" s="95">
        <v>1.9241070868E11</v>
      </c>
      <c r="B1543" s="151" t="s">
        <v>1917</v>
      </c>
      <c r="C1543" s="95" t="s">
        <v>97</v>
      </c>
      <c r="D1543" s="95">
        <v>1.0</v>
      </c>
      <c r="E1543" s="101">
        <v>65.0</v>
      </c>
      <c r="F1543" s="101">
        <f t="shared" si="260"/>
        <v>65</v>
      </c>
      <c r="G1543" s="101">
        <f t="shared" si="261"/>
        <v>21.66666667</v>
      </c>
      <c r="H1543" s="95" t="s">
        <v>1889</v>
      </c>
      <c r="J1543" s="120" t="s">
        <v>1931</v>
      </c>
      <c r="K1543" s="99"/>
      <c r="L1543" s="50"/>
      <c r="M1543" s="50"/>
      <c r="P1543" s="68"/>
    </row>
    <row r="1544">
      <c r="A1544" s="95">
        <v>1.92410708697E11</v>
      </c>
      <c r="B1544" s="151" t="s">
        <v>1923</v>
      </c>
      <c r="C1544" s="95" t="s">
        <v>97</v>
      </c>
      <c r="D1544" s="95">
        <v>2.0</v>
      </c>
      <c r="E1544" s="101">
        <v>65.0</v>
      </c>
      <c r="F1544" s="101">
        <f t="shared" si="260"/>
        <v>130</v>
      </c>
      <c r="G1544" s="101">
        <f t="shared" si="261"/>
        <v>43.33333333</v>
      </c>
      <c r="H1544" s="95" t="s">
        <v>1889</v>
      </c>
      <c r="J1544" s="120" t="s">
        <v>1931</v>
      </c>
      <c r="K1544" s="99"/>
      <c r="L1544" s="50"/>
      <c r="M1544" s="50"/>
      <c r="P1544" s="68"/>
    </row>
    <row r="1545">
      <c r="A1545" s="95">
        <v>1.92410710454E11</v>
      </c>
      <c r="B1545" s="151" t="s">
        <v>1918</v>
      </c>
      <c r="C1545" s="95" t="s">
        <v>97</v>
      </c>
      <c r="D1545" s="95">
        <v>4.0</v>
      </c>
      <c r="E1545" s="101">
        <v>60.0</v>
      </c>
      <c r="F1545" s="101">
        <f t="shared" si="260"/>
        <v>240</v>
      </c>
      <c r="G1545" s="101">
        <f t="shared" si="261"/>
        <v>80</v>
      </c>
      <c r="H1545" s="95" t="s">
        <v>1889</v>
      </c>
      <c r="J1545" s="120" t="s">
        <v>1931</v>
      </c>
      <c r="K1545" s="99"/>
      <c r="L1545" s="50"/>
      <c r="M1545" s="50"/>
      <c r="P1545" s="68"/>
    </row>
    <row r="1546">
      <c r="A1546" s="95">
        <v>1.92410710492E11</v>
      </c>
      <c r="B1546" s="151" t="s">
        <v>1934</v>
      </c>
      <c r="C1546" s="95" t="s">
        <v>97</v>
      </c>
      <c r="D1546" s="95">
        <v>1.0</v>
      </c>
      <c r="E1546" s="101">
        <v>60.0</v>
      </c>
      <c r="F1546" s="101">
        <f t="shared" si="260"/>
        <v>60</v>
      </c>
      <c r="G1546" s="101">
        <f t="shared" si="261"/>
        <v>20</v>
      </c>
      <c r="H1546" s="95" t="s">
        <v>1889</v>
      </c>
      <c r="J1546" s="120" t="s">
        <v>1931</v>
      </c>
      <c r="K1546" s="99"/>
      <c r="L1546" s="50"/>
      <c r="M1546" s="50"/>
      <c r="P1546" s="68"/>
    </row>
    <row r="1547">
      <c r="A1547" s="95">
        <v>1.92410710508E11</v>
      </c>
      <c r="B1547" s="151" t="s">
        <v>1935</v>
      </c>
      <c r="C1547" s="95" t="s">
        <v>97</v>
      </c>
      <c r="D1547" s="95">
        <v>6.0</v>
      </c>
      <c r="E1547" s="101">
        <v>60.0</v>
      </c>
      <c r="F1547" s="101">
        <f t="shared" si="260"/>
        <v>360</v>
      </c>
      <c r="G1547" s="101">
        <f t="shared" si="261"/>
        <v>120</v>
      </c>
      <c r="H1547" s="95" t="s">
        <v>1889</v>
      </c>
      <c r="J1547" s="120" t="s">
        <v>1931</v>
      </c>
      <c r="K1547" s="99"/>
      <c r="L1547" s="50"/>
      <c r="M1547" s="50"/>
      <c r="P1547" s="68"/>
    </row>
    <row r="1548">
      <c r="A1548" s="95">
        <v>1.92410710515E11</v>
      </c>
      <c r="B1548" s="151" t="s">
        <v>1920</v>
      </c>
      <c r="C1548" s="95" t="s">
        <v>97</v>
      </c>
      <c r="D1548" s="95">
        <v>1.0</v>
      </c>
      <c r="E1548" s="101">
        <v>60.0</v>
      </c>
      <c r="F1548" s="101">
        <f t="shared" si="260"/>
        <v>60</v>
      </c>
      <c r="G1548" s="101">
        <f t="shared" si="261"/>
        <v>20</v>
      </c>
      <c r="H1548" s="95" t="s">
        <v>1889</v>
      </c>
      <c r="J1548" s="120" t="s">
        <v>1931</v>
      </c>
      <c r="K1548" s="99"/>
      <c r="L1548" s="50"/>
      <c r="M1548" s="50"/>
      <c r="P1548" s="68"/>
    </row>
    <row r="1549">
      <c r="A1549" s="95">
        <v>1.92410710522E11</v>
      </c>
      <c r="B1549" s="151" t="s">
        <v>1936</v>
      </c>
      <c r="C1549" s="95" t="s">
        <v>97</v>
      </c>
      <c r="D1549" s="95">
        <v>1.0</v>
      </c>
      <c r="E1549" s="101">
        <v>60.0</v>
      </c>
      <c r="F1549" s="101">
        <f t="shared" si="260"/>
        <v>60</v>
      </c>
      <c r="G1549" s="101">
        <f t="shared" si="261"/>
        <v>20</v>
      </c>
      <c r="H1549" s="95" t="s">
        <v>1889</v>
      </c>
      <c r="J1549" s="120" t="s">
        <v>1931</v>
      </c>
      <c r="K1549" s="99"/>
      <c r="L1549" s="50"/>
      <c r="M1549" s="50"/>
      <c r="P1549" s="68"/>
    </row>
    <row r="1550">
      <c r="A1550" s="95">
        <v>1.94715038271E11</v>
      </c>
      <c r="B1550" s="151" t="s">
        <v>1937</v>
      </c>
      <c r="C1550" s="95" t="s">
        <v>97</v>
      </c>
      <c r="D1550" s="95">
        <v>1.0</v>
      </c>
      <c r="E1550" s="101">
        <v>60.0</v>
      </c>
      <c r="F1550" s="101">
        <f t="shared" si="260"/>
        <v>60</v>
      </c>
      <c r="G1550" s="101">
        <f t="shared" si="261"/>
        <v>20</v>
      </c>
      <c r="H1550" s="95" t="s">
        <v>1889</v>
      </c>
      <c r="J1550" s="120" t="s">
        <v>1931</v>
      </c>
      <c r="K1550" s="99"/>
      <c r="L1550" s="50"/>
      <c r="M1550" s="50"/>
      <c r="P1550" s="68"/>
    </row>
    <row r="1551">
      <c r="A1551" s="231" t="s">
        <v>267</v>
      </c>
      <c r="B1551" s="231" t="s">
        <v>1938</v>
      </c>
      <c r="C1551" s="234" t="str">
        <f>MID($B1551,6,7)</f>
        <v>XM18288</v>
      </c>
      <c r="D1551" s="231"/>
      <c r="E1551" s="231"/>
      <c r="F1551" s="231"/>
      <c r="G1551" s="231"/>
      <c r="H1551" s="235">
        <v>44559.0</v>
      </c>
      <c r="J1551" s="108" t="str">
        <f>IF(LEFT(B1551,3)="Box","BOX","COUNT")</f>
        <v>BOX</v>
      </c>
      <c r="K1551" s="99">
        <f>SUMIF($J$4:$J$8712,$C1551,$D$4:$D$8712)</f>
        <v>28</v>
      </c>
      <c r="L1551" s="50">
        <f>SUMIF($J$4:$J$8712,$C1551,$F$4:$F$8712)</f>
        <v>1870</v>
      </c>
      <c r="M1551" s="50">
        <f>SUMIF($J$4:$J$8712,$C1551,$G$4:$G$8712)</f>
        <v>623.3333333</v>
      </c>
      <c r="N1551" s="70" t="str">
        <f>C1551</f>
        <v>XM18288</v>
      </c>
      <c r="O1551" s="70" t="str">
        <f>J1552</f>
        <v>NSHIP</v>
      </c>
      <c r="P1551" s="68">
        <f>M1551</f>
        <v>623.3333333</v>
      </c>
      <c r="Q1551" s="114">
        <v>44510.0</v>
      </c>
      <c r="R1551" s="37" t="s">
        <v>1907</v>
      </c>
      <c r="S1551" s="37" t="s">
        <v>1908</v>
      </c>
    </row>
    <row r="1552">
      <c r="A1552" s="211"/>
      <c r="B1552" s="231"/>
      <c r="C1552" s="109"/>
      <c r="D1552" s="109"/>
      <c r="E1552" s="116"/>
      <c r="F1552" s="116"/>
      <c r="G1552" s="116"/>
      <c r="H1552" s="109"/>
      <c r="J1552" s="108" t="str">
        <f>IF(B1552="","NSHIP","SHIP")</f>
        <v>NSHIP</v>
      </c>
      <c r="K1552" s="99">
        <f>IF($J1552="NSHIP",0,-SUMIF($J$4:$J$8712,$C1551,$D$4:$D$8712))</f>
        <v>0</v>
      </c>
      <c r="L1552" s="50">
        <f>IF($J1552="NSHIP",0,-SUMIF($J$4:$J$8710,$C1551,$F$4:$F$8710))</f>
        <v>0</v>
      </c>
      <c r="M1552" s="50">
        <f>IF($J1552="NSHIP",0,-SUMIF($J$4:$J$8710,$C1551,$G$4:$G$8710))</f>
        <v>0</v>
      </c>
      <c r="P1552" s="68"/>
    </row>
    <row r="1553">
      <c r="A1553" s="95">
        <v>1.92410355068E11</v>
      </c>
      <c r="B1553" s="151" t="s">
        <v>1939</v>
      </c>
      <c r="C1553" s="95" t="s">
        <v>97</v>
      </c>
      <c r="D1553" s="95">
        <v>1.0</v>
      </c>
      <c r="E1553" s="101">
        <v>195.0</v>
      </c>
      <c r="F1553" s="101">
        <f t="shared" ref="F1553:F1563" si="262">E1553*D1553</f>
        <v>195</v>
      </c>
      <c r="G1553" s="101">
        <f t="shared" ref="G1553:G1563" si="263">F1553/3</f>
        <v>65</v>
      </c>
      <c r="H1553" s="95" t="s">
        <v>1889</v>
      </c>
      <c r="J1553" s="120" t="s">
        <v>1940</v>
      </c>
      <c r="K1553" s="99"/>
      <c r="L1553" s="50"/>
      <c r="M1553" s="50"/>
      <c r="P1553" s="68"/>
    </row>
    <row r="1554">
      <c r="A1554" s="95">
        <v>1.92410708338E11</v>
      </c>
      <c r="B1554" s="151" t="s">
        <v>1941</v>
      </c>
      <c r="C1554" s="95" t="s">
        <v>97</v>
      </c>
      <c r="D1554" s="95">
        <v>1.0</v>
      </c>
      <c r="E1554" s="101">
        <v>100.0</v>
      </c>
      <c r="F1554" s="101">
        <f t="shared" si="262"/>
        <v>100</v>
      </c>
      <c r="G1554" s="101">
        <f t="shared" si="263"/>
        <v>33.33333333</v>
      </c>
      <c r="H1554" s="95" t="s">
        <v>1889</v>
      </c>
      <c r="J1554" s="120" t="s">
        <v>1940</v>
      </c>
      <c r="K1554" s="99"/>
      <c r="L1554" s="50"/>
      <c r="M1554" s="50"/>
      <c r="P1554" s="68"/>
    </row>
    <row r="1555">
      <c r="A1555" s="95">
        <v>1.92410708376E11</v>
      </c>
      <c r="B1555" s="151" t="s">
        <v>1916</v>
      </c>
      <c r="C1555" s="95" t="s">
        <v>97</v>
      </c>
      <c r="D1555" s="95">
        <v>1.0</v>
      </c>
      <c r="E1555" s="101">
        <v>100.0</v>
      </c>
      <c r="F1555" s="101">
        <f t="shared" si="262"/>
        <v>100</v>
      </c>
      <c r="G1555" s="101">
        <f t="shared" si="263"/>
        <v>33.33333333</v>
      </c>
      <c r="H1555" s="95" t="s">
        <v>1889</v>
      </c>
      <c r="J1555" s="120" t="s">
        <v>1940</v>
      </c>
      <c r="K1555" s="99"/>
      <c r="L1555" s="50"/>
      <c r="M1555" s="50"/>
      <c r="P1555" s="68"/>
    </row>
    <row r="1556">
      <c r="A1556" s="95">
        <v>1.92410708468E11</v>
      </c>
      <c r="B1556" s="151" t="s">
        <v>1942</v>
      </c>
      <c r="C1556" s="95" t="s">
        <v>97</v>
      </c>
      <c r="D1556" s="95">
        <v>1.0</v>
      </c>
      <c r="E1556" s="101">
        <v>100.0</v>
      </c>
      <c r="F1556" s="101">
        <f t="shared" si="262"/>
        <v>100</v>
      </c>
      <c r="G1556" s="101">
        <f t="shared" si="263"/>
        <v>33.33333333</v>
      </c>
      <c r="H1556" s="95" t="s">
        <v>1889</v>
      </c>
      <c r="J1556" s="120" t="s">
        <v>1940</v>
      </c>
      <c r="K1556" s="99"/>
      <c r="L1556" s="50"/>
      <c r="M1556" s="50"/>
      <c r="P1556" s="68"/>
    </row>
    <row r="1557">
      <c r="A1557" s="95">
        <v>1.92410708536E11</v>
      </c>
      <c r="B1557" s="151" t="s">
        <v>1943</v>
      </c>
      <c r="C1557" s="95" t="s">
        <v>97</v>
      </c>
      <c r="D1557" s="95">
        <v>1.0</v>
      </c>
      <c r="E1557" s="101">
        <v>65.0</v>
      </c>
      <c r="F1557" s="101">
        <f t="shared" si="262"/>
        <v>65</v>
      </c>
      <c r="G1557" s="101">
        <f t="shared" si="263"/>
        <v>21.66666667</v>
      </c>
      <c r="H1557" s="95" t="s">
        <v>1889</v>
      </c>
      <c r="J1557" s="120" t="s">
        <v>1940</v>
      </c>
      <c r="K1557" s="99"/>
      <c r="L1557" s="50"/>
      <c r="M1557" s="50"/>
      <c r="P1557" s="68"/>
    </row>
    <row r="1558">
      <c r="A1558" s="95">
        <v>1.92410708574E11</v>
      </c>
      <c r="B1558" s="151" t="s">
        <v>1932</v>
      </c>
      <c r="C1558" s="95" t="s">
        <v>97</v>
      </c>
      <c r="D1558" s="95">
        <v>2.0</v>
      </c>
      <c r="E1558" s="101">
        <v>65.0</v>
      </c>
      <c r="F1558" s="101">
        <f t="shared" si="262"/>
        <v>130</v>
      </c>
      <c r="G1558" s="101">
        <f t="shared" si="263"/>
        <v>43.33333333</v>
      </c>
      <c r="H1558" s="95" t="s">
        <v>1889</v>
      </c>
      <c r="J1558" s="120" t="s">
        <v>1940</v>
      </c>
      <c r="K1558" s="99"/>
      <c r="L1558" s="50"/>
      <c r="M1558" s="50"/>
      <c r="P1558" s="68"/>
    </row>
    <row r="1559">
      <c r="A1559" s="95">
        <v>1.9241070868E11</v>
      </c>
      <c r="B1559" s="151" t="s">
        <v>1917</v>
      </c>
      <c r="C1559" s="95" t="s">
        <v>97</v>
      </c>
      <c r="D1559" s="95">
        <v>3.0</v>
      </c>
      <c r="E1559" s="101">
        <v>65.0</v>
      </c>
      <c r="F1559" s="101">
        <f t="shared" si="262"/>
        <v>195</v>
      </c>
      <c r="G1559" s="101">
        <f t="shared" si="263"/>
        <v>65</v>
      </c>
      <c r="H1559" s="95" t="s">
        <v>1889</v>
      </c>
      <c r="J1559" s="120" t="s">
        <v>1940</v>
      </c>
      <c r="K1559" s="99"/>
      <c r="L1559" s="50"/>
      <c r="M1559" s="50"/>
      <c r="P1559" s="68"/>
    </row>
    <row r="1560">
      <c r="A1560" s="95">
        <v>1.92410710454E11</v>
      </c>
      <c r="B1560" s="151" t="s">
        <v>1918</v>
      </c>
      <c r="C1560" s="95" t="s">
        <v>97</v>
      </c>
      <c r="D1560" s="95">
        <v>5.0</v>
      </c>
      <c r="E1560" s="101">
        <v>60.0</v>
      </c>
      <c r="F1560" s="101">
        <f t="shared" si="262"/>
        <v>300</v>
      </c>
      <c r="G1560" s="101">
        <f t="shared" si="263"/>
        <v>100</v>
      </c>
      <c r="H1560" s="95" t="s">
        <v>1889</v>
      </c>
      <c r="J1560" s="120" t="s">
        <v>1940</v>
      </c>
      <c r="K1560" s="99"/>
      <c r="L1560" s="50"/>
      <c r="M1560" s="50"/>
      <c r="P1560" s="68"/>
    </row>
    <row r="1561">
      <c r="A1561" s="95">
        <v>1.92410710461E11</v>
      </c>
      <c r="B1561" s="151" t="s">
        <v>1919</v>
      </c>
      <c r="C1561" s="95" t="s">
        <v>97</v>
      </c>
      <c r="D1561" s="95">
        <v>1.0</v>
      </c>
      <c r="E1561" s="101">
        <v>60.0</v>
      </c>
      <c r="F1561" s="101">
        <f t="shared" si="262"/>
        <v>60</v>
      </c>
      <c r="G1561" s="101">
        <f t="shared" si="263"/>
        <v>20</v>
      </c>
      <c r="H1561" s="95" t="s">
        <v>1889</v>
      </c>
      <c r="J1561" s="120" t="s">
        <v>1940</v>
      </c>
      <c r="K1561" s="99"/>
      <c r="L1561" s="50"/>
      <c r="M1561" s="50"/>
      <c r="P1561" s="68"/>
    </row>
    <row r="1562">
      <c r="A1562" s="95">
        <v>1.92410710515E11</v>
      </c>
      <c r="B1562" s="151" t="s">
        <v>1920</v>
      </c>
      <c r="C1562" s="95" t="s">
        <v>97</v>
      </c>
      <c r="D1562" s="95">
        <v>2.0</v>
      </c>
      <c r="E1562" s="101">
        <v>60.0</v>
      </c>
      <c r="F1562" s="101">
        <f t="shared" si="262"/>
        <v>120</v>
      </c>
      <c r="G1562" s="101">
        <f t="shared" si="263"/>
        <v>40</v>
      </c>
      <c r="H1562" s="95" t="s">
        <v>1889</v>
      </c>
      <c r="J1562" s="120" t="s">
        <v>1940</v>
      </c>
      <c r="K1562" s="99"/>
      <c r="L1562" s="50"/>
      <c r="M1562" s="50"/>
      <c r="P1562" s="68"/>
    </row>
    <row r="1563">
      <c r="A1563" s="95">
        <v>1.92410710522E11</v>
      </c>
      <c r="B1563" s="151" t="s">
        <v>1936</v>
      </c>
      <c r="C1563" s="95" t="s">
        <v>97</v>
      </c>
      <c r="D1563" s="95">
        <v>5.0</v>
      </c>
      <c r="E1563" s="101">
        <v>60.0</v>
      </c>
      <c r="F1563" s="101">
        <f t="shared" si="262"/>
        <v>300</v>
      </c>
      <c r="G1563" s="101">
        <f t="shared" si="263"/>
        <v>100</v>
      </c>
      <c r="H1563" s="95" t="s">
        <v>1889</v>
      </c>
      <c r="J1563" s="120" t="s">
        <v>1940</v>
      </c>
      <c r="K1563" s="99"/>
      <c r="L1563" s="50"/>
      <c r="M1563" s="50"/>
      <c r="P1563" s="68"/>
    </row>
    <row r="1564">
      <c r="A1564" s="238" t="s">
        <v>115</v>
      </c>
      <c r="B1564" s="231" t="s">
        <v>1944</v>
      </c>
      <c r="C1564" s="234" t="str">
        <f>MID($B1564,6,7)</f>
        <v>XM18289</v>
      </c>
      <c r="D1564" s="231"/>
      <c r="E1564" s="231"/>
      <c r="F1564" s="231"/>
      <c r="G1564" s="231"/>
      <c r="H1564" s="235">
        <v>44559.0</v>
      </c>
      <c r="J1564" s="108" t="str">
        <f>IF(LEFT(B1564,3)="Box","BOX","COUNT")</f>
        <v>BOX</v>
      </c>
      <c r="K1564" s="99">
        <f>SUMIF($J$4:$J$8712,$C1564,$D$4:$D$8712)</f>
        <v>23</v>
      </c>
      <c r="L1564" s="50">
        <f>SUMIF($J$4:$J$8712,$C1564,$F$4:$F$8712)</f>
        <v>1665</v>
      </c>
      <c r="M1564" s="50">
        <f>SUMIF($J$4:$J$8712,$C1564,$G$4:$G$8712)</f>
        <v>555</v>
      </c>
      <c r="N1564" s="70" t="str">
        <f>C1564</f>
        <v>XM18289</v>
      </c>
      <c r="O1564" s="70" t="str">
        <f>J1565</f>
        <v>NSHIP</v>
      </c>
      <c r="P1564" s="68">
        <f>M1564</f>
        <v>555</v>
      </c>
    </row>
    <row r="1565">
      <c r="A1565" s="211"/>
      <c r="B1565" s="231"/>
      <c r="C1565" s="109"/>
      <c r="D1565" s="109"/>
      <c r="E1565" s="116"/>
      <c r="F1565" s="116"/>
      <c r="G1565" s="116"/>
      <c r="H1565" s="109"/>
      <c r="J1565" s="108" t="str">
        <f>IF(B1565="","NSHIP","SHIP")</f>
        <v>NSHIP</v>
      </c>
      <c r="K1565" s="99">
        <f>IF($J1565="NSHIP",0,-SUMIF($J$4:$J$8712,$C1564,$D$4:$D$8712))</f>
        <v>0</v>
      </c>
      <c r="L1565" s="50">
        <f>IF($J1565="NSHIP",0,-SUMIF($J$4:$J$8710,$C1564,$F$4:$F$8710))</f>
        <v>0</v>
      </c>
      <c r="M1565" s="50">
        <f>IF($J1565="NSHIP",0,-SUMIF($J$4:$J$8710,$C1564,$G$4:$G$8710))</f>
        <v>0</v>
      </c>
      <c r="P1565" s="68"/>
    </row>
    <row r="1566">
      <c r="A1566" s="95">
        <v>1.92410354399E11</v>
      </c>
      <c r="B1566" s="151" t="s">
        <v>1945</v>
      </c>
      <c r="C1566" s="95" t="s">
        <v>97</v>
      </c>
      <c r="D1566" s="95">
        <v>1.0</v>
      </c>
      <c r="E1566" s="101">
        <v>195.0</v>
      </c>
      <c r="F1566" s="101">
        <f t="shared" ref="F1566:F1570" si="264">E1566*D1566</f>
        <v>195</v>
      </c>
      <c r="G1566" s="101">
        <f t="shared" ref="G1566:G1570" si="265">F1566/3</f>
        <v>65</v>
      </c>
      <c r="H1566" s="95" t="s">
        <v>1889</v>
      </c>
      <c r="J1566" s="120" t="s">
        <v>1946</v>
      </c>
      <c r="K1566" s="99"/>
      <c r="L1566" s="50"/>
      <c r="M1566" s="50"/>
      <c r="P1566" s="68"/>
    </row>
    <row r="1567">
      <c r="A1567" s="95">
        <v>1.92410354511E11</v>
      </c>
      <c r="B1567" s="151" t="s">
        <v>1947</v>
      </c>
      <c r="C1567" s="95" t="s">
        <v>97</v>
      </c>
      <c r="D1567" s="95">
        <v>1.0</v>
      </c>
      <c r="E1567" s="101">
        <v>195.0</v>
      </c>
      <c r="F1567" s="101">
        <f t="shared" si="264"/>
        <v>195</v>
      </c>
      <c r="G1567" s="101">
        <f t="shared" si="265"/>
        <v>65</v>
      </c>
      <c r="H1567" s="95" t="s">
        <v>1889</v>
      </c>
      <c r="J1567" s="120" t="s">
        <v>1946</v>
      </c>
      <c r="K1567" s="99"/>
      <c r="L1567" s="50"/>
      <c r="M1567" s="50"/>
      <c r="P1567" s="68"/>
    </row>
    <row r="1568">
      <c r="A1568" s="95">
        <v>1.92410354528E11</v>
      </c>
      <c r="B1568" s="151" t="s">
        <v>1948</v>
      </c>
      <c r="C1568" s="95" t="s">
        <v>97</v>
      </c>
      <c r="D1568" s="95">
        <v>1.0</v>
      </c>
      <c r="E1568" s="101">
        <v>195.0</v>
      </c>
      <c r="F1568" s="101">
        <f t="shared" si="264"/>
        <v>195</v>
      </c>
      <c r="G1568" s="101">
        <f t="shared" si="265"/>
        <v>65</v>
      </c>
      <c r="H1568" s="95" t="s">
        <v>1889</v>
      </c>
      <c r="J1568" s="120" t="s">
        <v>1946</v>
      </c>
      <c r="K1568" s="99"/>
      <c r="L1568" s="50"/>
      <c r="M1568" s="50"/>
      <c r="P1568" s="68"/>
    </row>
    <row r="1569">
      <c r="A1569" s="95">
        <v>1.92410354559E11</v>
      </c>
      <c r="B1569" s="151" t="s">
        <v>1949</v>
      </c>
      <c r="C1569" s="95" t="s">
        <v>97</v>
      </c>
      <c r="D1569" s="95">
        <v>1.0</v>
      </c>
      <c r="E1569" s="101">
        <v>195.0</v>
      </c>
      <c r="F1569" s="101">
        <f t="shared" si="264"/>
        <v>195</v>
      </c>
      <c r="G1569" s="101">
        <f t="shared" si="265"/>
        <v>65</v>
      </c>
      <c r="H1569" s="95" t="s">
        <v>1889</v>
      </c>
      <c r="J1569" s="120" t="s">
        <v>1946</v>
      </c>
      <c r="K1569" s="99"/>
      <c r="L1569" s="50"/>
      <c r="M1569" s="50"/>
      <c r="P1569" s="68"/>
    </row>
    <row r="1570">
      <c r="A1570" s="95">
        <v>1.92410355068E11</v>
      </c>
      <c r="B1570" s="151" t="s">
        <v>1939</v>
      </c>
      <c r="C1570" s="95" t="s">
        <v>97</v>
      </c>
      <c r="D1570" s="95">
        <v>1.0</v>
      </c>
      <c r="E1570" s="101">
        <v>195.0</v>
      </c>
      <c r="F1570" s="101">
        <f t="shared" si="264"/>
        <v>195</v>
      </c>
      <c r="G1570" s="101">
        <f t="shared" si="265"/>
        <v>65</v>
      </c>
      <c r="H1570" s="95" t="s">
        <v>1889</v>
      </c>
      <c r="J1570" s="120" t="s">
        <v>1946</v>
      </c>
      <c r="K1570" s="99"/>
      <c r="L1570" s="50"/>
      <c r="M1570" s="50"/>
      <c r="P1570" s="68"/>
    </row>
    <row r="1571">
      <c r="A1571" s="231" t="s">
        <v>132</v>
      </c>
      <c r="B1571" s="231" t="s">
        <v>1950</v>
      </c>
      <c r="C1571" s="234" t="str">
        <f>MID($B1571,6,7)</f>
        <v>XM18290</v>
      </c>
      <c r="D1571" s="231"/>
      <c r="E1571" s="231"/>
      <c r="F1571" s="231"/>
      <c r="G1571" s="231"/>
      <c r="H1571" s="235">
        <v>44559.0</v>
      </c>
      <c r="J1571" s="108" t="str">
        <f>IF(LEFT(B1571,3)="Box","BOX","COUNT")</f>
        <v>BOX</v>
      </c>
      <c r="K1571" s="99">
        <f>SUMIF($J$4:$J$8712,$C1571,$D$4:$D$8712)</f>
        <v>5</v>
      </c>
      <c r="L1571" s="50">
        <f>SUMIF($J$4:$J$8712,$C1571,$F$4:$F$8712)</f>
        <v>975</v>
      </c>
      <c r="M1571" s="50">
        <f>SUMIF($J$4:$J$8712,$C1571,$G$4:$G$8712)</f>
        <v>325</v>
      </c>
      <c r="N1571" s="70" t="str">
        <f>C1571</f>
        <v>XM18290</v>
      </c>
      <c r="O1571" s="70" t="str">
        <f>J1572</f>
        <v>NSHIP</v>
      </c>
      <c r="P1571" s="68">
        <f>M1571</f>
        <v>325</v>
      </c>
    </row>
    <row r="1572">
      <c r="A1572" s="211"/>
      <c r="B1572" s="231"/>
      <c r="C1572" s="109"/>
      <c r="D1572" s="109"/>
      <c r="E1572" s="116"/>
      <c r="F1572" s="116"/>
      <c r="G1572" s="116"/>
      <c r="H1572" s="109"/>
      <c r="J1572" s="108" t="str">
        <f>IF(B1572="","NSHIP","SHIP")</f>
        <v>NSHIP</v>
      </c>
      <c r="K1572" s="99">
        <f>IF($J1572="NSHIP",0,-SUMIF($J$4:$J$8712,$C1571,$D$4:$D$8712))</f>
        <v>0</v>
      </c>
      <c r="L1572" s="50">
        <f>IF($J1572="NSHIP",0,-SUMIF($J$4:$J$8710,$C1571,$F$4:$F$8710))</f>
        <v>0</v>
      </c>
      <c r="M1572" s="50">
        <f>IF($J1572="NSHIP",0,-SUMIF($J$4:$J$8710,$C1571,$G$4:$G$8710))</f>
        <v>0</v>
      </c>
      <c r="P1572" s="68"/>
    </row>
    <row r="1573">
      <c r="A1573" s="96">
        <v>1.92743900843E11</v>
      </c>
      <c r="B1573" s="131" t="s">
        <v>1951</v>
      </c>
      <c r="C1573" s="100" t="s">
        <v>97</v>
      </c>
      <c r="D1573" s="100">
        <v>1.0</v>
      </c>
      <c r="E1573" s="119">
        <v>150.0</v>
      </c>
      <c r="F1573" s="119">
        <f t="shared" ref="F1573:F1579" si="266">E1573*D1573</f>
        <v>150</v>
      </c>
      <c r="G1573" s="119">
        <f t="shared" ref="G1573:G1579" si="267">F1573/3</f>
        <v>50</v>
      </c>
      <c r="H1573" s="100" t="s">
        <v>1952</v>
      </c>
      <c r="I1573" s="1"/>
      <c r="J1573" s="104" t="s">
        <v>1953</v>
      </c>
      <c r="K1573" s="133"/>
      <c r="L1573" s="105"/>
      <c r="M1573" s="105"/>
      <c r="N1573" s="1"/>
      <c r="O1573" s="1"/>
      <c r="P1573" s="68"/>
    </row>
    <row r="1574">
      <c r="A1574" s="100">
        <v>6.5648741573E11</v>
      </c>
      <c r="B1574" s="186" t="s">
        <v>1954</v>
      </c>
      <c r="C1574" s="100" t="s">
        <v>97</v>
      </c>
      <c r="D1574" s="100">
        <v>1.0</v>
      </c>
      <c r="E1574" s="119">
        <v>85.0</v>
      </c>
      <c r="F1574" s="119">
        <f t="shared" si="266"/>
        <v>85</v>
      </c>
      <c r="G1574" s="119">
        <f t="shared" si="267"/>
        <v>28.33333333</v>
      </c>
      <c r="H1574" s="100" t="s">
        <v>1066</v>
      </c>
      <c r="I1574" s="1"/>
      <c r="J1574" s="104" t="s">
        <v>1953</v>
      </c>
      <c r="K1574" s="133"/>
      <c r="L1574" s="105"/>
      <c r="M1574" s="105"/>
      <c r="N1574" s="1"/>
      <c r="O1574" s="1"/>
      <c r="P1574" s="68"/>
    </row>
    <row r="1575">
      <c r="A1575" s="100">
        <v>7.36703161037E11</v>
      </c>
      <c r="B1575" s="186" t="s">
        <v>1955</v>
      </c>
      <c r="C1575" s="100" t="s">
        <v>97</v>
      </c>
      <c r="D1575" s="100">
        <v>1.0</v>
      </c>
      <c r="E1575" s="119">
        <v>79.0</v>
      </c>
      <c r="F1575" s="119">
        <f t="shared" si="266"/>
        <v>79</v>
      </c>
      <c r="G1575" s="119">
        <f t="shared" si="267"/>
        <v>26.33333333</v>
      </c>
      <c r="H1575" s="132" t="s">
        <v>1956</v>
      </c>
      <c r="I1575" s="1"/>
      <c r="J1575" s="104" t="s">
        <v>1953</v>
      </c>
      <c r="K1575" s="133"/>
      <c r="L1575" s="105"/>
      <c r="M1575" s="105"/>
      <c r="N1575" s="1"/>
      <c r="O1575" s="1"/>
      <c r="P1575" s="68"/>
    </row>
    <row r="1576">
      <c r="A1576" s="100">
        <v>8.09704072203E11</v>
      </c>
      <c r="B1576" s="186" t="s">
        <v>1957</v>
      </c>
      <c r="C1576" s="100" t="s">
        <v>97</v>
      </c>
      <c r="D1576" s="100">
        <v>1.0</v>
      </c>
      <c r="E1576" s="119">
        <v>140.0</v>
      </c>
      <c r="F1576" s="119">
        <f t="shared" si="266"/>
        <v>140</v>
      </c>
      <c r="G1576" s="119">
        <f t="shared" si="267"/>
        <v>46.66666667</v>
      </c>
      <c r="H1576" s="100" t="s">
        <v>999</v>
      </c>
      <c r="I1576" s="1"/>
      <c r="J1576" s="104" t="s">
        <v>1953</v>
      </c>
      <c r="K1576" s="133"/>
      <c r="L1576" s="105"/>
      <c r="M1576" s="105"/>
      <c r="N1576" s="1"/>
      <c r="O1576" s="1"/>
      <c r="P1576" s="68"/>
    </row>
    <row r="1577">
      <c r="A1577" s="100">
        <v>8.24386976175E11</v>
      </c>
      <c r="B1577" s="186" t="s">
        <v>1958</v>
      </c>
      <c r="C1577" s="100" t="s">
        <v>97</v>
      </c>
      <c r="D1577" s="100">
        <v>1.0</v>
      </c>
      <c r="E1577" s="119">
        <v>99.0</v>
      </c>
      <c r="F1577" s="119">
        <f t="shared" si="266"/>
        <v>99</v>
      </c>
      <c r="G1577" s="119">
        <f t="shared" si="267"/>
        <v>33</v>
      </c>
      <c r="H1577" s="132" t="s">
        <v>1959</v>
      </c>
      <c r="I1577" s="1"/>
      <c r="J1577" s="104" t="s">
        <v>1953</v>
      </c>
      <c r="K1577" s="133"/>
      <c r="L1577" s="105"/>
      <c r="M1577" s="105"/>
      <c r="N1577" s="1"/>
      <c r="O1577" s="1"/>
      <c r="P1577" s="68"/>
    </row>
    <row r="1578">
      <c r="A1578" s="100">
        <v>1.92743900805E11</v>
      </c>
      <c r="B1578" s="186" t="s">
        <v>1960</v>
      </c>
      <c r="C1578" s="100" t="s">
        <v>97</v>
      </c>
      <c r="D1578" s="100">
        <v>1.0</v>
      </c>
      <c r="E1578" s="119">
        <v>159.95</v>
      </c>
      <c r="F1578" s="119">
        <f t="shared" si="266"/>
        <v>159.95</v>
      </c>
      <c r="G1578" s="119">
        <f t="shared" si="267"/>
        <v>53.31666667</v>
      </c>
      <c r="H1578" s="100" t="s">
        <v>1961</v>
      </c>
      <c r="I1578" s="1"/>
      <c r="J1578" s="104" t="s">
        <v>1953</v>
      </c>
      <c r="K1578" s="133"/>
      <c r="L1578" s="105"/>
      <c r="M1578" s="105"/>
      <c r="N1578" s="1"/>
      <c r="O1578" s="1"/>
      <c r="P1578" s="68"/>
    </row>
    <row r="1579">
      <c r="A1579" s="100">
        <v>8.25840213591E11</v>
      </c>
      <c r="B1579" s="186" t="s">
        <v>1962</v>
      </c>
      <c r="C1579" s="100" t="s">
        <v>97</v>
      </c>
      <c r="D1579" s="100">
        <v>1.0</v>
      </c>
      <c r="E1579" s="119">
        <v>200.0</v>
      </c>
      <c r="F1579" s="119">
        <f t="shared" si="266"/>
        <v>200</v>
      </c>
      <c r="G1579" s="119">
        <f t="shared" si="267"/>
        <v>66.66666667</v>
      </c>
      <c r="H1579" s="100" t="s">
        <v>999</v>
      </c>
      <c r="I1579" s="1"/>
      <c r="J1579" s="104" t="s">
        <v>1953</v>
      </c>
      <c r="K1579" s="133"/>
      <c r="L1579" s="105"/>
      <c r="M1579" s="105"/>
      <c r="N1579" s="1"/>
      <c r="O1579" s="1"/>
      <c r="P1579" s="68"/>
    </row>
    <row r="1580">
      <c r="A1580" s="135" t="s">
        <v>1963</v>
      </c>
      <c r="B1580" s="209" t="s">
        <v>1964</v>
      </c>
      <c r="C1580" s="104"/>
      <c r="D1580" s="104"/>
      <c r="E1580" s="106"/>
      <c r="F1580" s="106"/>
      <c r="G1580" s="106"/>
      <c r="H1580" s="104"/>
      <c r="I1580" s="1"/>
      <c r="J1580" s="104"/>
      <c r="K1580" s="133"/>
      <c r="L1580" s="105"/>
      <c r="M1580" s="105"/>
      <c r="N1580" s="1"/>
      <c r="O1580" s="1"/>
      <c r="P1580" s="68"/>
    </row>
    <row r="1581">
      <c r="A1581" s="100">
        <v>1.92681138483E11</v>
      </c>
      <c r="B1581" s="131" t="s">
        <v>1965</v>
      </c>
      <c r="C1581" s="100" t="s">
        <v>97</v>
      </c>
      <c r="D1581" s="100">
        <v>1.0</v>
      </c>
      <c r="E1581" s="119">
        <v>69.99</v>
      </c>
      <c r="F1581" s="119">
        <f t="shared" ref="F1581:F1583" si="268">E1581*D1581</f>
        <v>69.99</v>
      </c>
      <c r="G1581" s="119">
        <f t="shared" ref="G1581:G1583" si="269">F1581/3</f>
        <v>23.33</v>
      </c>
      <c r="H1581" s="132" t="s">
        <v>956</v>
      </c>
      <c r="I1581" s="1"/>
      <c r="J1581" s="104" t="s">
        <v>1953</v>
      </c>
      <c r="K1581" s="133"/>
      <c r="L1581" s="105"/>
      <c r="M1581" s="105"/>
      <c r="N1581" s="1"/>
      <c r="O1581" s="1"/>
      <c r="P1581" s="68"/>
    </row>
    <row r="1582">
      <c r="A1582" s="100">
        <v>1.92743900805E11</v>
      </c>
      <c r="B1582" s="186" t="s">
        <v>1960</v>
      </c>
      <c r="C1582" s="100" t="s">
        <v>97</v>
      </c>
      <c r="D1582" s="100">
        <v>1.0</v>
      </c>
      <c r="E1582" s="119">
        <v>159.95</v>
      </c>
      <c r="F1582" s="119">
        <f t="shared" si="268"/>
        <v>159.95</v>
      </c>
      <c r="G1582" s="119">
        <f t="shared" si="269"/>
        <v>53.31666667</v>
      </c>
      <c r="H1582" s="100" t="s">
        <v>1961</v>
      </c>
      <c r="I1582" s="1"/>
      <c r="J1582" s="104" t="s">
        <v>1953</v>
      </c>
      <c r="K1582" s="133"/>
      <c r="L1582" s="105"/>
      <c r="M1582" s="105"/>
      <c r="N1582" s="1"/>
      <c r="O1582" s="1"/>
      <c r="P1582" s="68"/>
    </row>
    <row r="1583">
      <c r="A1583" s="100">
        <v>1.93625118592E11</v>
      </c>
      <c r="B1583" s="186" t="s">
        <v>1966</v>
      </c>
      <c r="C1583" s="100" t="s">
        <v>97</v>
      </c>
      <c r="D1583" s="100">
        <v>1.0</v>
      </c>
      <c r="E1583" s="119">
        <v>59.0</v>
      </c>
      <c r="F1583" s="119">
        <f t="shared" si="268"/>
        <v>59</v>
      </c>
      <c r="G1583" s="119">
        <f t="shared" si="269"/>
        <v>19.66666667</v>
      </c>
      <c r="H1583" s="132" t="s">
        <v>1967</v>
      </c>
      <c r="I1583" s="1"/>
      <c r="J1583" s="104" t="s">
        <v>1953</v>
      </c>
      <c r="K1583" s="133"/>
      <c r="L1583" s="105"/>
      <c r="M1583" s="105"/>
      <c r="N1583" s="1"/>
      <c r="O1583" s="1"/>
      <c r="P1583" s="68"/>
    </row>
    <row r="1584">
      <c r="A1584" s="135" t="s">
        <v>1225</v>
      </c>
      <c r="B1584" s="209" t="s">
        <v>1968</v>
      </c>
      <c r="C1584" s="100"/>
      <c r="D1584" s="100"/>
      <c r="E1584" s="119"/>
      <c r="F1584" s="119"/>
      <c r="G1584" s="119"/>
      <c r="H1584" s="100"/>
      <c r="I1584" s="1"/>
      <c r="J1584" s="104"/>
      <c r="K1584" s="133"/>
      <c r="L1584" s="105"/>
      <c r="M1584" s="105"/>
      <c r="N1584" s="1"/>
      <c r="O1584" s="1"/>
      <c r="P1584" s="68"/>
    </row>
    <row r="1585">
      <c r="A1585" s="100">
        <v>8.86923396617E11</v>
      </c>
      <c r="B1585" s="186" t="s">
        <v>1969</v>
      </c>
      <c r="C1585" s="100" t="s">
        <v>97</v>
      </c>
      <c r="D1585" s="100">
        <v>1.0</v>
      </c>
      <c r="E1585" s="119">
        <v>69.0</v>
      </c>
      <c r="F1585" s="119">
        <f t="shared" ref="F1585:F1586" si="270">E1585*D1585</f>
        <v>69</v>
      </c>
      <c r="G1585" s="119">
        <f t="shared" ref="G1585:G1586" si="271">F1585/3</f>
        <v>23</v>
      </c>
      <c r="H1585" s="132" t="s">
        <v>1083</v>
      </c>
      <c r="I1585" s="1"/>
      <c r="J1585" s="104" t="s">
        <v>1953</v>
      </c>
      <c r="K1585" s="133"/>
      <c r="L1585" s="105"/>
      <c r="M1585" s="105"/>
      <c r="N1585" s="1"/>
      <c r="O1585" s="1"/>
      <c r="P1585" s="68"/>
    </row>
    <row r="1586">
      <c r="A1586" s="100">
        <v>1.92051250777E11</v>
      </c>
      <c r="B1586" s="186" t="s">
        <v>1970</v>
      </c>
      <c r="C1586" s="100" t="s">
        <v>97</v>
      </c>
      <c r="D1586" s="100">
        <v>1.0</v>
      </c>
      <c r="E1586" s="119">
        <v>90.0</v>
      </c>
      <c r="F1586" s="119">
        <f t="shared" si="270"/>
        <v>90</v>
      </c>
      <c r="G1586" s="119">
        <f t="shared" si="271"/>
        <v>30</v>
      </c>
      <c r="H1586" s="132" t="s">
        <v>1185</v>
      </c>
      <c r="I1586" s="1"/>
      <c r="J1586" s="104" t="s">
        <v>1953</v>
      </c>
      <c r="K1586" s="133"/>
      <c r="L1586" s="105"/>
      <c r="M1586" s="105"/>
      <c r="N1586" s="1"/>
      <c r="O1586" s="1"/>
      <c r="P1586" s="68"/>
    </row>
    <row r="1587">
      <c r="A1587" s="135" t="s">
        <v>1699</v>
      </c>
      <c r="B1587" s="209" t="s">
        <v>1971</v>
      </c>
      <c r="C1587" s="100"/>
      <c r="D1587" s="100"/>
      <c r="E1587" s="119"/>
      <c r="F1587" s="119"/>
      <c r="G1587" s="119"/>
      <c r="H1587" s="100"/>
      <c r="I1587" s="1"/>
      <c r="J1587" s="104"/>
      <c r="K1587" s="133"/>
      <c r="L1587" s="105"/>
      <c r="M1587" s="105"/>
      <c r="N1587" s="1"/>
      <c r="O1587" s="1"/>
      <c r="P1587" s="68"/>
    </row>
    <row r="1588">
      <c r="A1588" s="225">
        <v>1.92363731445E11</v>
      </c>
      <c r="B1588" s="131" t="s">
        <v>1972</v>
      </c>
      <c r="C1588" s="100" t="s">
        <v>97</v>
      </c>
      <c r="D1588" s="100">
        <v>1.0</v>
      </c>
      <c r="E1588" s="119">
        <v>25.0</v>
      </c>
      <c r="F1588" s="119">
        <f t="shared" ref="F1588:F1589" si="272">E1588*D1588</f>
        <v>25</v>
      </c>
      <c r="G1588" s="119">
        <f t="shared" ref="G1588:G1589" si="273">F1588/3</f>
        <v>8.333333333</v>
      </c>
      <c r="H1588" s="100" t="s">
        <v>1973</v>
      </c>
      <c r="I1588" s="1" t="s">
        <v>149</v>
      </c>
      <c r="J1588" s="104" t="s">
        <v>1953</v>
      </c>
      <c r="K1588" s="133"/>
      <c r="L1588" s="105"/>
      <c r="M1588" s="105"/>
      <c r="N1588" s="1"/>
      <c r="O1588" s="1"/>
      <c r="P1588" s="68"/>
    </row>
    <row r="1589">
      <c r="A1589" s="225">
        <v>8.24095740531E11</v>
      </c>
      <c r="B1589" s="131" t="s">
        <v>1974</v>
      </c>
      <c r="C1589" s="100" t="s">
        <v>97</v>
      </c>
      <c r="D1589" s="100">
        <v>1.0</v>
      </c>
      <c r="E1589" s="119">
        <v>99.0</v>
      </c>
      <c r="F1589" s="119">
        <f t="shared" si="272"/>
        <v>99</v>
      </c>
      <c r="G1589" s="119">
        <f t="shared" si="273"/>
        <v>33</v>
      </c>
      <c r="H1589" s="100" t="s">
        <v>1729</v>
      </c>
      <c r="I1589" s="1" t="s">
        <v>149</v>
      </c>
      <c r="J1589" s="104" t="s">
        <v>1953</v>
      </c>
      <c r="K1589" s="133"/>
      <c r="L1589" s="105"/>
      <c r="M1589" s="105"/>
      <c r="N1589" s="1"/>
      <c r="O1589" s="1"/>
      <c r="P1589" s="68"/>
    </row>
    <row r="1590">
      <c r="A1590" s="112" t="s">
        <v>153</v>
      </c>
      <c r="B1590" s="112" t="s">
        <v>1975</v>
      </c>
      <c r="C1590" s="112" t="str">
        <f>MID($B1590,6,7)</f>
        <v>XM18291</v>
      </c>
      <c r="D1590" s="112"/>
      <c r="E1590" s="138"/>
      <c r="F1590" s="138"/>
      <c r="G1590" s="138"/>
      <c r="H1590" s="127">
        <v>44559.0</v>
      </c>
      <c r="I1590" s="1"/>
      <c r="J1590" s="104" t="str">
        <f>IF(LEFT(B1590,3)="Box","BOX","COUNT")</f>
        <v>BOX</v>
      </c>
      <c r="K1590" s="139">
        <f>SUMIF($J$10:$J$8672,$C1590,$D$10:$D$8672)</f>
        <v>14</v>
      </c>
      <c r="L1590" s="32">
        <f>SUMIF($J$10:$J$8672,$C1590,$F$10:$F$8672)</f>
        <v>1484.89</v>
      </c>
      <c r="M1590" s="32">
        <f>SUMIF($J$10:$J$8672,$C1590,$G$10:$G$8672)</f>
        <v>494.9633333</v>
      </c>
      <c r="N1590" s="1" t="str">
        <f>C1590</f>
        <v>XM18291</v>
      </c>
      <c r="O1590" s="1" t="str">
        <f>J1591</f>
        <v>SHIP</v>
      </c>
      <c r="P1590" s="68">
        <f>M1590</f>
        <v>494.9633333</v>
      </c>
      <c r="Q1590" s="114">
        <v>44529.0</v>
      </c>
      <c r="R1590" s="37" t="s">
        <v>1823</v>
      </c>
      <c r="S1590" s="37" t="s">
        <v>1824</v>
      </c>
    </row>
    <row r="1591">
      <c r="A1591" s="222"/>
      <c r="B1591" s="140" t="s">
        <v>1976</v>
      </c>
      <c r="C1591" s="141"/>
      <c r="D1591" s="141"/>
      <c r="E1591" s="142"/>
      <c r="F1591" s="142"/>
      <c r="G1591" s="142"/>
      <c r="H1591" s="141"/>
      <c r="I1591" s="1"/>
      <c r="J1591" s="104" t="str">
        <f>IF(B1591="","NSHIP","SHIP")</f>
        <v>SHIP</v>
      </c>
      <c r="K1591" s="139">
        <f>IF($J1591="NSHIP",0,-SUMIF($J$10:$J$8672,$C1590,$D$10:$D$8672))</f>
        <v>-14</v>
      </c>
      <c r="L1591" s="32">
        <f>IF($J1591="NSHIP",0,-SUMIF($J$10:$J$8670,$C1590,$F$10:$F$8670))</f>
        <v>-1484.89</v>
      </c>
      <c r="M1591" s="32">
        <f>IF($J1591="NSHIP",0,-SUMIF($J$10:$J$8670,$C1590,$G$10:$G$8670))</f>
        <v>-494.9633333</v>
      </c>
      <c r="N1591" s="1"/>
      <c r="O1591" s="1"/>
      <c r="P1591" s="68"/>
    </row>
    <row r="1592">
      <c r="A1592" s="95">
        <v>5.059104542911E12</v>
      </c>
      <c r="B1592" s="151" t="s">
        <v>1977</v>
      </c>
      <c r="C1592" s="95" t="s">
        <v>97</v>
      </c>
      <c r="D1592" s="95">
        <v>1.0</v>
      </c>
      <c r="E1592" s="101">
        <v>100.0</v>
      </c>
      <c r="F1592" s="101">
        <f>E1592*D1592</f>
        <v>100</v>
      </c>
      <c r="G1592" s="101">
        <f>F1592/3</f>
        <v>33.33333333</v>
      </c>
      <c r="H1592" s="95" t="s">
        <v>800</v>
      </c>
      <c r="J1592" s="120" t="s">
        <v>1978</v>
      </c>
      <c r="K1592" s="99"/>
      <c r="L1592" s="50"/>
      <c r="M1592" s="50"/>
      <c r="P1592" s="68"/>
    </row>
    <row r="1593">
      <c r="A1593" s="228"/>
      <c r="B1593" s="228" t="s">
        <v>1979</v>
      </c>
      <c r="C1593" s="229" t="str">
        <f>MID($B1593,6,7)</f>
        <v>XM18292</v>
      </c>
      <c r="D1593" s="228"/>
      <c r="E1593" s="228"/>
      <c r="F1593" s="228"/>
      <c r="G1593" s="228"/>
      <c r="H1593" s="230">
        <v>44559.0</v>
      </c>
      <c r="J1593" s="108" t="str">
        <f>IF(LEFT(B1593,3)="Box","BOX","COUNT")</f>
        <v>BOX</v>
      </c>
      <c r="K1593" s="99">
        <f>SUMIF($J$4:$J$8712,$C1593,$D$4:$D$8712)</f>
        <v>1</v>
      </c>
      <c r="L1593" s="50">
        <f>SUMIF($J$4:$J$8712,$C1593,$F$4:$F$8712)</f>
        <v>100</v>
      </c>
      <c r="M1593" s="50">
        <f>SUMIF($J$4:$J$8712,$C1593,$G$4:$G$8712)</f>
        <v>33.33333333</v>
      </c>
      <c r="N1593" s="70" t="str">
        <f>C1593</f>
        <v>XM18292</v>
      </c>
      <c r="O1593" s="70" t="str">
        <f>J1594</f>
        <v>NSHIP</v>
      </c>
      <c r="P1593" s="68">
        <f>M1593</f>
        <v>33.33333333</v>
      </c>
      <c r="T1593" s="37" t="s">
        <v>1734</v>
      </c>
    </row>
    <row r="1594">
      <c r="A1594" s="239"/>
      <c r="B1594" s="228"/>
      <c r="C1594" s="240"/>
      <c r="D1594" s="240"/>
      <c r="E1594" s="241"/>
      <c r="F1594" s="241"/>
      <c r="G1594" s="241"/>
      <c r="H1594" s="240"/>
      <c r="J1594" s="108" t="str">
        <f>IF(B1594="","NSHIP","SHIP")</f>
        <v>NSHIP</v>
      </c>
      <c r="K1594" s="99">
        <f>IF($J1594="NSHIP",0,-SUMIF($J$4:$J$8712,$C1593,$D$4:$D$8712))</f>
        <v>0</v>
      </c>
      <c r="L1594" s="50">
        <f>IF($J1594="NSHIP",0,-SUMIF($J$4:$J$8710,$C1593,$F$4:$F$8710))</f>
        <v>0</v>
      </c>
      <c r="M1594" s="50">
        <f>IF($J1594="NSHIP",0,-SUMIF($J$4:$J$8710,$C1593,$G$4:$G$8710))</f>
        <v>0</v>
      </c>
      <c r="P1594" s="68"/>
    </row>
    <row r="1595">
      <c r="A1595" s="95">
        <v>6.66688050173E11</v>
      </c>
      <c r="B1595" s="151" t="s">
        <v>1980</v>
      </c>
      <c r="C1595" s="95" t="s">
        <v>97</v>
      </c>
      <c r="D1595" s="95">
        <v>1.0</v>
      </c>
      <c r="E1595" s="101">
        <v>40.0</v>
      </c>
      <c r="F1595" s="101">
        <f>E1595*D1595</f>
        <v>40</v>
      </c>
      <c r="G1595" s="101">
        <f>F1595/3</f>
        <v>13.33333333</v>
      </c>
      <c r="H1595" s="95" t="s">
        <v>1981</v>
      </c>
      <c r="J1595" s="120" t="s">
        <v>1982</v>
      </c>
      <c r="K1595" s="99"/>
      <c r="L1595" s="50"/>
      <c r="M1595" s="50"/>
      <c r="P1595" s="68"/>
    </row>
    <row r="1596">
      <c r="A1596" s="228"/>
      <c r="B1596" s="228" t="s">
        <v>1983</v>
      </c>
      <c r="C1596" s="229" t="str">
        <f>MID($B1596,6,7)</f>
        <v>XM18293</v>
      </c>
      <c r="D1596" s="228"/>
      <c r="E1596" s="228"/>
      <c r="F1596" s="228"/>
      <c r="G1596" s="228"/>
      <c r="H1596" s="230">
        <v>44559.0</v>
      </c>
      <c r="J1596" s="108" t="str">
        <f>IF(LEFT(B1596,3)="Box","BOX","COUNT")</f>
        <v>BOX</v>
      </c>
      <c r="K1596" s="99">
        <f>SUMIF($J$4:$J$8712,$C1596,$D$4:$D$8712)</f>
        <v>1</v>
      </c>
      <c r="L1596" s="50">
        <f>SUMIF($J$4:$J$8712,$C1596,$F$4:$F$8712)</f>
        <v>40</v>
      </c>
      <c r="M1596" s="50">
        <f>SUMIF($J$4:$J$8712,$C1596,$G$4:$G$8712)</f>
        <v>13.33333333</v>
      </c>
      <c r="N1596" s="70" t="str">
        <f>C1596</f>
        <v>XM18293</v>
      </c>
      <c r="O1596" s="70" t="str">
        <f>J1597</f>
        <v>NSHIP</v>
      </c>
      <c r="P1596" s="68">
        <f>M1596</f>
        <v>13.33333333</v>
      </c>
      <c r="T1596" s="37" t="s">
        <v>1734</v>
      </c>
    </row>
    <row r="1597">
      <c r="A1597" s="239"/>
      <c r="B1597" s="228"/>
      <c r="C1597" s="240"/>
      <c r="D1597" s="240"/>
      <c r="E1597" s="241"/>
      <c r="F1597" s="241"/>
      <c r="G1597" s="241"/>
      <c r="H1597" s="240"/>
      <c r="J1597" s="108" t="str">
        <f>IF(B1597="","NSHIP","SHIP")</f>
        <v>NSHIP</v>
      </c>
      <c r="K1597" s="99">
        <f>IF($J1597="NSHIP",0,-SUMIF($J$4:$J$8712,$C1596,$D$4:$D$8712))</f>
        <v>0</v>
      </c>
      <c r="L1597" s="50">
        <f>IF($J1597="NSHIP",0,-SUMIF($J$4:$J$8710,$C1596,$F$4:$F$8710))</f>
        <v>0</v>
      </c>
      <c r="M1597" s="50">
        <f>IF($J1597="NSHIP",0,-SUMIF($J$4:$J$8710,$C1596,$G$4:$G$8710))</f>
        <v>0</v>
      </c>
      <c r="P1597" s="68"/>
    </row>
    <row r="1598">
      <c r="A1598" s="242">
        <v>1.93605564449E11</v>
      </c>
      <c r="B1598" s="243" t="s">
        <v>1984</v>
      </c>
      <c r="C1598" s="242" t="s">
        <v>97</v>
      </c>
      <c r="D1598" s="242">
        <v>1.0</v>
      </c>
      <c r="E1598" s="244">
        <v>80.0</v>
      </c>
      <c r="F1598" s="244">
        <f>E1598*D1598</f>
        <v>80</v>
      </c>
      <c r="G1598" s="244">
        <f>F1598/3</f>
        <v>26.66666667</v>
      </c>
      <c r="H1598" s="242" t="s">
        <v>1985</v>
      </c>
      <c r="J1598" s="120" t="s">
        <v>1986</v>
      </c>
      <c r="K1598" s="99"/>
      <c r="L1598" s="50"/>
      <c r="M1598" s="50"/>
      <c r="P1598" s="68"/>
    </row>
    <row r="1599">
      <c r="A1599" s="228"/>
      <c r="B1599" s="228" t="s">
        <v>1987</v>
      </c>
      <c r="C1599" s="229" t="str">
        <f>MID($B1599,6,7)</f>
        <v>XM18294</v>
      </c>
      <c r="D1599" s="228"/>
      <c r="E1599" s="228"/>
      <c r="F1599" s="228"/>
      <c r="G1599" s="228"/>
      <c r="H1599" s="230">
        <v>44559.0</v>
      </c>
      <c r="J1599" s="108" t="str">
        <f>IF(LEFT(B1599,3)="Box","BOX","COUNT")</f>
        <v>BOX</v>
      </c>
      <c r="K1599" s="99">
        <f>SUMIF($J$4:$J$8712,$C1599,$D$4:$D$8712)</f>
        <v>1</v>
      </c>
      <c r="L1599" s="50">
        <f>SUMIF($J$4:$J$8712,$C1599,$F$4:$F$8712)</f>
        <v>80</v>
      </c>
      <c r="M1599" s="50">
        <f>SUMIF($J$4:$J$8712,$C1599,$G$4:$G$8712)</f>
        <v>26.66666667</v>
      </c>
      <c r="N1599" s="70" t="str">
        <f>C1599</f>
        <v>XM18294</v>
      </c>
      <c r="O1599" s="70" t="str">
        <f>J1600</f>
        <v>NSHIP</v>
      </c>
      <c r="P1599" s="68">
        <f>M1599</f>
        <v>26.66666667</v>
      </c>
      <c r="T1599" s="37" t="s">
        <v>1734</v>
      </c>
    </row>
    <row r="1600">
      <c r="A1600" s="239"/>
      <c r="B1600" s="228"/>
      <c r="C1600" s="240"/>
      <c r="D1600" s="240"/>
      <c r="E1600" s="241"/>
      <c r="F1600" s="241"/>
      <c r="G1600" s="241"/>
      <c r="H1600" s="240"/>
      <c r="J1600" s="108" t="str">
        <f>IF(B1600="","NSHIP","SHIP")</f>
        <v>NSHIP</v>
      </c>
      <c r="K1600" s="99">
        <f>IF($J1600="NSHIP",0,-SUMIF($J$4:$J$8712,$C1599,$D$4:$D$8712))</f>
        <v>0</v>
      </c>
      <c r="L1600" s="50">
        <f>IF($J1600="NSHIP",0,-SUMIF($J$4:$J$8710,$C1599,$F$4:$F$8710))</f>
        <v>0</v>
      </c>
      <c r="M1600" s="50">
        <f>IF($J1600="NSHIP",0,-SUMIF($J$4:$J$8710,$C1599,$G$4:$G$8710))</f>
        <v>0</v>
      </c>
      <c r="P1600" s="68"/>
    </row>
    <row r="1601">
      <c r="A1601" s="95">
        <v>1.92675761888E11</v>
      </c>
      <c r="B1601" s="151" t="s">
        <v>1988</v>
      </c>
      <c r="C1601" s="95" t="s">
        <v>97</v>
      </c>
      <c r="D1601" s="95">
        <v>1.0</v>
      </c>
      <c r="E1601" s="101">
        <v>229.0</v>
      </c>
      <c r="F1601" s="101">
        <f t="shared" ref="F1601:F1616" si="274">E1601*D1601</f>
        <v>229</v>
      </c>
      <c r="G1601" s="101">
        <f t="shared" ref="G1601:G1616" si="275">F1601/3</f>
        <v>76.33333333</v>
      </c>
      <c r="H1601" s="95" t="s">
        <v>1760</v>
      </c>
      <c r="J1601" s="120" t="s">
        <v>1989</v>
      </c>
      <c r="K1601" s="99"/>
      <c r="L1601" s="50"/>
      <c r="M1601" s="50"/>
      <c r="P1601" s="68"/>
    </row>
    <row r="1602">
      <c r="A1602" s="95">
        <v>1.94060149264E11</v>
      </c>
      <c r="B1602" s="151" t="s">
        <v>1990</v>
      </c>
      <c r="C1602" s="95" t="s">
        <v>97</v>
      </c>
      <c r="D1602" s="95">
        <v>1.0</v>
      </c>
      <c r="E1602" s="101">
        <v>139.0</v>
      </c>
      <c r="F1602" s="101">
        <f t="shared" si="274"/>
        <v>139</v>
      </c>
      <c r="G1602" s="101">
        <f t="shared" si="275"/>
        <v>46.33333333</v>
      </c>
      <c r="H1602" s="95" t="s">
        <v>1760</v>
      </c>
      <c r="J1602" s="120" t="s">
        <v>1989</v>
      </c>
      <c r="K1602" s="99"/>
      <c r="L1602" s="50"/>
      <c r="M1602" s="50"/>
      <c r="P1602" s="68"/>
    </row>
    <row r="1603">
      <c r="A1603" s="95">
        <v>1.94060150703E11</v>
      </c>
      <c r="B1603" s="151" t="s">
        <v>1991</v>
      </c>
      <c r="C1603" s="95" t="s">
        <v>97</v>
      </c>
      <c r="D1603" s="95">
        <v>1.0</v>
      </c>
      <c r="E1603" s="101">
        <v>89.99</v>
      </c>
      <c r="F1603" s="101">
        <f t="shared" si="274"/>
        <v>89.99</v>
      </c>
      <c r="G1603" s="101">
        <f t="shared" si="275"/>
        <v>29.99666667</v>
      </c>
      <c r="H1603" s="95" t="s">
        <v>1760</v>
      </c>
      <c r="J1603" s="120" t="s">
        <v>1989</v>
      </c>
      <c r="K1603" s="99"/>
      <c r="L1603" s="50"/>
      <c r="M1603" s="50"/>
      <c r="P1603" s="68"/>
    </row>
    <row r="1604">
      <c r="A1604" s="95">
        <v>1.9406018137E11</v>
      </c>
      <c r="B1604" s="151" t="s">
        <v>1992</v>
      </c>
      <c r="C1604" s="95" t="s">
        <v>97</v>
      </c>
      <c r="D1604" s="95">
        <v>1.0</v>
      </c>
      <c r="E1604" s="101">
        <v>169.0</v>
      </c>
      <c r="F1604" s="101">
        <f t="shared" si="274"/>
        <v>169</v>
      </c>
      <c r="G1604" s="101">
        <f t="shared" si="275"/>
        <v>56.33333333</v>
      </c>
      <c r="H1604" s="95" t="s">
        <v>1760</v>
      </c>
      <c r="J1604" s="120" t="s">
        <v>1989</v>
      </c>
      <c r="K1604" s="99"/>
      <c r="L1604" s="50"/>
      <c r="M1604" s="50"/>
      <c r="P1604" s="68"/>
    </row>
    <row r="1605">
      <c r="A1605" s="95">
        <v>1.94060181387E11</v>
      </c>
      <c r="B1605" s="151" t="s">
        <v>1993</v>
      </c>
      <c r="C1605" s="95" t="s">
        <v>97</v>
      </c>
      <c r="D1605" s="95">
        <v>1.0</v>
      </c>
      <c r="E1605" s="101">
        <v>169.0</v>
      </c>
      <c r="F1605" s="101">
        <f t="shared" si="274"/>
        <v>169</v>
      </c>
      <c r="G1605" s="101">
        <f t="shared" si="275"/>
        <v>56.33333333</v>
      </c>
      <c r="H1605" s="95" t="s">
        <v>1760</v>
      </c>
      <c r="J1605" s="120" t="s">
        <v>1989</v>
      </c>
      <c r="K1605" s="99"/>
      <c r="L1605" s="50"/>
      <c r="M1605" s="50"/>
      <c r="P1605" s="68"/>
    </row>
    <row r="1606">
      <c r="A1606" s="95">
        <v>1.94060182117E11</v>
      </c>
      <c r="B1606" s="151" t="s">
        <v>1994</v>
      </c>
      <c r="C1606" s="95" t="s">
        <v>97</v>
      </c>
      <c r="D1606" s="95">
        <v>1.0</v>
      </c>
      <c r="E1606" s="101">
        <v>169.0</v>
      </c>
      <c r="F1606" s="101">
        <f t="shared" si="274"/>
        <v>169</v>
      </c>
      <c r="G1606" s="101">
        <f t="shared" si="275"/>
        <v>56.33333333</v>
      </c>
      <c r="H1606" s="95" t="s">
        <v>1760</v>
      </c>
      <c r="J1606" s="120" t="s">
        <v>1989</v>
      </c>
      <c r="K1606" s="99"/>
      <c r="L1606" s="50"/>
      <c r="M1606" s="50"/>
      <c r="P1606" s="68"/>
    </row>
    <row r="1607">
      <c r="A1607" s="95">
        <v>1.94060187709E11</v>
      </c>
      <c r="B1607" s="151" t="s">
        <v>1995</v>
      </c>
      <c r="C1607" s="95" t="s">
        <v>97</v>
      </c>
      <c r="D1607" s="95">
        <v>1.0</v>
      </c>
      <c r="E1607" s="101">
        <v>199.0</v>
      </c>
      <c r="F1607" s="101">
        <f t="shared" si="274"/>
        <v>199</v>
      </c>
      <c r="G1607" s="101">
        <f t="shared" si="275"/>
        <v>66.33333333</v>
      </c>
      <c r="H1607" s="95" t="s">
        <v>1760</v>
      </c>
      <c r="J1607" s="120" t="s">
        <v>1989</v>
      </c>
      <c r="K1607" s="99"/>
      <c r="L1607" s="50"/>
      <c r="M1607" s="50"/>
      <c r="P1607" s="68"/>
    </row>
    <row r="1608">
      <c r="A1608" s="95">
        <v>1.94060187808E11</v>
      </c>
      <c r="B1608" s="151" t="s">
        <v>1996</v>
      </c>
      <c r="C1608" s="95" t="s">
        <v>97</v>
      </c>
      <c r="D1608" s="95">
        <v>1.0</v>
      </c>
      <c r="E1608" s="101">
        <v>199.0</v>
      </c>
      <c r="F1608" s="101">
        <f t="shared" si="274"/>
        <v>199</v>
      </c>
      <c r="G1608" s="101">
        <f t="shared" si="275"/>
        <v>66.33333333</v>
      </c>
      <c r="H1608" s="95" t="s">
        <v>1760</v>
      </c>
      <c r="J1608" s="120" t="s">
        <v>1989</v>
      </c>
      <c r="K1608" s="99"/>
      <c r="L1608" s="50"/>
      <c r="M1608" s="50"/>
      <c r="P1608" s="68"/>
    </row>
    <row r="1609">
      <c r="A1609" s="95">
        <v>1.94060187945E11</v>
      </c>
      <c r="B1609" s="151" t="s">
        <v>1997</v>
      </c>
      <c r="C1609" s="95" t="s">
        <v>97</v>
      </c>
      <c r="D1609" s="95">
        <v>1.0</v>
      </c>
      <c r="E1609" s="101">
        <v>199.0</v>
      </c>
      <c r="F1609" s="101">
        <f t="shared" si="274"/>
        <v>199</v>
      </c>
      <c r="G1609" s="101">
        <f t="shared" si="275"/>
        <v>66.33333333</v>
      </c>
      <c r="H1609" s="95" t="s">
        <v>1760</v>
      </c>
      <c r="J1609" s="120" t="s">
        <v>1989</v>
      </c>
      <c r="K1609" s="99"/>
      <c r="L1609" s="50"/>
      <c r="M1609" s="50"/>
      <c r="P1609" s="68"/>
    </row>
    <row r="1610">
      <c r="A1610" s="95">
        <v>1.94060187969E11</v>
      </c>
      <c r="B1610" s="151" t="s">
        <v>1998</v>
      </c>
      <c r="C1610" s="95" t="s">
        <v>97</v>
      </c>
      <c r="D1610" s="95">
        <v>1.0</v>
      </c>
      <c r="E1610" s="101">
        <v>199.0</v>
      </c>
      <c r="F1610" s="101">
        <f t="shared" si="274"/>
        <v>199</v>
      </c>
      <c r="G1610" s="101">
        <f t="shared" si="275"/>
        <v>66.33333333</v>
      </c>
      <c r="H1610" s="95" t="s">
        <v>1760</v>
      </c>
      <c r="J1610" s="120" t="s">
        <v>1989</v>
      </c>
      <c r="K1610" s="99"/>
      <c r="L1610" s="50"/>
      <c r="M1610" s="50"/>
      <c r="P1610" s="68"/>
    </row>
    <row r="1611">
      <c r="A1611" s="95">
        <v>1.94060222004E11</v>
      </c>
      <c r="B1611" s="151" t="s">
        <v>1999</v>
      </c>
      <c r="C1611" s="95" t="s">
        <v>97</v>
      </c>
      <c r="D1611" s="95">
        <v>1.0</v>
      </c>
      <c r="E1611" s="101">
        <v>129.0</v>
      </c>
      <c r="F1611" s="101">
        <f t="shared" si="274"/>
        <v>129</v>
      </c>
      <c r="G1611" s="101">
        <f t="shared" si="275"/>
        <v>43</v>
      </c>
      <c r="H1611" s="95" t="s">
        <v>1760</v>
      </c>
      <c r="J1611" s="120" t="s">
        <v>1989</v>
      </c>
      <c r="K1611" s="99"/>
      <c r="L1611" s="50"/>
      <c r="M1611" s="50"/>
      <c r="P1611" s="68"/>
    </row>
    <row r="1612">
      <c r="A1612" s="95">
        <v>1.94060228938E11</v>
      </c>
      <c r="B1612" s="151" t="s">
        <v>2000</v>
      </c>
      <c r="C1612" s="95" t="s">
        <v>97</v>
      </c>
      <c r="D1612" s="95">
        <v>1.0</v>
      </c>
      <c r="E1612" s="101">
        <v>109.0</v>
      </c>
      <c r="F1612" s="101">
        <f t="shared" si="274"/>
        <v>109</v>
      </c>
      <c r="G1612" s="101">
        <f t="shared" si="275"/>
        <v>36.33333333</v>
      </c>
      <c r="H1612" s="95" t="s">
        <v>1760</v>
      </c>
      <c r="J1612" s="120" t="s">
        <v>1989</v>
      </c>
      <c r="K1612" s="99"/>
      <c r="L1612" s="50"/>
      <c r="M1612" s="50"/>
      <c r="P1612" s="68"/>
    </row>
    <row r="1613">
      <c r="A1613" s="95">
        <v>1.94060232188E11</v>
      </c>
      <c r="B1613" s="151" t="s">
        <v>2001</v>
      </c>
      <c r="C1613" s="95" t="s">
        <v>97</v>
      </c>
      <c r="D1613" s="95">
        <v>1.0</v>
      </c>
      <c r="E1613" s="101">
        <v>189.0</v>
      </c>
      <c r="F1613" s="101">
        <f t="shared" si="274"/>
        <v>189</v>
      </c>
      <c r="G1613" s="101">
        <f t="shared" si="275"/>
        <v>63</v>
      </c>
      <c r="H1613" s="95" t="s">
        <v>1760</v>
      </c>
      <c r="J1613" s="120" t="s">
        <v>1989</v>
      </c>
      <c r="K1613" s="99"/>
      <c r="L1613" s="50"/>
      <c r="M1613" s="50"/>
      <c r="P1613" s="68"/>
    </row>
    <row r="1614">
      <c r="A1614" s="95">
        <v>1.94060359526E11</v>
      </c>
      <c r="B1614" s="151" t="s">
        <v>2002</v>
      </c>
      <c r="C1614" s="95" t="s">
        <v>97</v>
      </c>
      <c r="D1614" s="95">
        <v>1.0</v>
      </c>
      <c r="E1614" s="101">
        <v>109.0</v>
      </c>
      <c r="F1614" s="101">
        <f t="shared" si="274"/>
        <v>109</v>
      </c>
      <c r="G1614" s="101">
        <f t="shared" si="275"/>
        <v>36.33333333</v>
      </c>
      <c r="H1614" s="95" t="s">
        <v>1760</v>
      </c>
      <c r="J1614" s="120" t="s">
        <v>1989</v>
      </c>
      <c r="K1614" s="99"/>
      <c r="L1614" s="50"/>
      <c r="M1614" s="50"/>
      <c r="P1614" s="68"/>
    </row>
    <row r="1615">
      <c r="A1615" s="95">
        <v>1.94060501307E11</v>
      </c>
      <c r="B1615" s="151" t="s">
        <v>2003</v>
      </c>
      <c r="C1615" s="95" t="s">
        <v>97</v>
      </c>
      <c r="D1615" s="95">
        <v>1.0</v>
      </c>
      <c r="E1615" s="101">
        <v>109.0</v>
      </c>
      <c r="F1615" s="101">
        <f t="shared" si="274"/>
        <v>109</v>
      </c>
      <c r="G1615" s="101">
        <f t="shared" si="275"/>
        <v>36.33333333</v>
      </c>
      <c r="H1615" s="95" t="s">
        <v>1760</v>
      </c>
      <c r="J1615" s="120" t="s">
        <v>1989</v>
      </c>
      <c r="K1615" s="99"/>
      <c r="L1615" s="50"/>
      <c r="M1615" s="50"/>
      <c r="P1615" s="68"/>
    </row>
    <row r="1616">
      <c r="A1616" s="95">
        <v>1.94060590639E11</v>
      </c>
      <c r="B1616" s="151" t="s">
        <v>2004</v>
      </c>
      <c r="C1616" s="95" t="s">
        <v>97</v>
      </c>
      <c r="D1616" s="95">
        <v>1.0</v>
      </c>
      <c r="E1616" s="101">
        <v>79.0</v>
      </c>
      <c r="F1616" s="101">
        <f t="shared" si="274"/>
        <v>79</v>
      </c>
      <c r="G1616" s="101">
        <f t="shared" si="275"/>
        <v>26.33333333</v>
      </c>
      <c r="H1616" s="95" t="s">
        <v>1760</v>
      </c>
      <c r="J1616" s="120" t="s">
        <v>1989</v>
      </c>
      <c r="K1616" s="99"/>
      <c r="L1616" s="50"/>
      <c r="M1616" s="50"/>
      <c r="P1616" s="68"/>
    </row>
    <row r="1617">
      <c r="A1617" s="231" t="s">
        <v>224</v>
      </c>
      <c r="B1617" s="231" t="s">
        <v>2005</v>
      </c>
      <c r="C1617" s="234" t="str">
        <f>MID($B1617,6,7)</f>
        <v>GR18302</v>
      </c>
      <c r="D1617" s="231"/>
      <c r="E1617" s="231"/>
      <c r="F1617" s="231"/>
      <c r="G1617" s="231"/>
      <c r="H1617" s="235">
        <v>44559.0</v>
      </c>
      <c r="J1617" s="108" t="str">
        <f>IF(LEFT(B1617,3)="Box","BOX","COUNT")</f>
        <v>BOX</v>
      </c>
      <c r="K1617" s="99">
        <f>SUMIF($J$4:$J$8712,$C1617,$D$4:$D$8712)</f>
        <v>31</v>
      </c>
      <c r="L1617" s="50">
        <f>SUMIF($J$4:$J$8712,$C1617,$F$4:$F$8712)</f>
        <v>3084.46</v>
      </c>
      <c r="M1617" s="50">
        <f>SUMIF($J$4:$J$8712,$C1617,$G$4:$G$8712)</f>
        <v>978.1975</v>
      </c>
      <c r="N1617" s="70" t="str">
        <f>C1617</f>
        <v>GR18302</v>
      </c>
      <c r="O1617" s="70" t="str">
        <f>J1618</f>
        <v>NSHIP</v>
      </c>
      <c r="P1617" s="68">
        <f>M1617</f>
        <v>978.1975</v>
      </c>
      <c r="Q1617" s="114">
        <v>44559.0</v>
      </c>
      <c r="R1617" s="37" t="s">
        <v>1400</v>
      </c>
      <c r="S1617" s="37" t="s">
        <v>1325</v>
      </c>
    </row>
    <row r="1618">
      <c r="A1618" s="211"/>
      <c r="B1618" s="231"/>
      <c r="C1618" s="109"/>
      <c r="D1618" s="109"/>
      <c r="E1618" s="116"/>
      <c r="F1618" s="116"/>
      <c r="G1618" s="116"/>
      <c r="H1618" s="109"/>
      <c r="J1618" s="108" t="str">
        <f>IF(B1618="","NSHIP","SHIP")</f>
        <v>NSHIP</v>
      </c>
      <c r="K1618" s="99">
        <f>IF($J1618="NSHIP",0,-SUMIF($J$4:$J$8712,$C1617,$D$4:$D$8712))</f>
        <v>0</v>
      </c>
      <c r="L1618" s="50">
        <f>IF($J1618="NSHIP",0,-SUMIF($J$4:$J$8710,$C1617,$F$4:$F$8710))</f>
        <v>0</v>
      </c>
      <c r="M1618" s="50">
        <f>IF($J1618="NSHIP",0,-SUMIF($J$4:$J$8710,$C1617,$G$4:$G$8710))</f>
        <v>0</v>
      </c>
      <c r="P1618" s="68"/>
    </row>
    <row r="1619">
      <c r="A1619" s="95">
        <v>1.90311370531E11</v>
      </c>
      <c r="B1619" s="151" t="s">
        <v>2006</v>
      </c>
      <c r="C1619" s="95" t="s">
        <v>97</v>
      </c>
      <c r="D1619" s="95">
        <v>1.0</v>
      </c>
      <c r="E1619" s="101">
        <v>32.0</v>
      </c>
      <c r="F1619" s="101">
        <f t="shared" ref="F1619:F1643" si="276">E1619*D1619</f>
        <v>32</v>
      </c>
      <c r="G1619" s="101">
        <f t="shared" ref="G1619:G1643" si="277">F1619/4</f>
        <v>8</v>
      </c>
      <c r="H1619" s="95" t="s">
        <v>2007</v>
      </c>
      <c r="J1619" s="120" t="s">
        <v>2008</v>
      </c>
      <c r="K1619" s="99"/>
      <c r="L1619" s="50"/>
      <c r="M1619" s="50"/>
      <c r="P1619" s="68"/>
    </row>
    <row r="1620">
      <c r="A1620" s="95">
        <v>1.90311370623E11</v>
      </c>
      <c r="B1620" s="151" t="s">
        <v>2009</v>
      </c>
      <c r="C1620" s="95" t="s">
        <v>97</v>
      </c>
      <c r="D1620" s="95">
        <v>1.0</v>
      </c>
      <c r="E1620" s="101">
        <v>32.0</v>
      </c>
      <c r="F1620" s="101">
        <f t="shared" si="276"/>
        <v>32</v>
      </c>
      <c r="G1620" s="101">
        <f t="shared" si="277"/>
        <v>8</v>
      </c>
      <c r="H1620" s="95" t="s">
        <v>2007</v>
      </c>
      <c r="J1620" s="120" t="s">
        <v>2008</v>
      </c>
      <c r="K1620" s="99"/>
      <c r="L1620" s="50"/>
      <c r="M1620" s="50"/>
      <c r="P1620" s="68"/>
    </row>
    <row r="1621">
      <c r="A1621" s="95">
        <v>1.90311435582E11</v>
      </c>
      <c r="B1621" s="151" t="s">
        <v>2010</v>
      </c>
      <c r="C1621" s="95" t="s">
        <v>97</v>
      </c>
      <c r="D1621" s="95">
        <v>1.0</v>
      </c>
      <c r="E1621" s="101">
        <v>30.0</v>
      </c>
      <c r="F1621" s="101">
        <f t="shared" si="276"/>
        <v>30</v>
      </c>
      <c r="G1621" s="101">
        <f t="shared" si="277"/>
        <v>7.5</v>
      </c>
      <c r="H1621" s="95" t="s">
        <v>2007</v>
      </c>
      <c r="J1621" s="120" t="s">
        <v>2008</v>
      </c>
      <c r="K1621" s="99"/>
      <c r="L1621" s="50"/>
      <c r="M1621" s="50"/>
      <c r="P1621" s="68"/>
    </row>
    <row r="1622">
      <c r="A1622" s="95">
        <v>1.91524779555E11</v>
      </c>
      <c r="B1622" s="151" t="s">
        <v>2011</v>
      </c>
      <c r="C1622" s="95" t="s">
        <v>97</v>
      </c>
      <c r="D1622" s="95">
        <v>1.0</v>
      </c>
      <c r="E1622" s="101">
        <v>35.0</v>
      </c>
      <c r="F1622" s="101">
        <f t="shared" si="276"/>
        <v>35</v>
      </c>
      <c r="G1622" s="101">
        <f t="shared" si="277"/>
        <v>8.75</v>
      </c>
      <c r="H1622" s="95" t="s">
        <v>2007</v>
      </c>
      <c r="J1622" s="120" t="s">
        <v>2008</v>
      </c>
      <c r="K1622" s="99"/>
      <c r="L1622" s="50"/>
      <c r="M1622" s="50"/>
      <c r="P1622" s="68"/>
    </row>
    <row r="1623">
      <c r="A1623" s="95">
        <v>1.91977144986E11</v>
      </c>
      <c r="B1623" s="151" t="s">
        <v>2012</v>
      </c>
      <c r="C1623" s="95" t="s">
        <v>97</v>
      </c>
      <c r="D1623" s="95">
        <v>1.0</v>
      </c>
      <c r="E1623" s="101">
        <v>35.0</v>
      </c>
      <c r="F1623" s="101">
        <f t="shared" si="276"/>
        <v>35</v>
      </c>
      <c r="G1623" s="101">
        <f t="shared" si="277"/>
        <v>8.75</v>
      </c>
      <c r="H1623" s="95" t="s">
        <v>2007</v>
      </c>
      <c r="J1623" s="120" t="s">
        <v>2008</v>
      </c>
      <c r="K1623" s="99"/>
      <c r="L1623" s="50"/>
      <c r="M1623" s="50"/>
      <c r="P1623" s="68"/>
    </row>
    <row r="1624">
      <c r="A1624" s="95">
        <v>1.91979373797E11</v>
      </c>
      <c r="B1624" s="151" t="s">
        <v>2013</v>
      </c>
      <c r="C1624" s="95" t="s">
        <v>97</v>
      </c>
      <c r="D1624" s="95">
        <v>1.0</v>
      </c>
      <c r="E1624" s="101">
        <v>90.0</v>
      </c>
      <c r="F1624" s="101">
        <f t="shared" si="276"/>
        <v>90</v>
      </c>
      <c r="G1624" s="101">
        <f t="shared" si="277"/>
        <v>22.5</v>
      </c>
      <c r="H1624" s="95" t="s">
        <v>2007</v>
      </c>
      <c r="J1624" s="120" t="s">
        <v>2008</v>
      </c>
      <c r="K1624" s="99"/>
      <c r="L1624" s="50"/>
      <c r="M1624" s="50"/>
      <c r="P1624" s="68"/>
    </row>
    <row r="1625">
      <c r="A1625" s="95">
        <v>1.91979400387E11</v>
      </c>
      <c r="B1625" s="151" t="s">
        <v>2014</v>
      </c>
      <c r="C1625" s="95" t="s">
        <v>97</v>
      </c>
      <c r="D1625" s="95">
        <v>1.0</v>
      </c>
      <c r="E1625" s="101">
        <v>25.0</v>
      </c>
      <c r="F1625" s="101">
        <f t="shared" si="276"/>
        <v>25</v>
      </c>
      <c r="G1625" s="101">
        <f t="shared" si="277"/>
        <v>6.25</v>
      </c>
      <c r="H1625" s="95" t="s">
        <v>2007</v>
      </c>
      <c r="J1625" s="120" t="s">
        <v>2008</v>
      </c>
      <c r="K1625" s="99"/>
      <c r="L1625" s="50"/>
      <c r="M1625" s="50"/>
      <c r="P1625" s="68"/>
    </row>
    <row r="1626">
      <c r="A1626" s="95">
        <v>1.91979400479E11</v>
      </c>
      <c r="B1626" s="151" t="s">
        <v>2015</v>
      </c>
      <c r="C1626" s="95" t="s">
        <v>97</v>
      </c>
      <c r="D1626" s="95">
        <v>1.0</v>
      </c>
      <c r="E1626" s="101">
        <v>25.0</v>
      </c>
      <c r="F1626" s="101">
        <f t="shared" si="276"/>
        <v>25</v>
      </c>
      <c r="G1626" s="101">
        <f t="shared" si="277"/>
        <v>6.25</v>
      </c>
      <c r="H1626" s="95" t="s">
        <v>2007</v>
      </c>
      <c r="J1626" s="120" t="s">
        <v>2008</v>
      </c>
      <c r="K1626" s="99"/>
      <c r="L1626" s="50"/>
      <c r="M1626" s="50"/>
      <c r="P1626" s="68"/>
    </row>
    <row r="1627">
      <c r="A1627" s="95">
        <v>1.91979424031E11</v>
      </c>
      <c r="B1627" s="151" t="s">
        <v>2016</v>
      </c>
      <c r="C1627" s="95" t="s">
        <v>97</v>
      </c>
      <c r="D1627" s="95">
        <v>1.0</v>
      </c>
      <c r="E1627" s="101">
        <v>55.0</v>
      </c>
      <c r="F1627" s="101">
        <f t="shared" si="276"/>
        <v>55</v>
      </c>
      <c r="G1627" s="101">
        <f t="shared" si="277"/>
        <v>13.75</v>
      </c>
      <c r="H1627" s="95" t="s">
        <v>2007</v>
      </c>
      <c r="J1627" s="120" t="s">
        <v>2008</v>
      </c>
      <c r="K1627" s="99"/>
      <c r="L1627" s="50"/>
      <c r="M1627" s="50"/>
      <c r="P1627" s="68"/>
    </row>
    <row r="1628">
      <c r="A1628" s="95">
        <v>1.91979427346E11</v>
      </c>
      <c r="B1628" s="151" t="s">
        <v>2017</v>
      </c>
      <c r="C1628" s="95" t="s">
        <v>97</v>
      </c>
      <c r="D1628" s="95">
        <v>1.0</v>
      </c>
      <c r="E1628" s="101">
        <v>30.0</v>
      </c>
      <c r="F1628" s="101">
        <f t="shared" si="276"/>
        <v>30</v>
      </c>
      <c r="G1628" s="101">
        <f t="shared" si="277"/>
        <v>7.5</v>
      </c>
      <c r="H1628" s="95" t="s">
        <v>2007</v>
      </c>
      <c r="J1628" s="120" t="s">
        <v>2008</v>
      </c>
      <c r="K1628" s="99"/>
      <c r="L1628" s="50"/>
      <c r="M1628" s="50"/>
      <c r="P1628" s="68"/>
    </row>
    <row r="1629">
      <c r="A1629" s="95">
        <v>1.91979496083E11</v>
      </c>
      <c r="B1629" s="151" t="s">
        <v>2018</v>
      </c>
      <c r="C1629" s="95" t="s">
        <v>97</v>
      </c>
      <c r="D1629" s="95">
        <v>1.0</v>
      </c>
      <c r="E1629" s="101">
        <v>35.0</v>
      </c>
      <c r="F1629" s="101">
        <f t="shared" si="276"/>
        <v>35</v>
      </c>
      <c r="G1629" s="101">
        <f t="shared" si="277"/>
        <v>8.75</v>
      </c>
      <c r="H1629" s="95" t="s">
        <v>2007</v>
      </c>
      <c r="J1629" s="120" t="s">
        <v>2008</v>
      </c>
      <c r="K1629" s="99"/>
      <c r="L1629" s="50"/>
      <c r="M1629" s="50"/>
      <c r="P1629" s="68"/>
    </row>
    <row r="1630">
      <c r="A1630" s="95">
        <v>1.91982102926E11</v>
      </c>
      <c r="B1630" s="151" t="s">
        <v>2019</v>
      </c>
      <c r="C1630" s="95" t="s">
        <v>97</v>
      </c>
      <c r="D1630" s="95">
        <v>1.0</v>
      </c>
      <c r="E1630" s="101">
        <v>25.0</v>
      </c>
      <c r="F1630" s="101">
        <f t="shared" si="276"/>
        <v>25</v>
      </c>
      <c r="G1630" s="101">
        <f t="shared" si="277"/>
        <v>6.25</v>
      </c>
      <c r="H1630" s="95" t="s">
        <v>2007</v>
      </c>
      <c r="J1630" s="120" t="s">
        <v>2008</v>
      </c>
      <c r="K1630" s="99"/>
      <c r="L1630" s="50"/>
      <c r="M1630" s="50"/>
      <c r="P1630" s="68"/>
    </row>
    <row r="1631">
      <c r="A1631" s="95">
        <v>1.91984437569E11</v>
      </c>
      <c r="B1631" s="151" t="s">
        <v>2020</v>
      </c>
      <c r="C1631" s="95" t="s">
        <v>97</v>
      </c>
      <c r="D1631" s="95">
        <v>1.0</v>
      </c>
      <c r="E1631" s="101">
        <v>80.0</v>
      </c>
      <c r="F1631" s="101">
        <f t="shared" si="276"/>
        <v>80</v>
      </c>
      <c r="G1631" s="101">
        <f t="shared" si="277"/>
        <v>20</v>
      </c>
      <c r="H1631" s="95" t="s">
        <v>2007</v>
      </c>
      <c r="J1631" s="120" t="s">
        <v>2008</v>
      </c>
      <c r="K1631" s="99"/>
      <c r="L1631" s="50"/>
      <c r="M1631" s="50"/>
      <c r="P1631" s="68"/>
    </row>
    <row r="1632">
      <c r="A1632" s="95">
        <v>1.91984812977E11</v>
      </c>
      <c r="B1632" s="151" t="s">
        <v>2021</v>
      </c>
      <c r="C1632" s="95" t="s">
        <v>97</v>
      </c>
      <c r="D1632" s="95">
        <v>1.0</v>
      </c>
      <c r="E1632" s="101">
        <v>50.0</v>
      </c>
      <c r="F1632" s="101">
        <f t="shared" si="276"/>
        <v>50</v>
      </c>
      <c r="G1632" s="101">
        <f t="shared" si="277"/>
        <v>12.5</v>
      </c>
      <c r="H1632" s="95" t="s">
        <v>2007</v>
      </c>
      <c r="J1632" s="120" t="s">
        <v>2008</v>
      </c>
      <c r="K1632" s="99"/>
      <c r="L1632" s="50"/>
      <c r="M1632" s="50"/>
      <c r="P1632" s="68"/>
    </row>
    <row r="1633">
      <c r="A1633" s="95">
        <v>1.92609137901E11</v>
      </c>
      <c r="B1633" s="151" t="s">
        <v>2022</v>
      </c>
      <c r="C1633" s="95" t="s">
        <v>97</v>
      </c>
      <c r="D1633" s="95">
        <v>1.0</v>
      </c>
      <c r="E1633" s="101">
        <v>30.0</v>
      </c>
      <c r="F1633" s="101">
        <f t="shared" si="276"/>
        <v>30</v>
      </c>
      <c r="G1633" s="101">
        <f t="shared" si="277"/>
        <v>7.5</v>
      </c>
      <c r="H1633" s="95" t="s">
        <v>2023</v>
      </c>
      <c r="J1633" s="120" t="s">
        <v>2008</v>
      </c>
      <c r="K1633" s="99"/>
      <c r="L1633" s="50"/>
      <c r="M1633" s="50"/>
      <c r="P1633" s="68"/>
    </row>
    <row r="1634">
      <c r="A1634" s="95">
        <v>1.92616554685E11</v>
      </c>
      <c r="B1634" s="151" t="s">
        <v>2024</v>
      </c>
      <c r="C1634" s="95" t="s">
        <v>97</v>
      </c>
      <c r="D1634" s="95">
        <v>1.0</v>
      </c>
      <c r="E1634" s="101">
        <v>25.0</v>
      </c>
      <c r="F1634" s="101">
        <f t="shared" si="276"/>
        <v>25</v>
      </c>
      <c r="G1634" s="101">
        <f t="shared" si="277"/>
        <v>6.25</v>
      </c>
      <c r="H1634" s="95" t="s">
        <v>2007</v>
      </c>
      <c r="J1634" s="120" t="s">
        <v>2008</v>
      </c>
      <c r="K1634" s="99"/>
      <c r="L1634" s="50"/>
      <c r="M1634" s="50"/>
      <c r="P1634" s="68"/>
    </row>
    <row r="1635">
      <c r="A1635" s="95">
        <v>1.92616583036E11</v>
      </c>
      <c r="B1635" s="151" t="s">
        <v>2025</v>
      </c>
      <c r="C1635" s="95" t="s">
        <v>97</v>
      </c>
      <c r="D1635" s="95">
        <v>1.0</v>
      </c>
      <c r="E1635" s="101">
        <v>45.0</v>
      </c>
      <c r="F1635" s="101">
        <f t="shared" si="276"/>
        <v>45</v>
      </c>
      <c r="G1635" s="101">
        <f t="shared" si="277"/>
        <v>11.25</v>
      </c>
      <c r="H1635" s="95" t="s">
        <v>2007</v>
      </c>
      <c r="J1635" s="120" t="s">
        <v>2008</v>
      </c>
      <c r="K1635" s="99"/>
      <c r="L1635" s="50"/>
      <c r="M1635" s="50"/>
      <c r="P1635" s="68"/>
    </row>
    <row r="1636">
      <c r="A1636" s="95">
        <v>1.92616583067E11</v>
      </c>
      <c r="B1636" s="151" t="s">
        <v>2026</v>
      </c>
      <c r="C1636" s="95" t="s">
        <v>97</v>
      </c>
      <c r="D1636" s="95">
        <v>1.0</v>
      </c>
      <c r="E1636" s="101">
        <v>45.0</v>
      </c>
      <c r="F1636" s="101">
        <f t="shared" si="276"/>
        <v>45</v>
      </c>
      <c r="G1636" s="101">
        <f t="shared" si="277"/>
        <v>11.25</v>
      </c>
      <c r="H1636" s="95" t="s">
        <v>2007</v>
      </c>
      <c r="J1636" s="120" t="s">
        <v>2008</v>
      </c>
      <c r="K1636" s="99"/>
      <c r="L1636" s="50"/>
      <c r="M1636" s="50"/>
      <c r="P1636" s="68"/>
    </row>
    <row r="1637">
      <c r="A1637" s="95">
        <v>1.92616583111E11</v>
      </c>
      <c r="B1637" s="151" t="s">
        <v>2027</v>
      </c>
      <c r="C1637" s="95" t="s">
        <v>97</v>
      </c>
      <c r="D1637" s="95">
        <v>1.0</v>
      </c>
      <c r="E1637" s="101">
        <v>45.0</v>
      </c>
      <c r="F1637" s="101">
        <f t="shared" si="276"/>
        <v>45</v>
      </c>
      <c r="G1637" s="101">
        <f t="shared" si="277"/>
        <v>11.25</v>
      </c>
      <c r="H1637" s="95" t="s">
        <v>2007</v>
      </c>
      <c r="J1637" s="120" t="s">
        <v>2008</v>
      </c>
      <c r="K1637" s="99"/>
      <c r="L1637" s="50"/>
      <c r="M1637" s="50"/>
      <c r="P1637" s="68"/>
    </row>
    <row r="1638">
      <c r="A1638" s="95">
        <v>1.93102616313E11</v>
      </c>
      <c r="B1638" s="151" t="s">
        <v>2028</v>
      </c>
      <c r="C1638" s="95" t="s">
        <v>97</v>
      </c>
      <c r="D1638" s="95">
        <v>1.0</v>
      </c>
      <c r="E1638" s="101">
        <v>35.0</v>
      </c>
      <c r="F1638" s="101">
        <f t="shared" si="276"/>
        <v>35</v>
      </c>
      <c r="G1638" s="101">
        <f t="shared" si="277"/>
        <v>8.75</v>
      </c>
      <c r="H1638" s="95" t="s">
        <v>2007</v>
      </c>
      <c r="J1638" s="120" t="s">
        <v>2008</v>
      </c>
      <c r="K1638" s="99"/>
      <c r="L1638" s="50"/>
      <c r="M1638" s="50"/>
      <c r="P1638" s="68"/>
    </row>
    <row r="1639">
      <c r="A1639" s="95">
        <v>1.9310267755E11</v>
      </c>
      <c r="B1639" s="151" t="s">
        <v>2029</v>
      </c>
      <c r="C1639" s="95" t="s">
        <v>97</v>
      </c>
      <c r="D1639" s="95">
        <v>1.0</v>
      </c>
      <c r="E1639" s="101">
        <v>35.0</v>
      </c>
      <c r="F1639" s="101">
        <f t="shared" si="276"/>
        <v>35</v>
      </c>
      <c r="G1639" s="101">
        <f t="shared" si="277"/>
        <v>8.75</v>
      </c>
      <c r="H1639" s="95" t="s">
        <v>2007</v>
      </c>
      <c r="J1639" s="120" t="s">
        <v>2008</v>
      </c>
      <c r="K1639" s="99"/>
      <c r="L1639" s="50"/>
      <c r="M1639" s="50"/>
      <c r="P1639" s="68"/>
    </row>
    <row r="1640">
      <c r="A1640" s="95">
        <v>1.94814799035E11</v>
      </c>
      <c r="B1640" s="151" t="s">
        <v>2030</v>
      </c>
      <c r="C1640" s="95" t="s">
        <v>97</v>
      </c>
      <c r="D1640" s="95">
        <v>1.0</v>
      </c>
      <c r="E1640" s="101">
        <v>35.0</v>
      </c>
      <c r="F1640" s="101">
        <f t="shared" si="276"/>
        <v>35</v>
      </c>
      <c r="G1640" s="101">
        <f t="shared" si="277"/>
        <v>8.75</v>
      </c>
      <c r="H1640" s="95" t="s">
        <v>2007</v>
      </c>
      <c r="J1640" s="120" t="s">
        <v>2008</v>
      </c>
      <c r="K1640" s="99"/>
      <c r="L1640" s="50"/>
      <c r="M1640" s="50"/>
      <c r="P1640" s="68"/>
    </row>
    <row r="1641">
      <c r="A1641" s="95">
        <v>1.94817331669E11</v>
      </c>
      <c r="B1641" s="151" t="s">
        <v>2031</v>
      </c>
      <c r="C1641" s="95" t="s">
        <v>97</v>
      </c>
      <c r="D1641" s="95">
        <v>1.0</v>
      </c>
      <c r="E1641" s="101">
        <v>65.0</v>
      </c>
      <c r="F1641" s="101">
        <f t="shared" si="276"/>
        <v>65</v>
      </c>
      <c r="G1641" s="101">
        <f t="shared" si="277"/>
        <v>16.25</v>
      </c>
      <c r="H1641" s="95" t="s">
        <v>2007</v>
      </c>
      <c r="J1641" s="120" t="s">
        <v>2008</v>
      </c>
      <c r="K1641" s="99"/>
      <c r="L1641" s="50"/>
      <c r="M1641" s="50"/>
      <c r="P1641" s="68"/>
    </row>
    <row r="1642">
      <c r="A1642" s="95">
        <v>7.16106886584E11</v>
      </c>
      <c r="B1642" s="151" t="s">
        <v>2032</v>
      </c>
      <c r="C1642" s="95" t="s">
        <v>97</v>
      </c>
      <c r="D1642" s="95">
        <v>1.0</v>
      </c>
      <c r="E1642" s="101">
        <v>20.0</v>
      </c>
      <c r="F1642" s="101">
        <f t="shared" si="276"/>
        <v>20</v>
      </c>
      <c r="G1642" s="101">
        <f t="shared" si="277"/>
        <v>5</v>
      </c>
      <c r="H1642" s="95" t="s">
        <v>2033</v>
      </c>
      <c r="J1642" s="120" t="s">
        <v>2008</v>
      </c>
      <c r="K1642" s="99"/>
      <c r="L1642" s="50"/>
      <c r="M1642" s="50"/>
      <c r="P1642" s="68"/>
    </row>
    <row r="1643">
      <c r="A1643" s="95">
        <v>7.16106915581E11</v>
      </c>
      <c r="B1643" s="151" t="s">
        <v>2034</v>
      </c>
      <c r="C1643" s="95" t="s">
        <v>97</v>
      </c>
      <c r="D1643" s="95">
        <v>1.0</v>
      </c>
      <c r="E1643" s="101">
        <v>28.0</v>
      </c>
      <c r="F1643" s="101">
        <f t="shared" si="276"/>
        <v>28</v>
      </c>
      <c r="G1643" s="101">
        <f t="shared" si="277"/>
        <v>7</v>
      </c>
      <c r="H1643" s="95" t="s">
        <v>2033</v>
      </c>
      <c r="J1643" s="120" t="s">
        <v>2008</v>
      </c>
      <c r="K1643" s="99"/>
      <c r="L1643" s="50"/>
      <c r="M1643" s="50"/>
      <c r="P1643" s="68"/>
    </row>
    <row r="1644">
      <c r="A1644" s="231" t="s">
        <v>267</v>
      </c>
      <c r="B1644" s="231" t="s">
        <v>2035</v>
      </c>
      <c r="C1644" s="234" t="str">
        <f>MID($B1644,6,7)</f>
        <v>LC18303</v>
      </c>
      <c r="D1644" s="231"/>
      <c r="E1644" s="231"/>
      <c r="F1644" s="231"/>
      <c r="G1644" s="231"/>
      <c r="H1644" s="235">
        <v>44559.0</v>
      </c>
      <c r="J1644" s="108" t="str">
        <f>IF(LEFT(B1644,3)="Box","BOX","COUNT")</f>
        <v>BOX</v>
      </c>
      <c r="K1644" s="99">
        <f>SUMIF($J$4:$J$8712,$C1644,$D$4:$D$8712)</f>
        <v>25</v>
      </c>
      <c r="L1644" s="50">
        <f>SUMIF($J$4:$J$8712,$C1644,$F$4:$F$8712)</f>
        <v>987</v>
      </c>
      <c r="M1644" s="50">
        <f>SUMIF($J$4:$J$8712,$C1644,$G$4:$G$8712)</f>
        <v>246.75</v>
      </c>
      <c r="N1644" s="70" t="str">
        <f>C1644</f>
        <v>LC18303</v>
      </c>
      <c r="O1644" s="70" t="str">
        <f>J1645</f>
        <v>NSHIP</v>
      </c>
      <c r="P1644" s="68">
        <f>M1644</f>
        <v>246.75</v>
      </c>
      <c r="Q1644" s="114">
        <v>44559.0</v>
      </c>
      <c r="R1644" s="37" t="s">
        <v>2036</v>
      </c>
      <c r="S1644" s="37" t="s">
        <v>2037</v>
      </c>
    </row>
    <row r="1645">
      <c r="A1645" s="211"/>
      <c r="B1645" s="231"/>
      <c r="C1645" s="109"/>
      <c r="D1645" s="109"/>
      <c r="E1645" s="116"/>
      <c r="F1645" s="116"/>
      <c r="G1645" s="116"/>
      <c r="H1645" s="109"/>
      <c r="J1645" s="108" t="str">
        <f>IF(B1645="","NSHIP","SHIP")</f>
        <v>NSHIP</v>
      </c>
      <c r="K1645" s="99">
        <f>IF($J1645="NSHIP",0,-SUMIF($J$4:$J$8712,$C1644,$D$4:$D$8712))</f>
        <v>0</v>
      </c>
      <c r="L1645" s="50">
        <f>IF($J1645="NSHIP",0,-SUMIF($J$4:$J$8710,$C1644,$F$4:$F$8710))</f>
        <v>0</v>
      </c>
      <c r="M1645" s="50">
        <f>IF($J1645="NSHIP",0,-SUMIF($J$4:$J$8710,$C1644,$G$4:$G$8710))</f>
        <v>0</v>
      </c>
      <c r="P1645" s="68"/>
    </row>
    <row r="1646">
      <c r="A1646" s="95">
        <v>1.93623321451E11</v>
      </c>
      <c r="B1646" s="164" t="s">
        <v>2038</v>
      </c>
      <c r="C1646" s="95" t="s">
        <v>97</v>
      </c>
      <c r="D1646" s="95">
        <v>1.0</v>
      </c>
      <c r="E1646" s="101">
        <v>134.0</v>
      </c>
      <c r="F1646" s="101">
        <f t="shared" ref="F1646:F1648" si="278">E1646*D1646</f>
        <v>134</v>
      </c>
      <c r="G1646" s="101">
        <f t="shared" ref="G1646:G1648" si="279">F1646/4</f>
        <v>33.5</v>
      </c>
      <c r="H1646" s="95" t="s">
        <v>271</v>
      </c>
      <c r="J1646" s="120" t="s">
        <v>2039</v>
      </c>
      <c r="K1646" s="99"/>
      <c r="L1646" s="50"/>
      <c r="M1646" s="50"/>
      <c r="P1646" s="68"/>
    </row>
    <row r="1647">
      <c r="A1647" s="95">
        <v>1.95046664894E11</v>
      </c>
      <c r="B1647" s="131" t="s">
        <v>2040</v>
      </c>
      <c r="C1647" s="95" t="s">
        <v>97</v>
      </c>
      <c r="D1647" s="95">
        <v>1.0</v>
      </c>
      <c r="E1647" s="101">
        <v>139.0</v>
      </c>
      <c r="F1647" s="101">
        <f t="shared" si="278"/>
        <v>139</v>
      </c>
      <c r="G1647" s="101">
        <f t="shared" si="279"/>
        <v>34.75</v>
      </c>
      <c r="H1647" s="95" t="s">
        <v>271</v>
      </c>
      <c r="J1647" s="120" t="s">
        <v>2039</v>
      </c>
      <c r="K1647" s="99"/>
      <c r="L1647" s="50"/>
      <c r="M1647" s="50"/>
      <c r="P1647" s="68"/>
    </row>
    <row r="1648">
      <c r="A1648" s="95">
        <v>1.95046907694E11</v>
      </c>
      <c r="B1648" s="131" t="s">
        <v>2041</v>
      </c>
      <c r="C1648" s="95" t="s">
        <v>97</v>
      </c>
      <c r="D1648" s="95">
        <v>1.0</v>
      </c>
      <c r="E1648" s="101">
        <v>129.0</v>
      </c>
      <c r="F1648" s="101">
        <f t="shared" si="278"/>
        <v>129</v>
      </c>
      <c r="G1648" s="101">
        <f t="shared" si="279"/>
        <v>32.25</v>
      </c>
      <c r="H1648" s="95" t="s">
        <v>271</v>
      </c>
      <c r="J1648" s="120" t="s">
        <v>2039</v>
      </c>
      <c r="K1648" s="99"/>
      <c r="L1648" s="50"/>
      <c r="M1648" s="50"/>
      <c r="P1648" s="68"/>
    </row>
    <row r="1649">
      <c r="A1649" s="102" t="s">
        <v>304</v>
      </c>
      <c r="B1649" s="209" t="s">
        <v>2042</v>
      </c>
      <c r="C1649" s="104"/>
      <c r="D1649" s="104"/>
      <c r="E1649" s="105"/>
      <c r="F1649" s="106"/>
      <c r="G1649" s="106"/>
      <c r="H1649" s="107"/>
      <c r="J1649" s="108"/>
      <c r="K1649" s="99"/>
      <c r="L1649" s="50"/>
      <c r="M1649" s="50"/>
      <c r="P1649" s="68"/>
    </row>
    <row r="1650">
      <c r="A1650" s="95">
        <v>1.93623465773E11</v>
      </c>
      <c r="B1650" s="192" t="s">
        <v>2043</v>
      </c>
      <c r="C1650" s="95" t="s">
        <v>97</v>
      </c>
      <c r="D1650" s="95">
        <v>1.0</v>
      </c>
      <c r="E1650" s="101">
        <v>229.0</v>
      </c>
      <c r="F1650" s="101">
        <f>E1650*D1650</f>
        <v>229</v>
      </c>
      <c r="G1650" s="101">
        <f>F1650/4</f>
        <v>57.25</v>
      </c>
      <c r="H1650" s="95" t="s">
        <v>279</v>
      </c>
      <c r="J1650" s="120" t="s">
        <v>2039</v>
      </c>
      <c r="K1650" s="99"/>
      <c r="L1650" s="50"/>
      <c r="M1650" s="50"/>
      <c r="P1650" s="68"/>
    </row>
    <row r="1651">
      <c r="A1651" s="102" t="s">
        <v>113</v>
      </c>
      <c r="B1651" s="209" t="s">
        <v>2044</v>
      </c>
      <c r="C1651" s="104"/>
      <c r="D1651" s="104"/>
      <c r="E1651" s="105"/>
      <c r="F1651" s="106"/>
      <c r="G1651" s="106"/>
      <c r="H1651" s="107"/>
      <c r="J1651" s="108"/>
      <c r="K1651" s="99"/>
      <c r="L1651" s="50"/>
      <c r="M1651" s="50"/>
      <c r="P1651" s="68"/>
    </row>
    <row r="1652">
      <c r="A1652" s="210">
        <v>1.93623321604E11</v>
      </c>
      <c r="B1652" s="151" t="s">
        <v>2045</v>
      </c>
      <c r="C1652" s="95" t="s">
        <v>97</v>
      </c>
      <c r="D1652" s="95">
        <v>1.0</v>
      </c>
      <c r="E1652" s="101">
        <v>149.0</v>
      </c>
      <c r="F1652" s="101">
        <f t="shared" ref="F1652:F1655" si="280">E1652*D1652</f>
        <v>149</v>
      </c>
      <c r="G1652" s="101">
        <f t="shared" ref="G1652:G1655" si="281">F1652/4</f>
        <v>37.25</v>
      </c>
      <c r="H1652" s="95" t="s">
        <v>271</v>
      </c>
      <c r="I1652" s="70" t="s">
        <v>1816</v>
      </c>
      <c r="J1652" s="120" t="s">
        <v>2039</v>
      </c>
      <c r="K1652" s="99"/>
      <c r="L1652" s="50"/>
      <c r="M1652" s="50"/>
      <c r="P1652" s="68"/>
    </row>
    <row r="1653">
      <c r="A1653" s="210">
        <v>1.93623435707E11</v>
      </c>
      <c r="B1653" s="151" t="s">
        <v>2046</v>
      </c>
      <c r="C1653" s="95" t="s">
        <v>97</v>
      </c>
      <c r="D1653" s="95">
        <v>1.0</v>
      </c>
      <c r="E1653" s="101">
        <v>199.0</v>
      </c>
      <c r="F1653" s="101">
        <f t="shared" si="280"/>
        <v>199</v>
      </c>
      <c r="G1653" s="101">
        <f t="shared" si="281"/>
        <v>49.75</v>
      </c>
      <c r="H1653" s="95" t="s">
        <v>271</v>
      </c>
      <c r="I1653" s="70" t="s">
        <v>1816</v>
      </c>
      <c r="J1653" s="120" t="s">
        <v>2039</v>
      </c>
      <c r="K1653" s="99"/>
      <c r="L1653" s="50"/>
      <c r="M1653" s="50"/>
      <c r="P1653" s="68"/>
    </row>
    <row r="1654">
      <c r="A1654" s="210">
        <v>1.94414652457E11</v>
      </c>
      <c r="B1654" s="151" t="s">
        <v>2047</v>
      </c>
      <c r="C1654" s="95" t="s">
        <v>97</v>
      </c>
      <c r="D1654" s="95">
        <v>1.0</v>
      </c>
      <c r="E1654" s="101">
        <v>89.98</v>
      </c>
      <c r="F1654" s="101">
        <f t="shared" si="280"/>
        <v>89.98</v>
      </c>
      <c r="G1654" s="101">
        <f t="shared" si="281"/>
        <v>22.495</v>
      </c>
      <c r="H1654" s="95" t="s">
        <v>271</v>
      </c>
      <c r="I1654" s="70" t="s">
        <v>1816</v>
      </c>
      <c r="J1654" s="120" t="s">
        <v>2039</v>
      </c>
      <c r="K1654" s="99"/>
      <c r="L1654" s="50"/>
      <c r="M1654" s="50"/>
      <c r="P1654" s="68"/>
    </row>
    <row r="1655">
      <c r="A1655" s="210">
        <v>1.94414937646E11</v>
      </c>
      <c r="B1655" s="151" t="s">
        <v>2048</v>
      </c>
      <c r="C1655" s="95" t="s">
        <v>97</v>
      </c>
      <c r="D1655" s="95">
        <v>1.0</v>
      </c>
      <c r="E1655" s="101">
        <v>229.0</v>
      </c>
      <c r="F1655" s="101">
        <f t="shared" si="280"/>
        <v>229</v>
      </c>
      <c r="G1655" s="101">
        <f t="shared" si="281"/>
        <v>57.25</v>
      </c>
      <c r="H1655" s="95" t="s">
        <v>271</v>
      </c>
      <c r="I1655" s="70" t="s">
        <v>543</v>
      </c>
      <c r="J1655" s="120" t="s">
        <v>2039</v>
      </c>
      <c r="K1655" s="99"/>
      <c r="L1655" s="50"/>
      <c r="M1655" s="50"/>
      <c r="P1655" s="68"/>
    </row>
    <row r="1656">
      <c r="A1656" s="111" t="s">
        <v>115</v>
      </c>
      <c r="B1656" s="111" t="s">
        <v>2049</v>
      </c>
      <c r="C1656" s="112" t="str">
        <f>MID($B1656,6,7)</f>
        <v>LC18304</v>
      </c>
      <c r="D1656" s="111"/>
      <c r="E1656" s="111"/>
      <c r="F1656" s="111"/>
      <c r="G1656" s="111"/>
      <c r="H1656" s="113">
        <v>44559.0</v>
      </c>
      <c r="J1656" s="108" t="str">
        <f>IF(LEFT(B1656,3)="Box","BOX","COUNT")</f>
        <v>BOX</v>
      </c>
      <c r="K1656" s="99">
        <f>SUMIF($J$4:$J$8712,$C1656,$D$4:$D$8712)</f>
        <v>8</v>
      </c>
      <c r="L1656" s="50">
        <f>SUMIF($J$4:$J$8712,$C1656,$F$4:$F$8712)</f>
        <v>1297.98</v>
      </c>
      <c r="M1656" s="50">
        <f>SUMIF($J$4:$J$8712,$C1656,$G$4:$G$8712)</f>
        <v>324.495</v>
      </c>
      <c r="N1656" s="70" t="str">
        <f>C1656</f>
        <v>LC18304</v>
      </c>
      <c r="O1656" s="70" t="str">
        <f>J1657</f>
        <v>SHIP</v>
      </c>
      <c r="P1656" s="68">
        <f>M1656</f>
        <v>324.495</v>
      </c>
      <c r="R1656" s="37" t="s">
        <v>337</v>
      </c>
      <c r="T1656" s="37" t="s">
        <v>2050</v>
      </c>
    </row>
    <row r="1657">
      <c r="A1657" s="211"/>
      <c r="B1657" s="111" t="s">
        <v>2051</v>
      </c>
      <c r="C1657" s="109"/>
      <c r="D1657" s="109"/>
      <c r="E1657" s="116"/>
      <c r="F1657" s="116"/>
      <c r="G1657" s="116"/>
      <c r="H1657" s="109"/>
      <c r="J1657" s="108" t="str">
        <f>IF(B1657="","NSHIP","SHIP")</f>
        <v>SHIP</v>
      </c>
      <c r="K1657" s="99">
        <f>IF($J1657="NSHIP",0,-SUMIF($J$4:$J$8712,$C1656,$D$4:$D$8712))</f>
        <v>-8</v>
      </c>
      <c r="L1657" s="50">
        <f>IF($J1657="NSHIP",0,-SUMIF($J$4:$J$8710,$C1656,$F$4:$F$8710))</f>
        <v>-1297.98</v>
      </c>
      <c r="M1657" s="50">
        <f>IF($J1657="NSHIP",0,-SUMIF($J$4:$J$8710,$C1656,$G$4:$G$8710))</f>
        <v>-324.495</v>
      </c>
      <c r="P1657" s="68"/>
    </row>
    <row r="1658">
      <c r="A1658" s="95">
        <v>1.92081120316E11</v>
      </c>
      <c r="B1658" s="151" t="s">
        <v>2052</v>
      </c>
      <c r="C1658" s="95" t="s">
        <v>97</v>
      </c>
      <c r="D1658" s="95">
        <v>1.0</v>
      </c>
      <c r="E1658" s="101">
        <v>99.0</v>
      </c>
      <c r="F1658" s="101">
        <f t="shared" ref="F1658:F1669" si="282">E1658*D1658</f>
        <v>99</v>
      </c>
      <c r="G1658" s="101">
        <f t="shared" ref="G1658:G1669" si="283">F1658/4</f>
        <v>24.75</v>
      </c>
      <c r="H1658" s="95" t="s">
        <v>374</v>
      </c>
      <c r="J1658" s="120" t="s">
        <v>2053</v>
      </c>
      <c r="K1658" s="99"/>
      <c r="L1658" s="50"/>
      <c r="M1658" s="50"/>
      <c r="P1658" s="68"/>
    </row>
    <row r="1659">
      <c r="A1659" s="95">
        <v>1.95170005549E11</v>
      </c>
      <c r="B1659" s="151" t="s">
        <v>2054</v>
      </c>
      <c r="C1659" s="95" t="s">
        <v>97</v>
      </c>
      <c r="D1659" s="95">
        <v>1.0</v>
      </c>
      <c r="E1659" s="101">
        <v>159.0</v>
      </c>
      <c r="F1659" s="101">
        <f t="shared" si="282"/>
        <v>159</v>
      </c>
      <c r="G1659" s="101">
        <f t="shared" si="283"/>
        <v>39.75</v>
      </c>
      <c r="H1659" s="95" t="s">
        <v>171</v>
      </c>
      <c r="J1659" s="120" t="s">
        <v>2053</v>
      </c>
      <c r="K1659" s="99"/>
      <c r="L1659" s="50"/>
      <c r="M1659" s="50"/>
      <c r="P1659" s="68"/>
    </row>
    <row r="1660">
      <c r="A1660" s="95">
        <v>6.35273662237E11</v>
      </c>
      <c r="B1660" s="151" t="s">
        <v>2055</v>
      </c>
      <c r="C1660" s="95" t="s">
        <v>97</v>
      </c>
      <c r="D1660" s="95">
        <v>1.0</v>
      </c>
      <c r="E1660" s="101">
        <v>228.0</v>
      </c>
      <c r="F1660" s="101">
        <f t="shared" si="282"/>
        <v>228</v>
      </c>
      <c r="G1660" s="101">
        <f t="shared" si="283"/>
        <v>57</v>
      </c>
      <c r="H1660" s="95" t="s">
        <v>723</v>
      </c>
      <c r="J1660" s="120" t="s">
        <v>2053</v>
      </c>
      <c r="K1660" s="99"/>
      <c r="L1660" s="50"/>
      <c r="M1660" s="50"/>
      <c r="P1660" s="68"/>
    </row>
    <row r="1661">
      <c r="A1661" s="95">
        <v>6.51481559282E11</v>
      </c>
      <c r="B1661" s="151" t="s">
        <v>2056</v>
      </c>
      <c r="C1661" s="95" t="s">
        <v>97</v>
      </c>
      <c r="D1661" s="95">
        <v>1.0</v>
      </c>
      <c r="E1661" s="101">
        <v>69.0</v>
      </c>
      <c r="F1661" s="101">
        <f t="shared" si="282"/>
        <v>69</v>
      </c>
      <c r="G1661" s="101">
        <f t="shared" si="283"/>
        <v>17.25</v>
      </c>
      <c r="H1661" s="95" t="s">
        <v>181</v>
      </c>
      <c r="J1661" s="120" t="s">
        <v>2053</v>
      </c>
      <c r="K1661" s="99"/>
      <c r="L1661" s="50"/>
      <c r="M1661" s="50"/>
      <c r="P1661" s="68"/>
    </row>
    <row r="1662">
      <c r="A1662" s="95">
        <v>6.89886467352E11</v>
      </c>
      <c r="B1662" s="151" t="s">
        <v>2057</v>
      </c>
      <c r="C1662" s="95" t="s">
        <v>97</v>
      </c>
      <c r="D1662" s="95">
        <v>1.0</v>
      </c>
      <c r="E1662" s="101">
        <v>168.0</v>
      </c>
      <c r="F1662" s="101">
        <f t="shared" si="282"/>
        <v>168</v>
      </c>
      <c r="G1662" s="101">
        <f t="shared" si="283"/>
        <v>42</v>
      </c>
      <c r="H1662" s="95" t="s">
        <v>1377</v>
      </c>
      <c r="J1662" s="120" t="s">
        <v>2053</v>
      </c>
      <c r="K1662" s="99"/>
      <c r="L1662" s="50"/>
      <c r="M1662" s="50"/>
      <c r="P1662" s="68"/>
    </row>
    <row r="1663">
      <c r="A1663" s="95">
        <v>6.89886467376E11</v>
      </c>
      <c r="B1663" s="151" t="s">
        <v>2057</v>
      </c>
      <c r="C1663" s="95" t="s">
        <v>97</v>
      </c>
      <c r="D1663" s="95">
        <v>1.0</v>
      </c>
      <c r="E1663" s="101">
        <v>168.0</v>
      </c>
      <c r="F1663" s="101">
        <f t="shared" si="282"/>
        <v>168</v>
      </c>
      <c r="G1663" s="101">
        <f t="shared" si="283"/>
        <v>42</v>
      </c>
      <c r="H1663" s="95" t="s">
        <v>1377</v>
      </c>
      <c r="J1663" s="120" t="s">
        <v>2053</v>
      </c>
      <c r="K1663" s="99"/>
      <c r="L1663" s="50"/>
      <c r="M1663" s="50"/>
      <c r="P1663" s="68"/>
    </row>
    <row r="1664">
      <c r="A1664" s="95">
        <v>7.07762094079E11</v>
      </c>
      <c r="B1664" s="151" t="s">
        <v>2058</v>
      </c>
      <c r="C1664" s="95" t="s">
        <v>97</v>
      </c>
      <c r="D1664" s="95">
        <v>1.0</v>
      </c>
      <c r="E1664" s="101">
        <v>139.0</v>
      </c>
      <c r="F1664" s="101">
        <f t="shared" si="282"/>
        <v>139</v>
      </c>
      <c r="G1664" s="101">
        <f t="shared" si="283"/>
        <v>34.75</v>
      </c>
      <c r="H1664" s="95" t="s">
        <v>2059</v>
      </c>
      <c r="J1664" s="120" t="s">
        <v>2053</v>
      </c>
      <c r="K1664" s="99"/>
      <c r="L1664" s="50"/>
      <c r="M1664" s="50"/>
      <c r="P1664" s="68"/>
    </row>
    <row r="1665">
      <c r="A1665" s="95">
        <v>7.0776220964E11</v>
      </c>
      <c r="B1665" s="151" t="s">
        <v>2060</v>
      </c>
      <c r="C1665" s="95" t="s">
        <v>97</v>
      </c>
      <c r="D1665" s="95">
        <v>1.0</v>
      </c>
      <c r="E1665" s="101">
        <v>129.0</v>
      </c>
      <c r="F1665" s="101">
        <f t="shared" si="282"/>
        <v>129</v>
      </c>
      <c r="G1665" s="101">
        <f t="shared" si="283"/>
        <v>32.25</v>
      </c>
      <c r="H1665" s="95" t="s">
        <v>614</v>
      </c>
      <c r="J1665" s="120" t="s">
        <v>2053</v>
      </c>
      <c r="K1665" s="99"/>
      <c r="L1665" s="50"/>
      <c r="M1665" s="50"/>
      <c r="P1665" s="68"/>
    </row>
    <row r="1666">
      <c r="A1666" s="95">
        <v>7.4794178564E11</v>
      </c>
      <c r="B1666" s="151" t="s">
        <v>2061</v>
      </c>
      <c r="C1666" s="95" t="s">
        <v>97</v>
      </c>
      <c r="D1666" s="95">
        <v>1.0</v>
      </c>
      <c r="E1666" s="101">
        <v>79.0</v>
      </c>
      <c r="F1666" s="101">
        <f t="shared" si="282"/>
        <v>79</v>
      </c>
      <c r="G1666" s="101">
        <f t="shared" si="283"/>
        <v>19.75</v>
      </c>
      <c r="H1666" s="95" t="s">
        <v>419</v>
      </c>
      <c r="J1666" s="120" t="s">
        <v>2053</v>
      </c>
      <c r="K1666" s="99"/>
      <c r="L1666" s="50"/>
      <c r="M1666" s="50"/>
      <c r="P1666" s="68"/>
    </row>
    <row r="1667">
      <c r="A1667" s="95">
        <v>7.94795097689E11</v>
      </c>
      <c r="B1667" s="151" t="s">
        <v>2062</v>
      </c>
      <c r="C1667" s="95" t="s">
        <v>97</v>
      </c>
      <c r="D1667" s="95">
        <v>1.0</v>
      </c>
      <c r="E1667" s="101">
        <v>129.0</v>
      </c>
      <c r="F1667" s="101">
        <f t="shared" si="282"/>
        <v>129</v>
      </c>
      <c r="G1667" s="101">
        <f t="shared" si="283"/>
        <v>32.25</v>
      </c>
      <c r="H1667" s="95" t="s">
        <v>580</v>
      </c>
      <c r="J1667" s="120" t="s">
        <v>2053</v>
      </c>
      <c r="K1667" s="99"/>
      <c r="L1667" s="50"/>
      <c r="M1667" s="50"/>
      <c r="P1667" s="68"/>
    </row>
    <row r="1668">
      <c r="A1668" s="95">
        <v>8.87840373514E11</v>
      </c>
      <c r="B1668" s="151" t="s">
        <v>2063</v>
      </c>
      <c r="C1668" s="95" t="s">
        <v>97</v>
      </c>
      <c r="D1668" s="95">
        <v>1.0</v>
      </c>
      <c r="E1668" s="101">
        <v>69.0</v>
      </c>
      <c r="F1668" s="101">
        <f t="shared" si="282"/>
        <v>69</v>
      </c>
      <c r="G1668" s="101">
        <f t="shared" si="283"/>
        <v>17.25</v>
      </c>
      <c r="H1668" s="95" t="s">
        <v>486</v>
      </c>
      <c r="J1668" s="120" t="s">
        <v>2053</v>
      </c>
      <c r="K1668" s="99"/>
      <c r="L1668" s="50"/>
      <c r="M1668" s="50"/>
      <c r="P1668" s="68"/>
    </row>
    <row r="1669">
      <c r="A1669" s="95">
        <v>8.87840373521E11</v>
      </c>
      <c r="B1669" s="151" t="s">
        <v>2063</v>
      </c>
      <c r="C1669" s="95" t="s">
        <v>97</v>
      </c>
      <c r="D1669" s="95">
        <v>1.0</v>
      </c>
      <c r="E1669" s="101">
        <v>69.0</v>
      </c>
      <c r="F1669" s="101">
        <f t="shared" si="282"/>
        <v>69</v>
      </c>
      <c r="G1669" s="101">
        <f t="shared" si="283"/>
        <v>17.25</v>
      </c>
      <c r="H1669" s="95" t="s">
        <v>2064</v>
      </c>
      <c r="J1669" s="120" t="s">
        <v>2053</v>
      </c>
      <c r="K1669" s="99"/>
      <c r="L1669" s="50"/>
      <c r="M1669" s="50"/>
      <c r="P1669" s="68"/>
    </row>
    <row r="1670">
      <c r="A1670" s="231" t="s">
        <v>132</v>
      </c>
      <c r="B1670" s="231" t="s">
        <v>2065</v>
      </c>
      <c r="C1670" s="234" t="str">
        <f>MID($B1670,6,7)</f>
        <v>LC18305</v>
      </c>
      <c r="D1670" s="231"/>
      <c r="E1670" s="231"/>
      <c r="F1670" s="231"/>
      <c r="G1670" s="231"/>
      <c r="H1670" s="235">
        <v>44559.0</v>
      </c>
      <c r="J1670" s="108" t="str">
        <f>IF(LEFT(B1670,3)="Box","BOX","COUNT")</f>
        <v>BOX</v>
      </c>
      <c r="K1670" s="99">
        <f>SUMIF($J$4:$J$8712,$C1670,$D$4:$D$8712)</f>
        <v>12</v>
      </c>
      <c r="L1670" s="50">
        <f>SUMIF($J$4:$J$8712,$C1670,$F$4:$F$8712)</f>
        <v>1505</v>
      </c>
      <c r="M1670" s="50">
        <f>SUMIF($J$4:$J$8712,$C1670,$G$4:$G$8712)</f>
        <v>376.25</v>
      </c>
      <c r="N1670" s="70" t="str">
        <f>C1670</f>
        <v>LC18305</v>
      </c>
      <c r="O1670" s="70" t="str">
        <f>J1671</f>
        <v>NSHIP</v>
      </c>
      <c r="P1670" s="68">
        <f>M1670</f>
        <v>376.25</v>
      </c>
      <c r="Q1670" s="168">
        <v>44475.0</v>
      </c>
      <c r="R1670" s="37" t="s">
        <v>2066</v>
      </c>
      <c r="S1670" s="37" t="s">
        <v>2067</v>
      </c>
    </row>
    <row r="1671">
      <c r="A1671" s="211"/>
      <c r="B1671" s="231"/>
      <c r="C1671" s="109"/>
      <c r="D1671" s="109"/>
      <c r="E1671" s="116"/>
      <c r="F1671" s="116"/>
      <c r="G1671" s="116"/>
      <c r="H1671" s="109"/>
      <c r="J1671" s="108" t="str">
        <f>IF(B1671="","NSHIP","SHIP")</f>
        <v>NSHIP</v>
      </c>
      <c r="K1671" s="99">
        <f>IF($J1671="NSHIP",0,-SUMIF($J$4:$J$8712,$C1670,$D$4:$D$8712))</f>
        <v>0</v>
      </c>
      <c r="L1671" s="50">
        <f>IF($J1671="NSHIP",0,-SUMIF($J$4:$J$8710,$C1670,$F$4:$F$8710))</f>
        <v>0</v>
      </c>
      <c r="M1671" s="50">
        <f>IF($J1671="NSHIP",0,-SUMIF($J$4:$J$8710,$C1670,$G$4:$G$8710))</f>
        <v>0</v>
      </c>
      <c r="P1671" s="68"/>
    </row>
    <row r="1672">
      <c r="A1672" s="96">
        <v>1.91855317051E11</v>
      </c>
      <c r="B1672" s="131" t="s">
        <v>2068</v>
      </c>
      <c r="C1672" s="100" t="s">
        <v>97</v>
      </c>
      <c r="D1672" s="100">
        <v>1.0</v>
      </c>
      <c r="E1672" s="119">
        <v>138.0</v>
      </c>
      <c r="F1672" s="119">
        <f t="shared" ref="F1672:F1673" si="284">E1672*D1672</f>
        <v>138</v>
      </c>
      <c r="G1672" s="119">
        <f t="shared" ref="G1672:G1673" si="285">F1672/4</f>
        <v>34.5</v>
      </c>
      <c r="H1672" s="100" t="s">
        <v>2069</v>
      </c>
      <c r="I1672" s="1"/>
      <c r="J1672" s="104" t="s">
        <v>2070</v>
      </c>
      <c r="K1672" s="133"/>
      <c r="L1672" s="105"/>
      <c r="M1672" s="105"/>
      <c r="N1672" s="1"/>
      <c r="O1672" s="1"/>
      <c r="P1672" s="68"/>
    </row>
    <row r="1673">
      <c r="A1673" s="100">
        <v>1.91855436172E11</v>
      </c>
      <c r="B1673" s="131" t="s">
        <v>2071</v>
      </c>
      <c r="C1673" s="100" t="s">
        <v>97</v>
      </c>
      <c r="D1673" s="100">
        <v>1.0</v>
      </c>
      <c r="E1673" s="119">
        <v>148.0</v>
      </c>
      <c r="F1673" s="119">
        <f t="shared" si="284"/>
        <v>148</v>
      </c>
      <c r="G1673" s="119">
        <f t="shared" si="285"/>
        <v>37</v>
      </c>
      <c r="H1673" s="132" t="s">
        <v>274</v>
      </c>
      <c r="I1673" s="1"/>
      <c r="J1673" s="104" t="s">
        <v>2070</v>
      </c>
      <c r="K1673" s="133"/>
      <c r="L1673" s="105"/>
      <c r="M1673" s="105"/>
      <c r="N1673" s="1"/>
      <c r="O1673" s="1"/>
      <c r="P1673" s="68"/>
    </row>
    <row r="1674">
      <c r="A1674" s="135" t="s">
        <v>1699</v>
      </c>
      <c r="B1674" s="209" t="s">
        <v>2072</v>
      </c>
      <c r="C1674" s="100"/>
      <c r="D1674" s="100"/>
      <c r="E1674" s="119"/>
      <c r="F1674" s="119"/>
      <c r="G1674" s="119"/>
      <c r="H1674" s="100"/>
      <c r="I1674" s="1"/>
      <c r="J1674" s="104"/>
      <c r="K1674" s="133"/>
      <c r="L1674" s="105"/>
      <c r="M1674" s="105"/>
      <c r="N1674" s="1"/>
      <c r="O1674" s="1"/>
      <c r="P1674" s="68"/>
    </row>
    <row r="1675">
      <c r="A1675" s="100">
        <v>1.91855391181E11</v>
      </c>
      <c r="B1675" s="186" t="s">
        <v>2073</v>
      </c>
      <c r="C1675" s="100" t="s">
        <v>97</v>
      </c>
      <c r="D1675" s="100">
        <v>1.0</v>
      </c>
      <c r="E1675" s="119">
        <v>138.0</v>
      </c>
      <c r="F1675" s="119">
        <f>E1675*D1675</f>
        <v>138</v>
      </c>
      <c r="G1675" s="119">
        <f>F1675/4</f>
        <v>34.5</v>
      </c>
      <c r="H1675" s="132" t="s">
        <v>274</v>
      </c>
      <c r="I1675" s="1"/>
      <c r="J1675" s="104" t="s">
        <v>2070</v>
      </c>
      <c r="K1675" s="133"/>
      <c r="L1675" s="105"/>
      <c r="M1675" s="105"/>
      <c r="N1675" s="1"/>
      <c r="O1675" s="1"/>
      <c r="P1675" s="68"/>
    </row>
    <row r="1676">
      <c r="A1676" s="135" t="s">
        <v>633</v>
      </c>
      <c r="B1676" s="209" t="s">
        <v>2074</v>
      </c>
      <c r="C1676" s="100"/>
      <c r="D1676" s="100"/>
      <c r="E1676" s="119"/>
      <c r="F1676" s="119"/>
      <c r="G1676" s="119"/>
      <c r="H1676" s="100"/>
      <c r="I1676" s="1"/>
      <c r="J1676" s="104"/>
      <c r="K1676" s="133"/>
      <c r="L1676" s="105"/>
      <c r="M1676" s="105"/>
      <c r="N1676" s="1"/>
      <c r="O1676" s="1"/>
      <c r="P1676" s="68"/>
    </row>
    <row r="1677">
      <c r="A1677" s="100">
        <v>1.91855450826E11</v>
      </c>
      <c r="B1677" s="131" t="s">
        <v>2075</v>
      </c>
      <c r="C1677" s="100" t="s">
        <v>97</v>
      </c>
      <c r="D1677" s="100">
        <v>1.0</v>
      </c>
      <c r="E1677" s="119">
        <v>278.0</v>
      </c>
      <c r="F1677" s="119">
        <f>E1677*D1677</f>
        <v>278</v>
      </c>
      <c r="G1677" s="119">
        <f>F1677/4</f>
        <v>69.5</v>
      </c>
      <c r="H1677" s="132" t="s">
        <v>274</v>
      </c>
      <c r="I1677" s="1"/>
      <c r="J1677" s="104" t="s">
        <v>2070</v>
      </c>
      <c r="K1677" s="133"/>
      <c r="L1677" s="105"/>
      <c r="M1677" s="105"/>
      <c r="N1677" s="1"/>
      <c r="O1677" s="1"/>
      <c r="P1677" s="68"/>
    </row>
    <row r="1678">
      <c r="A1678" s="135" t="s">
        <v>633</v>
      </c>
      <c r="B1678" s="209" t="s">
        <v>2076</v>
      </c>
      <c r="C1678" s="100"/>
      <c r="D1678" s="100"/>
      <c r="E1678" s="119"/>
      <c r="F1678" s="119"/>
      <c r="G1678" s="119"/>
      <c r="H1678" s="100"/>
      <c r="I1678" s="1"/>
      <c r="J1678" s="104"/>
      <c r="K1678" s="133"/>
      <c r="L1678" s="105"/>
      <c r="M1678" s="105"/>
      <c r="N1678" s="1"/>
      <c r="O1678" s="1"/>
      <c r="P1678" s="68"/>
    </row>
    <row r="1679">
      <c r="A1679" s="112" t="s">
        <v>153</v>
      </c>
      <c r="B1679" s="112" t="s">
        <v>2077</v>
      </c>
      <c r="C1679" s="112" t="str">
        <f>MID($B1679,6,7)</f>
        <v>LC18306</v>
      </c>
      <c r="D1679" s="112"/>
      <c r="E1679" s="138"/>
      <c r="F1679" s="138"/>
      <c r="G1679" s="138"/>
      <c r="H1679" s="127">
        <v>44559.0</v>
      </c>
      <c r="I1679" s="1"/>
      <c r="J1679" s="104" t="str">
        <f>IF(LEFT(B1679,3)="Box","BOX","COUNT")</f>
        <v>BOX</v>
      </c>
      <c r="K1679" s="139">
        <f>SUMIF($J$3:$J$8671,$C1679,$D$3:$D$8671)</f>
        <v>4</v>
      </c>
      <c r="L1679" s="32">
        <f>SUMIF($J$3:$J$8671,$C1679,$F$3:$F$8671)</f>
        <v>702</v>
      </c>
      <c r="M1679" s="32">
        <f>SUMIF($J$3:$J$8671,$C1679,$G$3:$G$8671)</f>
        <v>175.5</v>
      </c>
      <c r="N1679" s="1" t="str">
        <f>C1679</f>
        <v>LC18306</v>
      </c>
      <c r="O1679" s="1" t="str">
        <f>J1680</f>
        <v>SHIP</v>
      </c>
      <c r="P1679" s="68">
        <f>M1679</f>
        <v>175.5</v>
      </c>
      <c r="Q1679" s="114">
        <v>44498.0</v>
      </c>
      <c r="R1679" s="37" t="s">
        <v>2078</v>
      </c>
      <c r="S1679" s="37" t="s">
        <v>2079</v>
      </c>
    </row>
    <row r="1680">
      <c r="A1680" s="222"/>
      <c r="B1680" s="140" t="s">
        <v>2080</v>
      </c>
      <c r="C1680" s="141"/>
      <c r="D1680" s="141"/>
      <c r="E1680" s="142"/>
      <c r="F1680" s="142"/>
      <c r="G1680" s="142"/>
      <c r="H1680" s="141"/>
      <c r="I1680" s="1"/>
      <c r="J1680" s="104" t="str">
        <f>IF(B1680="","NSHIP","SHIP")</f>
        <v>SHIP</v>
      </c>
      <c r="K1680" s="139">
        <f>IF($J1680="NSHIP",0,-SUMIF($J$3:$J$8671,$C1679,$D$3:$D$8671))</f>
        <v>-4</v>
      </c>
      <c r="L1680" s="32">
        <f>IF($J1680="NSHIP",0,-SUMIF($J$3:$J$8669,$C1679,$F$3:$F$8669))</f>
        <v>-702</v>
      </c>
      <c r="M1680" s="32">
        <f>IF($J1680="NSHIP",0,-SUMIF($J$3:$J$8669,$C1679,$G$3:$G$8669))</f>
        <v>-175.5</v>
      </c>
      <c r="N1680" s="1"/>
      <c r="O1680" s="1"/>
      <c r="P1680" s="68"/>
    </row>
    <row r="1681">
      <c r="A1681" s="95">
        <v>6.51481559299E11</v>
      </c>
      <c r="B1681" s="151" t="s">
        <v>2056</v>
      </c>
      <c r="C1681" s="95" t="s">
        <v>97</v>
      </c>
      <c r="D1681" s="95">
        <v>1.0</v>
      </c>
      <c r="E1681" s="101">
        <v>69.0</v>
      </c>
      <c r="F1681" s="101">
        <f t="shared" ref="F1681:F1689" si="286">E1681*D1681</f>
        <v>69</v>
      </c>
      <c r="G1681" s="101">
        <f t="shared" ref="G1681:G1689" si="287">F1681/4</f>
        <v>17.25</v>
      </c>
      <c r="H1681" s="95" t="s">
        <v>181</v>
      </c>
      <c r="J1681" s="120" t="s">
        <v>2081</v>
      </c>
      <c r="K1681" s="99"/>
      <c r="L1681" s="50"/>
      <c r="M1681" s="50"/>
      <c r="P1681" s="68"/>
    </row>
    <row r="1682">
      <c r="A1682" s="95">
        <v>6.89886555073E11</v>
      </c>
      <c r="B1682" s="151" t="s">
        <v>2082</v>
      </c>
      <c r="C1682" s="95" t="s">
        <v>97</v>
      </c>
      <c r="D1682" s="95">
        <v>1.0</v>
      </c>
      <c r="E1682" s="101">
        <v>168.0</v>
      </c>
      <c r="F1682" s="101">
        <f t="shared" si="286"/>
        <v>168</v>
      </c>
      <c r="G1682" s="101">
        <f t="shared" si="287"/>
        <v>42</v>
      </c>
      <c r="H1682" s="95" t="s">
        <v>2083</v>
      </c>
      <c r="J1682" s="120" t="s">
        <v>2081</v>
      </c>
      <c r="K1682" s="99"/>
      <c r="L1682" s="50"/>
      <c r="M1682" s="50"/>
      <c r="P1682" s="68"/>
    </row>
    <row r="1683">
      <c r="A1683" s="95">
        <v>6.89886595604E11</v>
      </c>
      <c r="B1683" s="151" t="s">
        <v>2084</v>
      </c>
      <c r="C1683" s="95" t="s">
        <v>97</v>
      </c>
      <c r="D1683" s="95">
        <v>1.0</v>
      </c>
      <c r="E1683" s="101">
        <v>99.0</v>
      </c>
      <c r="F1683" s="101">
        <f t="shared" si="286"/>
        <v>99</v>
      </c>
      <c r="G1683" s="101">
        <f t="shared" si="287"/>
        <v>24.75</v>
      </c>
      <c r="H1683" s="95" t="s">
        <v>185</v>
      </c>
      <c r="J1683" s="120" t="s">
        <v>2081</v>
      </c>
      <c r="K1683" s="99"/>
      <c r="L1683" s="50"/>
      <c r="M1683" s="50"/>
      <c r="P1683" s="68"/>
    </row>
    <row r="1684">
      <c r="A1684" s="95">
        <v>7.08008596203E11</v>
      </c>
      <c r="B1684" s="151" t="s">
        <v>2085</v>
      </c>
      <c r="C1684" s="95" t="s">
        <v>97</v>
      </c>
      <c r="D1684" s="95">
        <v>1.0</v>
      </c>
      <c r="E1684" s="101">
        <v>50.99</v>
      </c>
      <c r="F1684" s="101">
        <f t="shared" si="286"/>
        <v>50.99</v>
      </c>
      <c r="G1684" s="101">
        <f t="shared" si="287"/>
        <v>12.7475</v>
      </c>
      <c r="H1684" s="95" t="s">
        <v>189</v>
      </c>
      <c r="J1684" s="120" t="s">
        <v>2081</v>
      </c>
      <c r="K1684" s="99"/>
      <c r="L1684" s="50"/>
      <c r="M1684" s="50"/>
      <c r="P1684" s="68"/>
    </row>
    <row r="1685">
      <c r="A1685" s="95">
        <v>7.33001523895E11</v>
      </c>
      <c r="B1685" s="151" t="s">
        <v>2086</v>
      </c>
      <c r="C1685" s="95" t="s">
        <v>97</v>
      </c>
      <c r="D1685" s="95">
        <v>1.0</v>
      </c>
      <c r="E1685" s="101">
        <v>69.5</v>
      </c>
      <c r="F1685" s="101">
        <f t="shared" si="286"/>
        <v>69.5</v>
      </c>
      <c r="G1685" s="101">
        <f t="shared" si="287"/>
        <v>17.375</v>
      </c>
      <c r="H1685" s="95" t="s">
        <v>402</v>
      </c>
      <c r="J1685" s="120" t="s">
        <v>2081</v>
      </c>
      <c r="K1685" s="99"/>
      <c r="L1685" s="50"/>
      <c r="M1685" s="50"/>
      <c r="P1685" s="68"/>
    </row>
    <row r="1686">
      <c r="A1686" s="95">
        <v>7.47941785657E11</v>
      </c>
      <c r="B1686" s="151" t="s">
        <v>2061</v>
      </c>
      <c r="C1686" s="95" t="s">
        <v>97</v>
      </c>
      <c r="D1686" s="95">
        <v>1.0</v>
      </c>
      <c r="E1686" s="101">
        <v>79.0</v>
      </c>
      <c r="F1686" s="101">
        <f t="shared" si="286"/>
        <v>79</v>
      </c>
      <c r="G1686" s="101">
        <f t="shared" si="287"/>
        <v>19.75</v>
      </c>
      <c r="H1686" s="95" t="s">
        <v>183</v>
      </c>
      <c r="J1686" s="120" t="s">
        <v>2081</v>
      </c>
      <c r="K1686" s="99"/>
      <c r="L1686" s="50"/>
      <c r="M1686" s="50"/>
      <c r="P1686" s="68"/>
    </row>
    <row r="1687">
      <c r="A1687" s="95">
        <v>7.47941785671E11</v>
      </c>
      <c r="B1687" s="151" t="s">
        <v>2061</v>
      </c>
      <c r="C1687" s="95" t="s">
        <v>97</v>
      </c>
      <c r="D1687" s="95">
        <v>1.0</v>
      </c>
      <c r="E1687" s="101">
        <v>79.0</v>
      </c>
      <c r="F1687" s="101">
        <f t="shared" si="286"/>
        <v>79</v>
      </c>
      <c r="G1687" s="101">
        <f t="shared" si="287"/>
        <v>19.75</v>
      </c>
      <c r="H1687" s="95" t="s">
        <v>419</v>
      </c>
      <c r="J1687" s="120" t="s">
        <v>2081</v>
      </c>
      <c r="K1687" s="99"/>
      <c r="L1687" s="50"/>
      <c r="M1687" s="50"/>
      <c r="P1687" s="68"/>
    </row>
    <row r="1688">
      <c r="A1688" s="95">
        <v>8.84094196456E11</v>
      </c>
      <c r="B1688" s="151" t="s">
        <v>2087</v>
      </c>
      <c r="C1688" s="95" t="s">
        <v>97</v>
      </c>
      <c r="D1688" s="95">
        <v>1.0</v>
      </c>
      <c r="E1688" s="101">
        <v>175.0</v>
      </c>
      <c r="F1688" s="101">
        <f t="shared" si="286"/>
        <v>175</v>
      </c>
      <c r="G1688" s="101">
        <f t="shared" si="287"/>
        <v>43.75</v>
      </c>
      <c r="H1688" s="95" t="s">
        <v>196</v>
      </c>
      <c r="J1688" s="120" t="s">
        <v>2081</v>
      </c>
      <c r="K1688" s="99"/>
      <c r="L1688" s="50"/>
      <c r="M1688" s="50"/>
      <c r="P1688" s="68"/>
    </row>
    <row r="1689">
      <c r="A1689" s="95">
        <v>8.8784037809E11</v>
      </c>
      <c r="B1689" s="151" t="s">
        <v>2088</v>
      </c>
      <c r="C1689" s="95" t="s">
        <v>97</v>
      </c>
      <c r="D1689" s="95">
        <v>1.0</v>
      </c>
      <c r="E1689" s="101">
        <v>69.0</v>
      </c>
      <c r="F1689" s="101">
        <f t="shared" si="286"/>
        <v>69</v>
      </c>
      <c r="G1689" s="101">
        <f t="shared" si="287"/>
        <v>17.25</v>
      </c>
      <c r="H1689" s="95" t="s">
        <v>2064</v>
      </c>
      <c r="J1689" s="120" t="s">
        <v>2081</v>
      </c>
      <c r="K1689" s="99"/>
      <c r="L1689" s="50"/>
      <c r="M1689" s="50"/>
      <c r="P1689" s="68"/>
    </row>
    <row r="1690">
      <c r="A1690" s="231" t="s">
        <v>224</v>
      </c>
      <c r="B1690" s="231" t="s">
        <v>2089</v>
      </c>
      <c r="C1690" s="234" t="str">
        <f>MID($B1690,6,7)</f>
        <v>LC18307</v>
      </c>
      <c r="D1690" s="231"/>
      <c r="E1690" s="231"/>
      <c r="F1690" s="231"/>
      <c r="G1690" s="231"/>
      <c r="H1690" s="235">
        <v>44559.0</v>
      </c>
      <c r="J1690" s="108" t="str">
        <f>IF(LEFT(B1690,3)="Box","BOX","COUNT")</f>
        <v>BOX</v>
      </c>
      <c r="K1690" s="99">
        <f>SUMIF($J$4:$J$8712,$C1690,$D$4:$D$8712)</f>
        <v>9</v>
      </c>
      <c r="L1690" s="50">
        <f>SUMIF($J$4:$J$8712,$C1690,$F$4:$F$8712)</f>
        <v>858.49</v>
      </c>
      <c r="M1690" s="50">
        <f>SUMIF($J$4:$J$8712,$C1690,$G$4:$G$8712)</f>
        <v>214.6225</v>
      </c>
      <c r="N1690" s="70" t="str">
        <f>C1690</f>
        <v>LC18307</v>
      </c>
      <c r="O1690" s="70" t="str">
        <f>J1691</f>
        <v>NSHIP</v>
      </c>
      <c r="P1690" s="68">
        <f>M1690</f>
        <v>214.6225</v>
      </c>
      <c r="Q1690" s="168">
        <v>44501.0</v>
      </c>
      <c r="R1690" s="37" t="s">
        <v>2090</v>
      </c>
      <c r="S1690" s="37" t="s">
        <v>2091</v>
      </c>
    </row>
    <row r="1691">
      <c r="A1691" s="211"/>
      <c r="B1691" s="231"/>
      <c r="C1691" s="109"/>
      <c r="D1691" s="109"/>
      <c r="E1691" s="116"/>
      <c r="F1691" s="116"/>
      <c r="G1691" s="116"/>
      <c r="H1691" s="109"/>
      <c r="J1691" s="108" t="str">
        <f>IF(B1691="","NSHIP","SHIP")</f>
        <v>NSHIP</v>
      </c>
      <c r="K1691" s="99">
        <f>IF($J1691="NSHIP",0,-SUMIF($J$4:$J$8712,$C1690,$D$4:$D$8712))</f>
        <v>0</v>
      </c>
      <c r="L1691" s="50">
        <f>IF($J1691="NSHIP",0,-SUMIF($J$4:$J$8710,$C1690,$F$4:$F$8710))</f>
        <v>0</v>
      </c>
      <c r="M1691" s="50">
        <f>IF($J1691="NSHIP",0,-SUMIF($J$4:$J$8710,$C1690,$G$4:$G$8710))</f>
        <v>0</v>
      </c>
      <c r="P1691" s="68"/>
    </row>
    <row r="1692">
      <c r="A1692" s="95">
        <v>1.95170005532E11</v>
      </c>
      <c r="B1692" s="151" t="s">
        <v>2092</v>
      </c>
      <c r="C1692" s="95" t="s">
        <v>97</v>
      </c>
      <c r="D1692" s="95">
        <v>1.0</v>
      </c>
      <c r="E1692" s="101">
        <v>159.0</v>
      </c>
      <c r="F1692" s="101">
        <f t="shared" ref="F1692:F1703" si="288">E1692*D1692</f>
        <v>159</v>
      </c>
      <c r="G1692" s="101">
        <f t="shared" ref="G1692:G1703" si="289">F1692/4</f>
        <v>39.75</v>
      </c>
      <c r="H1692" s="95" t="s">
        <v>171</v>
      </c>
      <c r="J1692" s="120" t="s">
        <v>2093</v>
      </c>
      <c r="K1692" s="99"/>
      <c r="L1692" s="50"/>
      <c r="M1692" s="50"/>
      <c r="P1692" s="68"/>
    </row>
    <row r="1693">
      <c r="A1693" s="95">
        <v>6.51481559275E11</v>
      </c>
      <c r="B1693" s="151" t="s">
        <v>2056</v>
      </c>
      <c r="C1693" s="95" t="s">
        <v>97</v>
      </c>
      <c r="D1693" s="95">
        <v>1.0</v>
      </c>
      <c r="E1693" s="101">
        <v>69.0</v>
      </c>
      <c r="F1693" s="101">
        <f t="shared" si="288"/>
        <v>69</v>
      </c>
      <c r="G1693" s="101">
        <f t="shared" si="289"/>
        <v>17.25</v>
      </c>
      <c r="H1693" s="95" t="s">
        <v>181</v>
      </c>
      <c r="J1693" s="120" t="s">
        <v>2093</v>
      </c>
      <c r="K1693" s="99"/>
      <c r="L1693" s="50"/>
      <c r="M1693" s="50"/>
      <c r="P1693" s="68"/>
    </row>
    <row r="1694">
      <c r="A1694" s="95">
        <v>6.89886557848E11</v>
      </c>
      <c r="B1694" s="151" t="s">
        <v>2094</v>
      </c>
      <c r="C1694" s="95" t="s">
        <v>97</v>
      </c>
      <c r="D1694" s="95">
        <v>1.0</v>
      </c>
      <c r="E1694" s="101">
        <v>89.0</v>
      </c>
      <c r="F1694" s="101">
        <f t="shared" si="288"/>
        <v>89</v>
      </c>
      <c r="G1694" s="101">
        <f t="shared" si="289"/>
        <v>22.25</v>
      </c>
      <c r="H1694" s="95" t="s">
        <v>185</v>
      </c>
      <c r="J1694" s="120" t="s">
        <v>2093</v>
      </c>
      <c r="K1694" s="99"/>
      <c r="L1694" s="50"/>
      <c r="M1694" s="50"/>
      <c r="P1694" s="68"/>
    </row>
    <row r="1695">
      <c r="A1695" s="95">
        <v>7.080086719E11</v>
      </c>
      <c r="B1695" s="151" t="s">
        <v>2095</v>
      </c>
      <c r="C1695" s="95" t="s">
        <v>97</v>
      </c>
      <c r="D1695" s="95">
        <v>1.0</v>
      </c>
      <c r="E1695" s="101">
        <v>19.93</v>
      </c>
      <c r="F1695" s="101">
        <f t="shared" si="288"/>
        <v>19.93</v>
      </c>
      <c r="G1695" s="101">
        <f t="shared" si="289"/>
        <v>4.9825</v>
      </c>
      <c r="H1695" s="95" t="s">
        <v>1383</v>
      </c>
      <c r="J1695" s="120" t="s">
        <v>2093</v>
      </c>
      <c r="K1695" s="99"/>
      <c r="L1695" s="50"/>
      <c r="M1695" s="50"/>
      <c r="P1695" s="68"/>
    </row>
    <row r="1696">
      <c r="A1696" s="95">
        <v>7.08008671931E11</v>
      </c>
      <c r="B1696" s="151" t="s">
        <v>2096</v>
      </c>
      <c r="C1696" s="95" t="s">
        <v>97</v>
      </c>
      <c r="D1696" s="95">
        <v>1.0</v>
      </c>
      <c r="E1696" s="101">
        <v>69.0</v>
      </c>
      <c r="F1696" s="101">
        <f t="shared" si="288"/>
        <v>69</v>
      </c>
      <c r="G1696" s="101">
        <f t="shared" si="289"/>
        <v>17.25</v>
      </c>
      <c r="H1696" s="95" t="s">
        <v>189</v>
      </c>
      <c r="J1696" s="120" t="s">
        <v>2093</v>
      </c>
      <c r="K1696" s="99"/>
      <c r="L1696" s="50"/>
      <c r="M1696" s="50"/>
      <c r="P1696" s="68"/>
    </row>
    <row r="1697">
      <c r="A1697" s="95">
        <v>7.33001779957E11</v>
      </c>
      <c r="B1697" s="151" t="s">
        <v>2097</v>
      </c>
      <c r="C1697" s="95" t="s">
        <v>97</v>
      </c>
      <c r="D1697" s="95">
        <v>1.0</v>
      </c>
      <c r="E1697" s="101">
        <v>79.5</v>
      </c>
      <c r="F1697" s="101">
        <f t="shared" si="288"/>
        <v>79.5</v>
      </c>
      <c r="G1697" s="101">
        <f t="shared" si="289"/>
        <v>19.875</v>
      </c>
      <c r="H1697" s="95" t="s">
        <v>193</v>
      </c>
      <c r="J1697" s="120" t="s">
        <v>2093</v>
      </c>
      <c r="K1697" s="99"/>
      <c r="L1697" s="50"/>
      <c r="M1697" s="50"/>
      <c r="P1697" s="68"/>
    </row>
    <row r="1698">
      <c r="A1698" s="95">
        <v>7.49709963291E11</v>
      </c>
      <c r="B1698" s="151" t="s">
        <v>2098</v>
      </c>
      <c r="C1698" s="95" t="s">
        <v>97</v>
      </c>
      <c r="D1698" s="95">
        <v>1.0</v>
      </c>
      <c r="E1698" s="101">
        <v>169.0</v>
      </c>
      <c r="F1698" s="101">
        <f t="shared" si="288"/>
        <v>169</v>
      </c>
      <c r="G1698" s="101">
        <f t="shared" si="289"/>
        <v>42.25</v>
      </c>
      <c r="H1698" s="95" t="s">
        <v>171</v>
      </c>
      <c r="J1698" s="120" t="s">
        <v>2093</v>
      </c>
      <c r="K1698" s="99"/>
      <c r="L1698" s="50"/>
      <c r="M1698" s="50"/>
      <c r="P1698" s="68"/>
    </row>
    <row r="1699">
      <c r="A1699" s="95">
        <v>8.28659154734E11</v>
      </c>
      <c r="B1699" s="151" t="s">
        <v>2099</v>
      </c>
      <c r="C1699" s="95" t="s">
        <v>97</v>
      </c>
      <c r="D1699" s="95">
        <v>1.0</v>
      </c>
      <c r="E1699" s="101">
        <v>149.0</v>
      </c>
      <c r="F1699" s="101">
        <f t="shared" si="288"/>
        <v>149</v>
      </c>
      <c r="G1699" s="101">
        <f t="shared" si="289"/>
        <v>37.25</v>
      </c>
      <c r="H1699" s="95" t="s">
        <v>564</v>
      </c>
      <c r="J1699" s="120" t="s">
        <v>2093</v>
      </c>
      <c r="K1699" s="99"/>
      <c r="L1699" s="50"/>
      <c r="M1699" s="50"/>
      <c r="P1699" s="68"/>
    </row>
    <row r="1700">
      <c r="A1700" s="95">
        <v>8.87840378083E11</v>
      </c>
      <c r="B1700" s="151" t="s">
        <v>2088</v>
      </c>
      <c r="C1700" s="95" t="s">
        <v>97</v>
      </c>
      <c r="D1700" s="95">
        <v>1.0</v>
      </c>
      <c r="E1700" s="101">
        <v>69.0</v>
      </c>
      <c r="F1700" s="101">
        <f t="shared" si="288"/>
        <v>69</v>
      </c>
      <c r="G1700" s="101">
        <f t="shared" si="289"/>
        <v>17.25</v>
      </c>
      <c r="H1700" s="95" t="s">
        <v>486</v>
      </c>
      <c r="J1700" s="120" t="s">
        <v>2093</v>
      </c>
      <c r="K1700" s="99"/>
      <c r="L1700" s="50"/>
      <c r="M1700" s="50"/>
      <c r="P1700" s="68"/>
    </row>
    <row r="1701">
      <c r="A1701" s="95">
        <v>8.8784037809E11</v>
      </c>
      <c r="B1701" s="151" t="s">
        <v>2088</v>
      </c>
      <c r="C1701" s="95" t="s">
        <v>97</v>
      </c>
      <c r="D1701" s="95">
        <v>1.0</v>
      </c>
      <c r="E1701" s="101">
        <v>69.0</v>
      </c>
      <c r="F1701" s="101">
        <f t="shared" si="288"/>
        <v>69</v>
      </c>
      <c r="G1701" s="101">
        <f t="shared" si="289"/>
        <v>17.25</v>
      </c>
      <c r="H1701" s="95" t="s">
        <v>2064</v>
      </c>
      <c r="J1701" s="120" t="s">
        <v>2093</v>
      </c>
      <c r="K1701" s="99"/>
      <c r="L1701" s="50"/>
      <c r="M1701" s="50"/>
      <c r="P1701" s="68"/>
    </row>
    <row r="1702">
      <c r="A1702" s="95">
        <v>8.88815811932E11</v>
      </c>
      <c r="B1702" s="151" t="s">
        <v>2100</v>
      </c>
      <c r="C1702" s="95" t="s">
        <v>97</v>
      </c>
      <c r="D1702" s="95">
        <v>1.0</v>
      </c>
      <c r="E1702" s="101">
        <v>89.0</v>
      </c>
      <c r="F1702" s="101">
        <f t="shared" si="288"/>
        <v>89</v>
      </c>
      <c r="G1702" s="101">
        <f t="shared" si="289"/>
        <v>22.25</v>
      </c>
      <c r="H1702" s="95" t="s">
        <v>206</v>
      </c>
      <c r="J1702" s="120" t="s">
        <v>2093</v>
      </c>
      <c r="K1702" s="99"/>
      <c r="L1702" s="50"/>
      <c r="M1702" s="50"/>
      <c r="P1702" s="68"/>
    </row>
    <row r="1703">
      <c r="A1703" s="95">
        <v>8.8881581197E11</v>
      </c>
      <c r="B1703" s="151" t="s">
        <v>2100</v>
      </c>
      <c r="C1703" s="95" t="s">
        <v>97</v>
      </c>
      <c r="D1703" s="95">
        <v>1.0</v>
      </c>
      <c r="E1703" s="101">
        <v>89.0</v>
      </c>
      <c r="F1703" s="101">
        <f t="shared" si="288"/>
        <v>89</v>
      </c>
      <c r="G1703" s="101">
        <f t="shared" si="289"/>
        <v>22.25</v>
      </c>
      <c r="H1703" s="95" t="s">
        <v>206</v>
      </c>
      <c r="J1703" s="120" t="s">
        <v>2093</v>
      </c>
      <c r="K1703" s="99"/>
      <c r="L1703" s="50"/>
      <c r="M1703" s="50"/>
      <c r="P1703" s="68"/>
    </row>
    <row r="1704">
      <c r="A1704" s="231" t="s">
        <v>267</v>
      </c>
      <c r="B1704" s="231" t="s">
        <v>2101</v>
      </c>
      <c r="C1704" s="234" t="str">
        <f>MID($B1704,6,7)</f>
        <v>LC18308</v>
      </c>
      <c r="D1704" s="231"/>
      <c r="E1704" s="231"/>
      <c r="F1704" s="231"/>
      <c r="G1704" s="231"/>
      <c r="H1704" s="235">
        <v>44559.0</v>
      </c>
      <c r="J1704" s="108" t="str">
        <f>IF(LEFT(B1704,3)="Box","BOX","COUNT")</f>
        <v>BOX</v>
      </c>
      <c r="K1704" s="99">
        <f>SUMIF($J$4:$J$8712,$C1704,$D$4:$D$8712)</f>
        <v>12</v>
      </c>
      <c r="L1704" s="50">
        <f>SUMIF($J$4:$J$8712,$C1704,$F$4:$F$8712)</f>
        <v>1119.43</v>
      </c>
      <c r="M1704" s="50">
        <f>SUMIF($J$4:$J$8712,$C1704,$G$4:$G$8712)</f>
        <v>279.8575</v>
      </c>
      <c r="N1704" s="70" t="str">
        <f>C1704</f>
        <v>LC18308</v>
      </c>
      <c r="O1704" s="70" t="str">
        <f>J1705</f>
        <v>NSHIP</v>
      </c>
      <c r="P1704" s="68">
        <f>M1704</f>
        <v>279.8575</v>
      </c>
      <c r="Q1704" s="168">
        <v>44502.0</v>
      </c>
      <c r="R1704" s="37" t="s">
        <v>2102</v>
      </c>
      <c r="S1704" s="37" t="s">
        <v>2103</v>
      </c>
    </row>
    <row r="1705">
      <c r="A1705" s="211"/>
      <c r="B1705" s="231"/>
      <c r="C1705" s="109"/>
      <c r="D1705" s="109"/>
      <c r="E1705" s="116"/>
      <c r="F1705" s="116"/>
      <c r="G1705" s="116"/>
      <c r="H1705" s="109"/>
      <c r="J1705" s="108" t="str">
        <f>IF(B1705="","NSHIP","SHIP")</f>
        <v>NSHIP</v>
      </c>
      <c r="K1705" s="99">
        <f>IF($J1705="NSHIP",0,-SUMIF($J$4:$J$8712,$C1704,$D$4:$D$8712))</f>
        <v>0</v>
      </c>
      <c r="L1705" s="50">
        <f>IF($J1705="NSHIP",0,-SUMIF($J$4:$J$8710,$C1704,$F$4:$F$8710))</f>
        <v>0</v>
      </c>
      <c r="M1705" s="50">
        <f>IF($J1705="NSHIP",0,-SUMIF($J$4:$J$8710,$C1704,$G$4:$G$8710))</f>
        <v>0</v>
      </c>
      <c r="P1705" s="68"/>
    </row>
    <row r="1706">
      <c r="A1706" s="95">
        <v>2.9013803033E10</v>
      </c>
      <c r="B1706" s="164" t="s">
        <v>2104</v>
      </c>
      <c r="C1706" s="95" t="s">
        <v>97</v>
      </c>
      <c r="D1706" s="95">
        <v>1.0</v>
      </c>
      <c r="E1706" s="101">
        <v>75.0</v>
      </c>
      <c r="F1706" s="101">
        <f t="shared" ref="F1706:F1712" si="290">E1706*D1706</f>
        <v>75</v>
      </c>
      <c r="G1706" s="101">
        <f t="shared" ref="G1706:G1712" si="291">F1706/3</f>
        <v>25</v>
      </c>
      <c r="H1706" s="95" t="s">
        <v>2105</v>
      </c>
      <c r="J1706" s="120" t="s">
        <v>2106</v>
      </c>
      <c r="K1706" s="99"/>
      <c r="L1706" s="50"/>
      <c r="M1706" s="50"/>
      <c r="P1706" s="68"/>
    </row>
    <row r="1707">
      <c r="A1707" s="95">
        <v>2.9013803071E10</v>
      </c>
      <c r="B1707" s="131" t="s">
        <v>2107</v>
      </c>
      <c r="C1707" s="95" t="s">
        <v>97</v>
      </c>
      <c r="D1707" s="95">
        <v>1.0</v>
      </c>
      <c r="E1707" s="101">
        <v>75.0</v>
      </c>
      <c r="F1707" s="101">
        <f t="shared" si="290"/>
        <v>75</v>
      </c>
      <c r="G1707" s="101">
        <f t="shared" si="291"/>
        <v>25</v>
      </c>
      <c r="H1707" s="95" t="s">
        <v>2105</v>
      </c>
      <c r="J1707" s="120" t="s">
        <v>2106</v>
      </c>
      <c r="K1707" s="99"/>
      <c r="L1707" s="50"/>
      <c r="M1707" s="50"/>
      <c r="P1707" s="68"/>
    </row>
    <row r="1708">
      <c r="A1708" s="95">
        <v>1.91656730257E11</v>
      </c>
      <c r="B1708" s="131" t="s">
        <v>2108</v>
      </c>
      <c r="C1708" s="95" t="s">
        <v>97</v>
      </c>
      <c r="D1708" s="95">
        <v>1.0</v>
      </c>
      <c r="E1708" s="101">
        <v>79.0</v>
      </c>
      <c r="F1708" s="101">
        <f t="shared" si="290"/>
        <v>79</v>
      </c>
      <c r="G1708" s="101">
        <f t="shared" si="291"/>
        <v>26.33333333</v>
      </c>
      <c r="H1708" s="95" t="s">
        <v>2105</v>
      </c>
      <c r="J1708" s="120" t="s">
        <v>2106</v>
      </c>
      <c r="K1708" s="99"/>
      <c r="L1708" s="50"/>
      <c r="M1708" s="50"/>
      <c r="P1708" s="68"/>
    </row>
    <row r="1709">
      <c r="A1709" s="95">
        <v>1.93073482542E11</v>
      </c>
      <c r="B1709" s="131" t="s">
        <v>2109</v>
      </c>
      <c r="C1709" s="95" t="s">
        <v>97</v>
      </c>
      <c r="D1709" s="95">
        <v>1.0</v>
      </c>
      <c r="E1709" s="101">
        <v>60.0</v>
      </c>
      <c r="F1709" s="101">
        <f t="shared" si="290"/>
        <v>60</v>
      </c>
      <c r="G1709" s="101">
        <f t="shared" si="291"/>
        <v>20</v>
      </c>
      <c r="H1709" s="95" t="s">
        <v>1736</v>
      </c>
      <c r="J1709" s="120" t="s">
        <v>2106</v>
      </c>
      <c r="K1709" s="99"/>
      <c r="L1709" s="50"/>
      <c r="M1709" s="50"/>
      <c r="P1709" s="68"/>
    </row>
    <row r="1710">
      <c r="A1710" s="95">
        <v>1.94584451539E11</v>
      </c>
      <c r="B1710" s="131" t="s">
        <v>2110</v>
      </c>
      <c r="C1710" s="95" t="s">
        <v>97</v>
      </c>
      <c r="D1710" s="95">
        <v>1.0</v>
      </c>
      <c r="E1710" s="101">
        <v>79.0</v>
      </c>
      <c r="F1710" s="101">
        <f t="shared" si="290"/>
        <v>79</v>
      </c>
      <c r="G1710" s="101">
        <f t="shared" si="291"/>
        <v>26.33333333</v>
      </c>
      <c r="H1710" s="95" t="s">
        <v>2105</v>
      </c>
      <c r="J1710" s="120" t="s">
        <v>2106</v>
      </c>
      <c r="K1710" s="99"/>
      <c r="L1710" s="50"/>
      <c r="M1710" s="50"/>
      <c r="P1710" s="68"/>
    </row>
    <row r="1711">
      <c r="A1711" s="95">
        <v>8.85660621709E11</v>
      </c>
      <c r="B1711" s="131" t="s">
        <v>2111</v>
      </c>
      <c r="C1711" s="95" t="s">
        <v>97</v>
      </c>
      <c r="D1711" s="95">
        <v>1.0</v>
      </c>
      <c r="E1711" s="101">
        <v>50.0</v>
      </c>
      <c r="F1711" s="101">
        <f t="shared" si="290"/>
        <v>50</v>
      </c>
      <c r="G1711" s="101">
        <f t="shared" si="291"/>
        <v>16.66666667</v>
      </c>
      <c r="H1711" s="95" t="s">
        <v>1736</v>
      </c>
      <c r="J1711" s="120" t="s">
        <v>2106</v>
      </c>
      <c r="K1711" s="99"/>
      <c r="L1711" s="50"/>
      <c r="M1711" s="50"/>
      <c r="P1711" s="68"/>
    </row>
    <row r="1712">
      <c r="A1712" s="95">
        <v>8.85660622973E11</v>
      </c>
      <c r="B1712" s="131" t="s">
        <v>2112</v>
      </c>
      <c r="C1712" s="95" t="s">
        <v>97</v>
      </c>
      <c r="D1712" s="95">
        <v>1.0</v>
      </c>
      <c r="E1712" s="101">
        <v>55.0</v>
      </c>
      <c r="F1712" s="101">
        <f t="shared" si="290"/>
        <v>55</v>
      </c>
      <c r="G1712" s="101">
        <f t="shared" si="291"/>
        <v>18.33333333</v>
      </c>
      <c r="H1712" s="95" t="s">
        <v>1736</v>
      </c>
      <c r="J1712" s="120" t="s">
        <v>2106</v>
      </c>
      <c r="K1712" s="99"/>
      <c r="L1712" s="50"/>
      <c r="M1712" s="50"/>
      <c r="P1712" s="68"/>
    </row>
    <row r="1713">
      <c r="A1713" s="102" t="s">
        <v>2113</v>
      </c>
      <c r="B1713" s="209" t="s">
        <v>2114</v>
      </c>
      <c r="C1713" s="104"/>
      <c r="D1713" s="104"/>
      <c r="E1713" s="105"/>
      <c r="F1713" s="106"/>
      <c r="G1713" s="106"/>
      <c r="H1713" s="107"/>
      <c r="J1713" s="108"/>
      <c r="K1713" s="99"/>
      <c r="L1713" s="50"/>
      <c r="M1713" s="50"/>
      <c r="P1713" s="68"/>
    </row>
    <row r="1714">
      <c r="A1714" s="95">
        <v>8.89885363345E11</v>
      </c>
      <c r="B1714" s="192" t="s">
        <v>2115</v>
      </c>
      <c r="C1714" s="95" t="s">
        <v>97</v>
      </c>
      <c r="D1714" s="95">
        <v>1.0</v>
      </c>
      <c r="E1714" s="101">
        <v>60.0</v>
      </c>
      <c r="F1714" s="101">
        <f>E1714*D1714</f>
        <v>60</v>
      </c>
      <c r="G1714" s="101">
        <f>F1714/3</f>
        <v>20</v>
      </c>
      <c r="H1714" s="95" t="s">
        <v>1736</v>
      </c>
      <c r="J1714" s="120" t="s">
        <v>2106</v>
      </c>
      <c r="K1714" s="99"/>
      <c r="L1714" s="50"/>
      <c r="M1714" s="50"/>
      <c r="P1714" s="68"/>
    </row>
    <row r="1715">
      <c r="A1715" s="102" t="s">
        <v>113</v>
      </c>
      <c r="B1715" s="209" t="s">
        <v>2116</v>
      </c>
      <c r="C1715" s="104"/>
      <c r="D1715" s="104"/>
      <c r="E1715" s="105"/>
      <c r="F1715" s="106"/>
      <c r="G1715" s="106"/>
      <c r="H1715" s="107"/>
      <c r="J1715" s="108"/>
      <c r="K1715" s="99"/>
      <c r="L1715" s="50"/>
      <c r="M1715" s="50"/>
      <c r="P1715" s="68"/>
    </row>
    <row r="1716">
      <c r="A1716" s="210">
        <v>1.92733535895E11</v>
      </c>
      <c r="B1716" s="151" t="s">
        <v>2117</v>
      </c>
      <c r="C1716" s="95" t="s">
        <v>97</v>
      </c>
      <c r="D1716" s="95">
        <v>1.0</v>
      </c>
      <c r="E1716" s="101">
        <v>69.99</v>
      </c>
      <c r="F1716" s="101">
        <f t="shared" ref="F1716:F1720" si="292">E1716*D1716</f>
        <v>69.99</v>
      </c>
      <c r="G1716" s="101">
        <f t="shared" ref="G1716:G1720" si="293">F1716/3</f>
        <v>23.33</v>
      </c>
      <c r="H1716" s="95" t="s">
        <v>2118</v>
      </c>
      <c r="I1716" s="70" t="s">
        <v>1816</v>
      </c>
      <c r="J1716" s="120" t="s">
        <v>2106</v>
      </c>
      <c r="K1716" s="99"/>
      <c r="L1716" s="50"/>
      <c r="M1716" s="50"/>
      <c r="P1716" s="68"/>
    </row>
    <row r="1717">
      <c r="A1717" s="210">
        <v>1.92733744044E11</v>
      </c>
      <c r="B1717" s="151" t="s">
        <v>2119</v>
      </c>
      <c r="C1717" s="95" t="s">
        <v>97</v>
      </c>
      <c r="D1717" s="95">
        <v>1.0</v>
      </c>
      <c r="E1717" s="101">
        <v>69.0</v>
      </c>
      <c r="F1717" s="101">
        <f t="shared" si="292"/>
        <v>69</v>
      </c>
      <c r="G1717" s="101">
        <f t="shared" si="293"/>
        <v>23</v>
      </c>
      <c r="H1717" s="95" t="s">
        <v>2105</v>
      </c>
      <c r="I1717" s="70" t="s">
        <v>1816</v>
      </c>
      <c r="J1717" s="120" t="s">
        <v>2106</v>
      </c>
      <c r="K1717" s="99"/>
      <c r="L1717" s="50"/>
      <c r="M1717" s="50"/>
      <c r="P1717" s="68"/>
    </row>
    <row r="1718">
      <c r="A1718" s="210">
        <v>8.85660623895E11</v>
      </c>
      <c r="B1718" s="151" t="s">
        <v>2120</v>
      </c>
      <c r="C1718" s="95" t="s">
        <v>97</v>
      </c>
      <c r="D1718" s="95">
        <v>1.0</v>
      </c>
      <c r="E1718" s="101">
        <v>50.0</v>
      </c>
      <c r="F1718" s="101">
        <f t="shared" si="292"/>
        <v>50</v>
      </c>
      <c r="G1718" s="101">
        <f t="shared" si="293"/>
        <v>16.66666667</v>
      </c>
      <c r="H1718" s="95" t="s">
        <v>1736</v>
      </c>
      <c r="I1718" s="70" t="s">
        <v>1816</v>
      </c>
      <c r="J1718" s="120" t="s">
        <v>2106</v>
      </c>
      <c r="K1718" s="99"/>
      <c r="L1718" s="50"/>
      <c r="M1718" s="50"/>
      <c r="P1718" s="68"/>
    </row>
    <row r="1719">
      <c r="A1719" s="210">
        <v>8.89885358372E11</v>
      </c>
      <c r="B1719" s="151" t="s">
        <v>2121</v>
      </c>
      <c r="C1719" s="95" t="s">
        <v>97</v>
      </c>
      <c r="D1719" s="95">
        <v>1.0</v>
      </c>
      <c r="E1719" s="101">
        <v>55.0</v>
      </c>
      <c r="F1719" s="101">
        <f t="shared" si="292"/>
        <v>55</v>
      </c>
      <c r="G1719" s="101">
        <f t="shared" si="293"/>
        <v>18.33333333</v>
      </c>
      <c r="H1719" s="95" t="s">
        <v>1736</v>
      </c>
      <c r="I1719" s="70" t="s">
        <v>1816</v>
      </c>
      <c r="J1719" s="120" t="s">
        <v>2106</v>
      </c>
      <c r="K1719" s="99"/>
      <c r="L1719" s="50"/>
      <c r="M1719" s="50"/>
      <c r="P1719" s="68"/>
    </row>
    <row r="1720">
      <c r="A1720" s="210">
        <v>8.89885748326E11</v>
      </c>
      <c r="B1720" s="151" t="s">
        <v>2122</v>
      </c>
      <c r="C1720" s="95" t="s">
        <v>97</v>
      </c>
      <c r="D1720" s="95">
        <v>1.0</v>
      </c>
      <c r="E1720" s="101">
        <v>60.0</v>
      </c>
      <c r="F1720" s="101">
        <f t="shared" si="292"/>
        <v>60</v>
      </c>
      <c r="G1720" s="101">
        <f t="shared" si="293"/>
        <v>20</v>
      </c>
      <c r="H1720" s="95" t="s">
        <v>1736</v>
      </c>
      <c r="I1720" s="70" t="s">
        <v>1816</v>
      </c>
      <c r="J1720" s="120" t="s">
        <v>2106</v>
      </c>
      <c r="K1720" s="99"/>
      <c r="L1720" s="50"/>
      <c r="M1720" s="50"/>
      <c r="P1720" s="68"/>
    </row>
    <row r="1721">
      <c r="A1721" s="111" t="s">
        <v>115</v>
      </c>
      <c r="B1721" s="111" t="s">
        <v>2123</v>
      </c>
      <c r="C1721" s="112" t="str">
        <f>MID($B1721,6,7)</f>
        <v>CL18770</v>
      </c>
      <c r="D1721" s="111"/>
      <c r="E1721" s="111"/>
      <c r="F1721" s="111"/>
      <c r="G1721" s="111"/>
      <c r="H1721" s="113">
        <v>44559.0</v>
      </c>
      <c r="J1721" s="108" t="str">
        <f>IF(LEFT(B1721,3)="Box","BOX","COUNT")</f>
        <v>BOX</v>
      </c>
      <c r="K1721" s="99">
        <f>SUMIF($J$4:$J$8712,$C1721,$D$4:$D$8712)</f>
        <v>13</v>
      </c>
      <c r="L1721" s="50">
        <f>SUMIF($J$4:$J$8712,$C1721,$F$4:$F$8712)</f>
        <v>836.99</v>
      </c>
      <c r="M1721" s="50">
        <f>SUMIF($J$4:$J$8712,$C1721,$G$4:$G$8712)</f>
        <v>278.9966667</v>
      </c>
      <c r="N1721" s="70" t="str">
        <f>C1721</f>
        <v>CL18770</v>
      </c>
      <c r="O1721" s="70" t="str">
        <f>J1722</f>
        <v>SHIP</v>
      </c>
      <c r="P1721" s="68">
        <f>M1721</f>
        <v>278.9966667</v>
      </c>
      <c r="Q1721" s="168">
        <v>44502.0</v>
      </c>
      <c r="R1721" s="37" t="s">
        <v>2124</v>
      </c>
      <c r="S1721" s="37" t="s">
        <v>2125</v>
      </c>
    </row>
    <row r="1722">
      <c r="A1722" s="211"/>
      <c r="B1722" s="111" t="s">
        <v>2126</v>
      </c>
      <c r="C1722" s="109"/>
      <c r="D1722" s="109"/>
      <c r="E1722" s="116"/>
      <c r="F1722" s="116"/>
      <c r="G1722" s="116"/>
      <c r="H1722" s="109"/>
      <c r="J1722" s="108" t="str">
        <f>IF(B1722="","NSHIP","SHIP")</f>
        <v>SHIP</v>
      </c>
      <c r="K1722" s="99">
        <f>IF($J1722="NSHIP",0,-SUMIF($J$4:$J$8712,$C1721,$D$4:$D$8712))</f>
        <v>-13</v>
      </c>
      <c r="L1722" s="50">
        <f>IF($J1722="NSHIP",0,-SUMIF($J$4:$J$8710,$C1721,$F$4:$F$8710))</f>
        <v>-836.99</v>
      </c>
      <c r="M1722" s="50">
        <f>IF($J1722="NSHIP",0,-SUMIF($J$4:$J$8710,$C1721,$G$4:$G$8710))</f>
        <v>-278.9966667</v>
      </c>
      <c r="P1722" s="68"/>
    </row>
    <row r="1723">
      <c r="A1723" s="95">
        <v>7.27688459158E11</v>
      </c>
      <c r="B1723" s="151" t="s">
        <v>2127</v>
      </c>
      <c r="C1723" s="95" t="s">
        <v>97</v>
      </c>
      <c r="D1723" s="95">
        <v>2.0</v>
      </c>
      <c r="E1723" s="101">
        <v>99.0</v>
      </c>
      <c r="F1723" s="101">
        <f t="shared" ref="F1723:F1734" si="294">E1723*D1723</f>
        <v>198</v>
      </c>
      <c r="G1723" s="101">
        <f t="shared" ref="G1723:G1734" si="295">F1723/3</f>
        <v>66</v>
      </c>
      <c r="H1723" s="95" t="s">
        <v>783</v>
      </c>
      <c r="J1723" s="120" t="s">
        <v>2128</v>
      </c>
      <c r="K1723" s="99"/>
      <c r="L1723" s="50"/>
      <c r="M1723" s="50"/>
      <c r="P1723" s="68"/>
    </row>
    <row r="1724">
      <c r="A1724" s="95">
        <v>7.27695413822E11</v>
      </c>
      <c r="B1724" s="151" t="s">
        <v>2129</v>
      </c>
      <c r="C1724" s="95" t="s">
        <v>97</v>
      </c>
      <c r="D1724" s="95">
        <v>1.0</v>
      </c>
      <c r="E1724" s="101">
        <v>59.0</v>
      </c>
      <c r="F1724" s="101">
        <f t="shared" si="294"/>
        <v>59</v>
      </c>
      <c r="G1724" s="101">
        <f t="shared" si="295"/>
        <v>19.66666667</v>
      </c>
      <c r="H1724" s="95" t="s">
        <v>783</v>
      </c>
      <c r="J1724" s="120" t="s">
        <v>2128</v>
      </c>
      <c r="K1724" s="99"/>
      <c r="L1724" s="50"/>
      <c r="M1724" s="50"/>
      <c r="P1724" s="68"/>
    </row>
    <row r="1725">
      <c r="A1725" s="95">
        <v>7.27695413846E11</v>
      </c>
      <c r="B1725" s="151" t="s">
        <v>2130</v>
      </c>
      <c r="C1725" s="95" t="s">
        <v>97</v>
      </c>
      <c r="D1725" s="95">
        <v>1.0</v>
      </c>
      <c r="E1725" s="101">
        <v>59.0</v>
      </c>
      <c r="F1725" s="101">
        <f t="shared" si="294"/>
        <v>59</v>
      </c>
      <c r="G1725" s="101">
        <f t="shared" si="295"/>
        <v>19.66666667</v>
      </c>
      <c r="H1725" s="95" t="s">
        <v>783</v>
      </c>
      <c r="J1725" s="120" t="s">
        <v>2128</v>
      </c>
      <c r="K1725" s="99"/>
      <c r="L1725" s="50"/>
      <c r="M1725" s="50"/>
      <c r="P1725" s="68"/>
    </row>
    <row r="1726">
      <c r="A1726" s="95">
        <v>7.27695413853E11</v>
      </c>
      <c r="B1726" s="151" t="s">
        <v>2130</v>
      </c>
      <c r="C1726" s="95" t="s">
        <v>97</v>
      </c>
      <c r="D1726" s="95">
        <v>1.0</v>
      </c>
      <c r="E1726" s="101">
        <v>59.0</v>
      </c>
      <c r="F1726" s="101">
        <f t="shared" si="294"/>
        <v>59</v>
      </c>
      <c r="G1726" s="101">
        <f t="shared" si="295"/>
        <v>19.66666667</v>
      </c>
      <c r="H1726" s="95" t="s">
        <v>783</v>
      </c>
      <c r="J1726" s="120" t="s">
        <v>2128</v>
      </c>
      <c r="K1726" s="99"/>
      <c r="L1726" s="50"/>
      <c r="M1726" s="50"/>
      <c r="P1726" s="68"/>
    </row>
    <row r="1727">
      <c r="A1727" s="95">
        <v>7.2769541386E11</v>
      </c>
      <c r="B1727" s="151" t="s">
        <v>2130</v>
      </c>
      <c r="C1727" s="95" t="s">
        <v>97</v>
      </c>
      <c r="D1727" s="95">
        <v>3.0</v>
      </c>
      <c r="E1727" s="101">
        <v>59.0</v>
      </c>
      <c r="F1727" s="101">
        <f t="shared" si="294"/>
        <v>177</v>
      </c>
      <c r="G1727" s="101">
        <f t="shared" si="295"/>
        <v>59</v>
      </c>
      <c r="H1727" s="95" t="s">
        <v>783</v>
      </c>
      <c r="J1727" s="120" t="s">
        <v>2128</v>
      </c>
      <c r="K1727" s="99"/>
      <c r="L1727" s="50"/>
      <c r="M1727" s="50"/>
      <c r="P1727" s="68"/>
    </row>
    <row r="1728">
      <c r="A1728" s="95">
        <v>7.27695413891E11</v>
      </c>
      <c r="B1728" s="151" t="s">
        <v>2130</v>
      </c>
      <c r="C1728" s="95" t="s">
        <v>97</v>
      </c>
      <c r="D1728" s="95">
        <v>1.0</v>
      </c>
      <c r="E1728" s="101">
        <v>59.0</v>
      </c>
      <c r="F1728" s="101">
        <f t="shared" si="294"/>
        <v>59</v>
      </c>
      <c r="G1728" s="101">
        <f t="shared" si="295"/>
        <v>19.66666667</v>
      </c>
      <c r="H1728" s="95" t="s">
        <v>783</v>
      </c>
      <c r="J1728" s="120" t="s">
        <v>2128</v>
      </c>
      <c r="K1728" s="99"/>
      <c r="L1728" s="50"/>
      <c r="M1728" s="50"/>
      <c r="P1728" s="68"/>
    </row>
    <row r="1729">
      <c r="A1729" s="95">
        <v>7.276956628E11</v>
      </c>
      <c r="B1729" s="151" t="s">
        <v>2130</v>
      </c>
      <c r="C1729" s="95" t="s">
        <v>97</v>
      </c>
      <c r="D1729" s="95">
        <v>2.0</v>
      </c>
      <c r="E1729" s="101">
        <v>59.0</v>
      </c>
      <c r="F1729" s="101">
        <f t="shared" si="294"/>
        <v>118</v>
      </c>
      <c r="G1729" s="101">
        <f t="shared" si="295"/>
        <v>39.33333333</v>
      </c>
      <c r="H1729" s="95" t="s">
        <v>783</v>
      </c>
      <c r="J1729" s="120" t="s">
        <v>2128</v>
      </c>
      <c r="K1729" s="99"/>
      <c r="L1729" s="50"/>
      <c r="M1729" s="50"/>
      <c r="P1729" s="68"/>
    </row>
    <row r="1730">
      <c r="A1730" s="95">
        <v>7.27695662855E11</v>
      </c>
      <c r="B1730" s="151" t="s">
        <v>2130</v>
      </c>
      <c r="C1730" s="95" t="s">
        <v>97</v>
      </c>
      <c r="D1730" s="95">
        <v>1.0</v>
      </c>
      <c r="E1730" s="101">
        <v>59.0</v>
      </c>
      <c r="F1730" s="101">
        <f t="shared" si="294"/>
        <v>59</v>
      </c>
      <c r="G1730" s="101">
        <f t="shared" si="295"/>
        <v>19.66666667</v>
      </c>
      <c r="H1730" s="95" t="s">
        <v>783</v>
      </c>
      <c r="J1730" s="120" t="s">
        <v>2128</v>
      </c>
      <c r="K1730" s="99"/>
      <c r="L1730" s="50"/>
      <c r="M1730" s="50"/>
      <c r="P1730" s="68"/>
    </row>
    <row r="1731">
      <c r="A1731" s="95">
        <v>7.27695662862E11</v>
      </c>
      <c r="B1731" s="151" t="s">
        <v>2130</v>
      </c>
      <c r="C1731" s="95" t="s">
        <v>97</v>
      </c>
      <c r="D1731" s="95">
        <v>1.0</v>
      </c>
      <c r="E1731" s="101">
        <v>59.0</v>
      </c>
      <c r="F1731" s="101">
        <f t="shared" si="294"/>
        <v>59</v>
      </c>
      <c r="G1731" s="101">
        <f t="shared" si="295"/>
        <v>19.66666667</v>
      </c>
      <c r="H1731" s="95" t="s">
        <v>783</v>
      </c>
      <c r="J1731" s="120" t="s">
        <v>2128</v>
      </c>
      <c r="K1731" s="99"/>
      <c r="L1731" s="50"/>
      <c r="M1731" s="50"/>
      <c r="P1731" s="68"/>
    </row>
    <row r="1732">
      <c r="A1732" s="95">
        <v>7.27695662879E11</v>
      </c>
      <c r="B1732" s="151" t="s">
        <v>2130</v>
      </c>
      <c r="C1732" s="95" t="s">
        <v>97</v>
      </c>
      <c r="D1732" s="95">
        <v>3.0</v>
      </c>
      <c r="E1732" s="101">
        <v>59.0</v>
      </c>
      <c r="F1732" s="101">
        <f t="shared" si="294"/>
        <v>177</v>
      </c>
      <c r="G1732" s="101">
        <f t="shared" si="295"/>
        <v>59</v>
      </c>
      <c r="H1732" s="95" t="s">
        <v>783</v>
      </c>
      <c r="J1732" s="120" t="s">
        <v>2128</v>
      </c>
      <c r="K1732" s="99"/>
      <c r="L1732" s="50"/>
      <c r="M1732" s="50"/>
      <c r="P1732" s="68"/>
    </row>
    <row r="1733">
      <c r="A1733" s="95">
        <v>7.27695662886E11</v>
      </c>
      <c r="B1733" s="151" t="s">
        <v>2130</v>
      </c>
      <c r="C1733" s="95" t="s">
        <v>97</v>
      </c>
      <c r="D1733" s="95">
        <v>1.0</v>
      </c>
      <c r="E1733" s="101">
        <v>59.0</v>
      </c>
      <c r="F1733" s="101">
        <f t="shared" si="294"/>
        <v>59</v>
      </c>
      <c r="G1733" s="101">
        <f t="shared" si="295"/>
        <v>19.66666667</v>
      </c>
      <c r="H1733" s="95" t="s">
        <v>783</v>
      </c>
      <c r="J1733" s="120" t="s">
        <v>2128</v>
      </c>
      <c r="K1733" s="99"/>
      <c r="L1733" s="50"/>
      <c r="M1733" s="50"/>
      <c r="P1733" s="68"/>
    </row>
    <row r="1734">
      <c r="A1734" s="95">
        <v>7.27695662893E11</v>
      </c>
      <c r="B1734" s="151" t="s">
        <v>2130</v>
      </c>
      <c r="C1734" s="95" t="s">
        <v>97</v>
      </c>
      <c r="D1734" s="95">
        <v>1.0</v>
      </c>
      <c r="E1734" s="101">
        <v>59.0</v>
      </c>
      <c r="F1734" s="101">
        <f t="shared" si="294"/>
        <v>59</v>
      </c>
      <c r="G1734" s="101">
        <f t="shared" si="295"/>
        <v>19.66666667</v>
      </c>
      <c r="H1734" s="95" t="s">
        <v>783</v>
      </c>
      <c r="J1734" s="120" t="s">
        <v>2128</v>
      </c>
      <c r="K1734" s="99"/>
      <c r="L1734" s="50"/>
      <c r="M1734" s="50"/>
      <c r="P1734" s="68"/>
    </row>
    <row r="1735">
      <c r="A1735" s="231" t="s">
        <v>132</v>
      </c>
      <c r="B1735" s="231" t="s">
        <v>2131</v>
      </c>
      <c r="C1735" s="234" t="str">
        <f>MID($B1735,6,7)</f>
        <v>CL18771</v>
      </c>
      <c r="D1735" s="231"/>
      <c r="E1735" s="231"/>
      <c r="F1735" s="231"/>
      <c r="G1735" s="231"/>
      <c r="H1735" s="235">
        <v>44559.0</v>
      </c>
      <c r="J1735" s="108" t="str">
        <f>IF(LEFT(B1735,3)="Box","BOX","COUNT")</f>
        <v>BOX</v>
      </c>
      <c r="K1735" s="99">
        <f>SUMIF($J$4:$J$8712,$C1735,$D$4:$D$8712)</f>
        <v>18</v>
      </c>
      <c r="L1735" s="50">
        <f>SUMIF($J$4:$J$8712,$C1735,$F$4:$F$8712)</f>
        <v>1142</v>
      </c>
      <c r="M1735" s="50">
        <f>SUMIF($J$4:$J$8712,$C1735,$G$4:$G$8712)</f>
        <v>380.6666667</v>
      </c>
      <c r="N1735" s="70" t="str">
        <f>C1735</f>
        <v>CL18771</v>
      </c>
      <c r="O1735" s="70" t="str">
        <f>J1736</f>
        <v>NSHIP</v>
      </c>
      <c r="P1735" s="68">
        <f>M1735</f>
        <v>380.6666667</v>
      </c>
      <c r="Q1735" s="168">
        <v>44502.0</v>
      </c>
      <c r="R1735" s="37" t="s">
        <v>2124</v>
      </c>
      <c r="S1735" s="37" t="s">
        <v>2125</v>
      </c>
    </row>
    <row r="1736">
      <c r="A1736" s="211"/>
      <c r="B1736" s="231"/>
      <c r="C1736" s="109"/>
      <c r="D1736" s="109"/>
      <c r="E1736" s="116"/>
      <c r="F1736" s="116"/>
      <c r="G1736" s="116"/>
      <c r="H1736" s="109"/>
      <c r="J1736" s="108" t="str">
        <f>IF(B1736="","NSHIP","SHIP")</f>
        <v>NSHIP</v>
      </c>
      <c r="K1736" s="99">
        <f>IF($J1736="NSHIP",0,-SUMIF($J$4:$J$8712,$C1735,$D$4:$D$8712))</f>
        <v>0</v>
      </c>
      <c r="L1736" s="50">
        <f>IF($J1736="NSHIP",0,-SUMIF($J$4:$J$8710,$C1735,$F$4:$F$8710))</f>
        <v>0</v>
      </c>
      <c r="M1736" s="50">
        <f>IF($J1736="NSHIP",0,-SUMIF($J$4:$J$8710,$C1735,$G$4:$G$8710))</f>
        <v>0</v>
      </c>
      <c r="P1736" s="68"/>
    </row>
    <row r="1737">
      <c r="A1737" s="96">
        <v>7.2769541386E11</v>
      </c>
      <c r="B1737" s="131" t="s">
        <v>2132</v>
      </c>
      <c r="C1737" s="100" t="s">
        <v>97</v>
      </c>
      <c r="D1737" s="100">
        <v>1.0</v>
      </c>
      <c r="E1737" s="119">
        <v>59.0</v>
      </c>
      <c r="F1737" s="119">
        <f t="shared" ref="F1737:F1738" si="296">E1737*D1737</f>
        <v>59</v>
      </c>
      <c r="G1737" s="119">
        <f t="shared" ref="G1737:G1738" si="297">F1737/3</f>
        <v>19.66666667</v>
      </c>
      <c r="H1737" s="132" t="s">
        <v>783</v>
      </c>
      <c r="I1737" s="1"/>
      <c r="J1737" s="104" t="s">
        <v>2133</v>
      </c>
      <c r="K1737" s="133"/>
      <c r="L1737" s="105"/>
      <c r="M1737" s="105"/>
      <c r="N1737" s="1"/>
      <c r="O1737" s="1"/>
      <c r="P1737" s="68"/>
    </row>
    <row r="1738">
      <c r="A1738" s="100">
        <v>7.27695662848E11</v>
      </c>
      <c r="B1738" s="186" t="s">
        <v>2134</v>
      </c>
      <c r="C1738" s="100" t="s">
        <v>97</v>
      </c>
      <c r="D1738" s="100">
        <v>1.0</v>
      </c>
      <c r="E1738" s="119">
        <v>59.0</v>
      </c>
      <c r="F1738" s="119">
        <f t="shared" si="296"/>
        <v>59</v>
      </c>
      <c r="G1738" s="119">
        <f t="shared" si="297"/>
        <v>19.66666667</v>
      </c>
      <c r="H1738" s="132" t="s">
        <v>783</v>
      </c>
      <c r="I1738" s="1"/>
      <c r="J1738" s="104" t="s">
        <v>2133</v>
      </c>
      <c r="K1738" s="133"/>
      <c r="L1738" s="105"/>
      <c r="M1738" s="105"/>
      <c r="N1738" s="1"/>
      <c r="O1738" s="1"/>
      <c r="P1738" s="68"/>
    </row>
    <row r="1739">
      <c r="A1739" s="135" t="s">
        <v>1699</v>
      </c>
      <c r="B1739" s="209" t="s">
        <v>2135</v>
      </c>
      <c r="C1739" s="104"/>
      <c r="D1739" s="104"/>
      <c r="E1739" s="106"/>
      <c r="F1739" s="106"/>
      <c r="G1739" s="106"/>
      <c r="H1739" s="104"/>
      <c r="I1739" s="1"/>
      <c r="J1739" s="104"/>
      <c r="K1739" s="133"/>
      <c r="L1739" s="105"/>
      <c r="M1739" s="105"/>
      <c r="N1739" s="1"/>
      <c r="O1739" s="1"/>
      <c r="P1739" s="68"/>
    </row>
    <row r="1740">
      <c r="A1740" s="100">
        <v>7.27695662886E11</v>
      </c>
      <c r="B1740" s="186" t="s">
        <v>2136</v>
      </c>
      <c r="C1740" s="100" t="s">
        <v>97</v>
      </c>
      <c r="D1740" s="100">
        <v>1.0</v>
      </c>
      <c r="E1740" s="119">
        <v>59.0</v>
      </c>
      <c r="F1740" s="119">
        <f>E1740*D1740</f>
        <v>59</v>
      </c>
      <c r="G1740" s="119">
        <f>F1740/3</f>
        <v>19.66666667</v>
      </c>
      <c r="H1740" s="132" t="s">
        <v>783</v>
      </c>
      <c r="I1740" s="1"/>
      <c r="J1740" s="104" t="s">
        <v>2133</v>
      </c>
      <c r="K1740" s="133"/>
      <c r="L1740" s="105"/>
      <c r="M1740" s="105"/>
      <c r="N1740" s="1"/>
      <c r="O1740" s="1"/>
      <c r="P1740" s="68"/>
    </row>
    <row r="1741">
      <c r="A1741" s="135" t="s">
        <v>1699</v>
      </c>
      <c r="B1741" s="209" t="s">
        <v>2137</v>
      </c>
      <c r="C1741" s="104"/>
      <c r="D1741" s="104"/>
      <c r="E1741" s="106"/>
      <c r="F1741" s="106"/>
      <c r="G1741" s="106"/>
      <c r="H1741" s="104"/>
      <c r="I1741" s="1"/>
      <c r="J1741" s="104"/>
      <c r="K1741" s="133"/>
      <c r="L1741" s="105"/>
      <c r="M1741" s="105"/>
      <c r="N1741" s="1"/>
      <c r="O1741" s="1"/>
      <c r="P1741" s="68"/>
    </row>
    <row r="1742">
      <c r="A1742" s="112" t="s">
        <v>153</v>
      </c>
      <c r="B1742" s="112" t="s">
        <v>2138</v>
      </c>
      <c r="C1742" s="112" t="str">
        <f>MID($B1742,6,7)</f>
        <v>CL18772</v>
      </c>
      <c r="D1742" s="112"/>
      <c r="E1742" s="138"/>
      <c r="F1742" s="138"/>
      <c r="G1742" s="138"/>
      <c r="H1742" s="127">
        <v>44559.0</v>
      </c>
      <c r="I1742" s="1"/>
      <c r="J1742" s="104" t="str">
        <f>IF(LEFT(B1742,3)="Box","BOX","COUNT")</f>
        <v>BOX</v>
      </c>
      <c r="K1742" s="139">
        <f>SUMIF($J$6:$J$8669,$C1742,$D$6:$D$8669)</f>
        <v>3</v>
      </c>
      <c r="L1742" s="32">
        <f>SUMIF($J$6:$J$8669,$C1742,$F$6:$F$8669)</f>
        <v>177</v>
      </c>
      <c r="M1742" s="32">
        <f>SUMIF($J$6:$J$8669,$C1742,$G$6:$G$8669)</f>
        <v>59</v>
      </c>
      <c r="N1742" s="1" t="str">
        <f>C1742</f>
        <v>CL18772</v>
      </c>
      <c r="O1742" s="1" t="str">
        <f>J1743</f>
        <v>SHIP</v>
      </c>
      <c r="P1742" s="68">
        <f>M1742</f>
        <v>59</v>
      </c>
      <c r="Q1742" s="168">
        <v>44502.0</v>
      </c>
      <c r="R1742" s="37" t="s">
        <v>2124</v>
      </c>
      <c r="S1742" s="37" t="s">
        <v>2125</v>
      </c>
    </row>
    <row r="1743">
      <c r="A1743" s="222"/>
      <c r="B1743" s="140" t="s">
        <v>2139</v>
      </c>
      <c r="C1743" s="141"/>
      <c r="D1743" s="141"/>
      <c r="E1743" s="142"/>
      <c r="F1743" s="142"/>
      <c r="G1743" s="142"/>
      <c r="H1743" s="141"/>
      <c r="I1743" s="1"/>
      <c r="J1743" s="104" t="str">
        <f>IF(B1743="","NSHIP","SHIP")</f>
        <v>SHIP</v>
      </c>
      <c r="K1743" s="139">
        <f>IF($J1743="NSHIP",0,-SUMIF($J$6:$J$8669,$C1742,$D$6:$D$8669))</f>
        <v>-3</v>
      </c>
      <c r="L1743" s="32">
        <f>IF($J1743="NSHIP",0,-SUMIF($J$6:$J$8667,$C1742,$F$6:$F$8667))</f>
        <v>-177</v>
      </c>
      <c r="M1743" s="32">
        <f>IF($J1743="NSHIP",0,-SUMIF($J$6:$J$8667,$C1742,$G$6:$G$8667))</f>
        <v>-59</v>
      </c>
      <c r="N1743" s="1"/>
      <c r="O1743" s="1"/>
      <c r="P1743" s="68"/>
    </row>
    <row r="1744">
      <c r="A1744" s="95">
        <v>1.7115934649E10</v>
      </c>
      <c r="B1744" s="151" t="s">
        <v>2140</v>
      </c>
      <c r="C1744" s="95" t="s">
        <v>97</v>
      </c>
      <c r="D1744" s="95">
        <v>1.0</v>
      </c>
      <c r="E1744" s="101">
        <v>160.0</v>
      </c>
      <c r="F1744" s="101">
        <f t="shared" ref="F1744:F1762" si="298">E1744*D1744</f>
        <v>160</v>
      </c>
      <c r="G1744" s="101">
        <f t="shared" ref="G1744:G1762" si="299">F1744/3</f>
        <v>53.33333333</v>
      </c>
      <c r="H1744" s="95" t="s">
        <v>2141</v>
      </c>
      <c r="J1744" s="120" t="s">
        <v>2142</v>
      </c>
      <c r="K1744" s="99"/>
      <c r="L1744" s="50"/>
      <c r="M1744" s="50"/>
      <c r="P1744" s="68"/>
    </row>
    <row r="1745">
      <c r="A1745" s="95">
        <v>1.7118937012E10</v>
      </c>
      <c r="B1745" s="151" t="s">
        <v>2143</v>
      </c>
      <c r="C1745" s="95" t="s">
        <v>97</v>
      </c>
      <c r="D1745" s="95">
        <v>1.0</v>
      </c>
      <c r="E1745" s="101">
        <v>38.99</v>
      </c>
      <c r="F1745" s="101">
        <f t="shared" si="298"/>
        <v>38.99</v>
      </c>
      <c r="G1745" s="101">
        <f t="shared" si="299"/>
        <v>12.99666667</v>
      </c>
      <c r="H1745" s="95" t="s">
        <v>2141</v>
      </c>
      <c r="J1745" s="120" t="s">
        <v>2142</v>
      </c>
      <c r="K1745" s="99"/>
      <c r="L1745" s="50"/>
      <c r="M1745" s="50"/>
      <c r="P1745" s="68"/>
    </row>
    <row r="1746">
      <c r="A1746" s="95">
        <v>1.7125828877E10</v>
      </c>
      <c r="B1746" s="151" t="s">
        <v>2144</v>
      </c>
      <c r="C1746" s="95" t="s">
        <v>97</v>
      </c>
      <c r="D1746" s="95">
        <v>1.0</v>
      </c>
      <c r="E1746" s="101">
        <v>89.0</v>
      </c>
      <c r="F1746" s="101">
        <f t="shared" si="298"/>
        <v>89</v>
      </c>
      <c r="G1746" s="101">
        <f t="shared" si="299"/>
        <v>29.66666667</v>
      </c>
      <c r="H1746" s="95" t="s">
        <v>2141</v>
      </c>
      <c r="J1746" s="120" t="s">
        <v>2142</v>
      </c>
      <c r="K1746" s="99"/>
      <c r="L1746" s="50"/>
      <c r="M1746" s="50"/>
      <c r="P1746" s="68"/>
    </row>
    <row r="1747">
      <c r="A1747" s="95">
        <v>9.3637852999E10</v>
      </c>
      <c r="B1747" s="151" t="s">
        <v>2145</v>
      </c>
      <c r="C1747" s="95" t="s">
        <v>97</v>
      </c>
      <c r="D1747" s="95">
        <v>1.0</v>
      </c>
      <c r="E1747" s="101">
        <v>79.0</v>
      </c>
      <c r="F1747" s="101">
        <f t="shared" si="298"/>
        <v>79</v>
      </c>
      <c r="G1747" s="101">
        <f t="shared" si="299"/>
        <v>26.33333333</v>
      </c>
      <c r="H1747" s="95" t="s">
        <v>2141</v>
      </c>
      <c r="J1747" s="120" t="s">
        <v>2142</v>
      </c>
      <c r="K1747" s="99"/>
      <c r="L1747" s="50"/>
      <c r="M1747" s="50"/>
      <c r="P1747" s="68"/>
    </row>
    <row r="1748">
      <c r="A1748" s="95">
        <v>9.3638327779E10</v>
      </c>
      <c r="B1748" s="151" t="s">
        <v>2146</v>
      </c>
      <c r="C1748" s="95" t="s">
        <v>97</v>
      </c>
      <c r="D1748" s="95">
        <v>1.0</v>
      </c>
      <c r="E1748" s="101">
        <v>79.0</v>
      </c>
      <c r="F1748" s="101">
        <f t="shared" si="298"/>
        <v>79</v>
      </c>
      <c r="G1748" s="101">
        <f t="shared" si="299"/>
        <v>26.33333333</v>
      </c>
      <c r="H1748" s="95" t="s">
        <v>2141</v>
      </c>
      <c r="J1748" s="120" t="s">
        <v>2142</v>
      </c>
      <c r="K1748" s="99"/>
      <c r="L1748" s="50"/>
      <c r="M1748" s="50"/>
      <c r="P1748" s="68"/>
    </row>
    <row r="1749">
      <c r="A1749" s="95">
        <v>9.3638328035E10</v>
      </c>
      <c r="B1749" s="151" t="s">
        <v>2147</v>
      </c>
      <c r="C1749" s="95" t="s">
        <v>97</v>
      </c>
      <c r="D1749" s="95">
        <v>1.0</v>
      </c>
      <c r="E1749" s="101">
        <v>79.0</v>
      </c>
      <c r="F1749" s="101">
        <f t="shared" si="298"/>
        <v>79</v>
      </c>
      <c r="G1749" s="101">
        <f t="shared" si="299"/>
        <v>26.33333333</v>
      </c>
      <c r="H1749" s="95" t="s">
        <v>2141</v>
      </c>
      <c r="J1749" s="120" t="s">
        <v>2142</v>
      </c>
      <c r="K1749" s="99"/>
      <c r="L1749" s="50"/>
      <c r="M1749" s="50"/>
      <c r="P1749" s="68"/>
    </row>
    <row r="1750">
      <c r="A1750" s="95">
        <v>7.27684751812E11</v>
      </c>
      <c r="B1750" s="151" t="s">
        <v>2148</v>
      </c>
      <c r="C1750" s="95" t="s">
        <v>97</v>
      </c>
      <c r="D1750" s="95">
        <v>1.0</v>
      </c>
      <c r="E1750" s="101">
        <v>69.0</v>
      </c>
      <c r="F1750" s="101">
        <f t="shared" si="298"/>
        <v>69</v>
      </c>
      <c r="G1750" s="101">
        <f t="shared" si="299"/>
        <v>23</v>
      </c>
      <c r="H1750" s="95" t="s">
        <v>2141</v>
      </c>
      <c r="J1750" s="120" t="s">
        <v>2142</v>
      </c>
      <c r="K1750" s="99"/>
      <c r="L1750" s="50"/>
      <c r="M1750" s="50"/>
      <c r="P1750" s="68"/>
    </row>
    <row r="1751">
      <c r="A1751" s="95">
        <v>7.27684758903E11</v>
      </c>
      <c r="B1751" s="151" t="s">
        <v>2149</v>
      </c>
      <c r="C1751" s="95" t="s">
        <v>97</v>
      </c>
      <c r="D1751" s="95">
        <v>1.0</v>
      </c>
      <c r="E1751" s="101">
        <v>79.0</v>
      </c>
      <c r="F1751" s="101">
        <f t="shared" si="298"/>
        <v>79</v>
      </c>
      <c r="G1751" s="101">
        <f t="shared" si="299"/>
        <v>26.33333333</v>
      </c>
      <c r="H1751" s="95" t="s">
        <v>2141</v>
      </c>
      <c r="J1751" s="120" t="s">
        <v>2142</v>
      </c>
      <c r="K1751" s="99"/>
      <c r="L1751" s="50"/>
      <c r="M1751" s="50"/>
      <c r="P1751" s="68"/>
    </row>
    <row r="1752">
      <c r="A1752" s="95">
        <v>7.36703503868E11</v>
      </c>
      <c r="B1752" s="151" t="s">
        <v>2150</v>
      </c>
      <c r="C1752" s="95" t="s">
        <v>97</v>
      </c>
      <c r="D1752" s="95">
        <v>1.0</v>
      </c>
      <c r="E1752" s="101">
        <v>119.0</v>
      </c>
      <c r="F1752" s="101">
        <f t="shared" si="298"/>
        <v>119</v>
      </c>
      <c r="G1752" s="101">
        <f t="shared" si="299"/>
        <v>39.66666667</v>
      </c>
      <c r="H1752" s="95" t="s">
        <v>2141</v>
      </c>
      <c r="J1752" s="120" t="s">
        <v>2142</v>
      </c>
      <c r="K1752" s="99"/>
      <c r="L1752" s="50"/>
      <c r="M1752" s="50"/>
      <c r="P1752" s="68"/>
    </row>
    <row r="1753">
      <c r="A1753" s="95">
        <v>7.3670511091E11</v>
      </c>
      <c r="B1753" s="151" t="s">
        <v>2151</v>
      </c>
      <c r="C1753" s="95" t="s">
        <v>97</v>
      </c>
      <c r="D1753" s="95">
        <v>1.0</v>
      </c>
      <c r="E1753" s="101">
        <v>110.0</v>
      </c>
      <c r="F1753" s="101">
        <f t="shared" si="298"/>
        <v>110</v>
      </c>
      <c r="G1753" s="101">
        <f t="shared" si="299"/>
        <v>36.66666667</v>
      </c>
      <c r="H1753" s="95" t="s">
        <v>2141</v>
      </c>
      <c r="J1753" s="120" t="s">
        <v>2142</v>
      </c>
      <c r="K1753" s="99"/>
      <c r="L1753" s="50"/>
      <c r="M1753" s="50"/>
      <c r="P1753" s="68"/>
    </row>
    <row r="1754">
      <c r="A1754" s="95">
        <v>7.36709315755E11</v>
      </c>
      <c r="B1754" s="151" t="s">
        <v>2152</v>
      </c>
      <c r="C1754" s="95" t="s">
        <v>97</v>
      </c>
      <c r="D1754" s="95">
        <v>1.0</v>
      </c>
      <c r="E1754" s="101">
        <v>79.0</v>
      </c>
      <c r="F1754" s="101">
        <f t="shared" si="298"/>
        <v>79</v>
      </c>
      <c r="G1754" s="101">
        <f t="shared" si="299"/>
        <v>26.33333333</v>
      </c>
      <c r="H1754" s="95" t="s">
        <v>2141</v>
      </c>
      <c r="J1754" s="120" t="s">
        <v>2142</v>
      </c>
      <c r="K1754" s="99"/>
      <c r="L1754" s="50"/>
      <c r="M1754" s="50"/>
      <c r="P1754" s="68"/>
    </row>
    <row r="1755">
      <c r="A1755" s="95">
        <v>7.36712696865E11</v>
      </c>
      <c r="B1755" s="151" t="s">
        <v>2153</v>
      </c>
      <c r="C1755" s="95" t="s">
        <v>97</v>
      </c>
      <c r="D1755" s="95">
        <v>1.0</v>
      </c>
      <c r="E1755" s="101">
        <v>110.0</v>
      </c>
      <c r="F1755" s="101">
        <f t="shared" si="298"/>
        <v>110</v>
      </c>
      <c r="G1755" s="101">
        <f t="shared" si="299"/>
        <v>36.66666667</v>
      </c>
      <c r="H1755" s="95" t="s">
        <v>2141</v>
      </c>
      <c r="J1755" s="120" t="s">
        <v>2142</v>
      </c>
      <c r="K1755" s="99"/>
      <c r="L1755" s="50"/>
      <c r="M1755" s="50"/>
      <c r="P1755" s="68"/>
    </row>
    <row r="1756">
      <c r="A1756" s="95">
        <v>7.36713347032E11</v>
      </c>
      <c r="B1756" s="151" t="s">
        <v>2154</v>
      </c>
      <c r="C1756" s="95" t="s">
        <v>97</v>
      </c>
      <c r="D1756" s="95">
        <v>1.0</v>
      </c>
      <c r="E1756" s="101">
        <v>120.0</v>
      </c>
      <c r="F1756" s="101">
        <f t="shared" si="298"/>
        <v>120</v>
      </c>
      <c r="G1756" s="101">
        <f t="shared" si="299"/>
        <v>40</v>
      </c>
      <c r="H1756" s="95" t="s">
        <v>2141</v>
      </c>
      <c r="J1756" s="120" t="s">
        <v>2142</v>
      </c>
      <c r="K1756" s="99"/>
      <c r="L1756" s="50"/>
      <c r="M1756" s="50"/>
      <c r="P1756" s="68"/>
    </row>
    <row r="1757">
      <c r="A1757" s="95">
        <v>7.36716326683E11</v>
      </c>
      <c r="B1757" s="151" t="s">
        <v>2155</v>
      </c>
      <c r="C1757" s="95" t="s">
        <v>97</v>
      </c>
      <c r="D1757" s="95">
        <v>1.0</v>
      </c>
      <c r="E1757" s="101">
        <v>79.0</v>
      </c>
      <c r="F1757" s="101">
        <f t="shared" si="298"/>
        <v>79</v>
      </c>
      <c r="G1757" s="101">
        <f t="shared" si="299"/>
        <v>26.33333333</v>
      </c>
      <c r="H1757" s="95" t="s">
        <v>2141</v>
      </c>
      <c r="J1757" s="120" t="s">
        <v>2142</v>
      </c>
      <c r="K1757" s="99"/>
      <c r="L1757" s="50"/>
      <c r="M1757" s="50"/>
      <c r="P1757" s="68"/>
    </row>
    <row r="1758">
      <c r="A1758" s="95">
        <v>7.36716910035E11</v>
      </c>
      <c r="B1758" s="151" t="s">
        <v>2156</v>
      </c>
      <c r="C1758" s="95" t="s">
        <v>97</v>
      </c>
      <c r="D1758" s="95">
        <v>1.0</v>
      </c>
      <c r="E1758" s="101">
        <v>99.0</v>
      </c>
      <c r="F1758" s="101">
        <f t="shared" si="298"/>
        <v>99</v>
      </c>
      <c r="G1758" s="101">
        <f t="shared" si="299"/>
        <v>33</v>
      </c>
      <c r="H1758" s="95" t="s">
        <v>2141</v>
      </c>
      <c r="J1758" s="120" t="s">
        <v>2142</v>
      </c>
      <c r="K1758" s="99"/>
      <c r="L1758" s="50"/>
      <c r="M1758" s="50"/>
      <c r="P1758" s="68"/>
    </row>
    <row r="1759">
      <c r="A1759" s="95">
        <v>7.48149041644E11</v>
      </c>
      <c r="B1759" s="151" t="s">
        <v>2157</v>
      </c>
      <c r="C1759" s="95" t="s">
        <v>97</v>
      </c>
      <c r="D1759" s="95">
        <v>2.0</v>
      </c>
      <c r="E1759" s="101">
        <v>99.0</v>
      </c>
      <c r="F1759" s="101">
        <f t="shared" si="298"/>
        <v>198</v>
      </c>
      <c r="G1759" s="101">
        <f t="shared" si="299"/>
        <v>66</v>
      </c>
      <c r="H1759" s="95" t="s">
        <v>2141</v>
      </c>
      <c r="J1759" s="120" t="s">
        <v>2142</v>
      </c>
      <c r="K1759" s="99"/>
      <c r="L1759" s="50"/>
      <c r="M1759" s="50"/>
      <c r="P1759" s="68"/>
    </row>
    <row r="1760">
      <c r="A1760" s="95">
        <v>7.4814940504E11</v>
      </c>
      <c r="B1760" s="151" t="s">
        <v>2158</v>
      </c>
      <c r="C1760" s="95" t="s">
        <v>97</v>
      </c>
      <c r="D1760" s="95">
        <v>1.0</v>
      </c>
      <c r="E1760" s="101">
        <v>99.0</v>
      </c>
      <c r="F1760" s="101">
        <f t="shared" si="298"/>
        <v>99</v>
      </c>
      <c r="G1760" s="101">
        <f t="shared" si="299"/>
        <v>33</v>
      </c>
      <c r="H1760" s="95" t="s">
        <v>2141</v>
      </c>
      <c r="J1760" s="120" t="s">
        <v>2142</v>
      </c>
      <c r="K1760" s="99"/>
      <c r="L1760" s="50"/>
      <c r="M1760" s="50"/>
      <c r="P1760" s="68"/>
    </row>
    <row r="1761">
      <c r="A1761" s="95">
        <v>7.48149405163E11</v>
      </c>
      <c r="B1761" s="151" t="s">
        <v>2159</v>
      </c>
      <c r="C1761" s="95" t="s">
        <v>97</v>
      </c>
      <c r="D1761" s="95">
        <v>1.0</v>
      </c>
      <c r="E1761" s="101">
        <v>99.0</v>
      </c>
      <c r="F1761" s="101">
        <f t="shared" si="298"/>
        <v>99</v>
      </c>
      <c r="G1761" s="101">
        <f t="shared" si="299"/>
        <v>33</v>
      </c>
      <c r="H1761" s="95" t="s">
        <v>2141</v>
      </c>
      <c r="J1761" s="120" t="s">
        <v>2142</v>
      </c>
      <c r="K1761" s="99"/>
      <c r="L1761" s="50"/>
      <c r="M1761" s="50"/>
      <c r="P1761" s="68"/>
    </row>
    <row r="1762">
      <c r="A1762" s="95">
        <v>7.48149906363E11</v>
      </c>
      <c r="B1762" s="151" t="s">
        <v>2160</v>
      </c>
      <c r="C1762" s="95" t="s">
        <v>97</v>
      </c>
      <c r="D1762" s="95">
        <v>1.0</v>
      </c>
      <c r="E1762" s="101">
        <v>110.0</v>
      </c>
      <c r="F1762" s="101">
        <f t="shared" si="298"/>
        <v>110</v>
      </c>
      <c r="G1762" s="101">
        <f t="shared" si="299"/>
        <v>36.66666667</v>
      </c>
      <c r="H1762" s="95" t="s">
        <v>2141</v>
      </c>
      <c r="J1762" s="120" t="s">
        <v>2142</v>
      </c>
      <c r="K1762" s="99"/>
      <c r="L1762" s="50"/>
      <c r="M1762" s="50"/>
      <c r="P1762" s="68"/>
    </row>
    <row r="1763">
      <c r="A1763" s="231" t="s">
        <v>224</v>
      </c>
      <c r="B1763" s="231" t="s">
        <v>2161</v>
      </c>
      <c r="C1763" s="234" t="str">
        <f>MID($B1763,6,7)</f>
        <v>CL18773</v>
      </c>
      <c r="D1763" s="231"/>
      <c r="E1763" s="231"/>
      <c r="F1763" s="231"/>
      <c r="G1763" s="231"/>
      <c r="H1763" s="235">
        <v>44559.0</v>
      </c>
      <c r="J1763" s="108" t="str">
        <f>IF(LEFT(B1763,3)="Box","BOX","COUNT")</f>
        <v>BOX</v>
      </c>
      <c r="K1763" s="99">
        <f>SUMIF($J$4:$J$8712,$C1763,$D$4:$D$8712)</f>
        <v>20</v>
      </c>
      <c r="L1763" s="50">
        <f>SUMIF($J$4:$J$8712,$C1763,$F$4:$F$8712)</f>
        <v>1894.99</v>
      </c>
      <c r="M1763" s="50">
        <f>SUMIF($J$4:$J$8712,$C1763,$G$4:$G$8712)</f>
        <v>631.6633333</v>
      </c>
      <c r="N1763" s="70" t="str">
        <f>C1763</f>
        <v>CL18773</v>
      </c>
      <c r="O1763" s="70" t="str">
        <f>J1764</f>
        <v>NSHIP</v>
      </c>
      <c r="P1763" s="68">
        <f>M1763</f>
        <v>631.6633333</v>
      </c>
      <c r="Q1763" s="168">
        <v>44502.0</v>
      </c>
      <c r="R1763" s="37" t="s">
        <v>2124</v>
      </c>
      <c r="S1763" s="37" t="s">
        <v>2125</v>
      </c>
    </row>
    <row r="1764">
      <c r="A1764" s="211"/>
      <c r="B1764" s="231"/>
      <c r="C1764" s="109"/>
      <c r="D1764" s="109"/>
      <c r="E1764" s="116"/>
      <c r="F1764" s="116"/>
      <c r="G1764" s="116"/>
      <c r="H1764" s="109"/>
      <c r="J1764" s="108" t="str">
        <f>IF(B1764="","NSHIP","SHIP")</f>
        <v>NSHIP</v>
      </c>
      <c r="K1764" s="99">
        <f>IF($J1764="NSHIP",0,-SUMIF($J$4:$J$8712,$C1763,$D$4:$D$8712))</f>
        <v>0</v>
      </c>
      <c r="L1764" s="50">
        <f>IF($J1764="NSHIP",0,-SUMIF($J$4:$J$8710,$C1763,$F$4:$F$8710))</f>
        <v>0</v>
      </c>
      <c r="M1764" s="50">
        <f>IF($J1764="NSHIP",0,-SUMIF($J$4:$J$8710,$C1763,$G$4:$G$8710))</f>
        <v>0</v>
      </c>
      <c r="P1764" s="68"/>
    </row>
    <row r="1765">
      <c r="A1765" s="95">
        <v>1.93289459048E11</v>
      </c>
      <c r="B1765" s="151" t="s">
        <v>2162</v>
      </c>
      <c r="C1765" s="95" t="s">
        <v>97</v>
      </c>
      <c r="D1765" s="95">
        <v>1.0</v>
      </c>
      <c r="E1765" s="101">
        <v>75.0</v>
      </c>
      <c r="F1765" s="101">
        <f t="shared" ref="F1765:F1775" si="300">E1765*D1765</f>
        <v>75</v>
      </c>
      <c r="G1765" s="101">
        <f t="shared" ref="G1765:G1775" si="301">F1765/3</f>
        <v>25</v>
      </c>
      <c r="H1765" s="95" t="s">
        <v>2163</v>
      </c>
      <c r="J1765" s="120" t="s">
        <v>2164</v>
      </c>
      <c r="K1765" s="99"/>
      <c r="L1765" s="50"/>
      <c r="M1765" s="50"/>
      <c r="P1765" s="68"/>
    </row>
    <row r="1766">
      <c r="A1766" s="95">
        <v>1.93289459055E11</v>
      </c>
      <c r="B1766" s="151" t="s">
        <v>2165</v>
      </c>
      <c r="C1766" s="95" t="s">
        <v>97</v>
      </c>
      <c r="D1766" s="95">
        <v>1.0</v>
      </c>
      <c r="E1766" s="101">
        <v>75.0</v>
      </c>
      <c r="F1766" s="101">
        <f t="shared" si="300"/>
        <v>75</v>
      </c>
      <c r="G1766" s="101">
        <f t="shared" si="301"/>
        <v>25</v>
      </c>
      <c r="H1766" s="95" t="s">
        <v>2163</v>
      </c>
      <c r="J1766" s="120" t="s">
        <v>2164</v>
      </c>
      <c r="K1766" s="99"/>
      <c r="L1766" s="50"/>
      <c r="M1766" s="50"/>
      <c r="P1766" s="68"/>
    </row>
    <row r="1767">
      <c r="A1767" s="95">
        <v>1.94764182888E11</v>
      </c>
      <c r="B1767" s="151" t="s">
        <v>2166</v>
      </c>
      <c r="C1767" s="95" t="s">
        <v>97</v>
      </c>
      <c r="D1767" s="95">
        <v>1.0</v>
      </c>
      <c r="E1767" s="101">
        <v>59.0</v>
      </c>
      <c r="F1767" s="101">
        <f t="shared" si="300"/>
        <v>59</v>
      </c>
      <c r="G1767" s="101">
        <f t="shared" si="301"/>
        <v>19.66666667</v>
      </c>
      <c r="H1767" s="95" t="s">
        <v>2163</v>
      </c>
      <c r="J1767" s="120" t="s">
        <v>2164</v>
      </c>
      <c r="K1767" s="99"/>
      <c r="L1767" s="50"/>
      <c r="M1767" s="50"/>
      <c r="P1767" s="68"/>
    </row>
    <row r="1768">
      <c r="A1768" s="95">
        <v>6.16693665985E11</v>
      </c>
      <c r="B1768" s="151" t="s">
        <v>2167</v>
      </c>
      <c r="C1768" s="95" t="s">
        <v>97</v>
      </c>
      <c r="D1768" s="95">
        <v>1.0</v>
      </c>
      <c r="E1768" s="101">
        <v>75.0</v>
      </c>
      <c r="F1768" s="101">
        <f t="shared" si="300"/>
        <v>75</v>
      </c>
      <c r="G1768" s="101">
        <f t="shared" si="301"/>
        <v>25</v>
      </c>
      <c r="H1768" s="95" t="s">
        <v>2163</v>
      </c>
      <c r="J1768" s="120" t="s">
        <v>2164</v>
      </c>
      <c r="K1768" s="99"/>
      <c r="L1768" s="50"/>
      <c r="M1768" s="50"/>
      <c r="P1768" s="68"/>
    </row>
    <row r="1769">
      <c r="A1769" s="95">
        <v>7.40356729483E11</v>
      </c>
      <c r="B1769" s="151" t="s">
        <v>2168</v>
      </c>
      <c r="C1769" s="95" t="s">
        <v>97</v>
      </c>
      <c r="D1769" s="95">
        <v>1.0</v>
      </c>
      <c r="E1769" s="101">
        <v>79.0</v>
      </c>
      <c r="F1769" s="101">
        <f t="shared" si="300"/>
        <v>79</v>
      </c>
      <c r="G1769" s="101">
        <f t="shared" si="301"/>
        <v>26.33333333</v>
      </c>
      <c r="H1769" s="95" t="s">
        <v>2163</v>
      </c>
      <c r="J1769" s="120" t="s">
        <v>2164</v>
      </c>
      <c r="K1769" s="99"/>
      <c r="L1769" s="50"/>
      <c r="M1769" s="50"/>
      <c r="P1769" s="68"/>
    </row>
    <row r="1770">
      <c r="A1770" s="95">
        <v>7.40372956818E11</v>
      </c>
      <c r="B1770" s="151" t="s">
        <v>2169</v>
      </c>
      <c r="C1770" s="95" t="s">
        <v>97</v>
      </c>
      <c r="D1770" s="95">
        <v>1.0</v>
      </c>
      <c r="E1770" s="101">
        <v>79.0</v>
      </c>
      <c r="F1770" s="101">
        <f t="shared" si="300"/>
        <v>79</v>
      </c>
      <c r="G1770" s="101">
        <f t="shared" si="301"/>
        <v>26.33333333</v>
      </c>
      <c r="H1770" s="95" t="s">
        <v>2163</v>
      </c>
      <c r="J1770" s="120" t="s">
        <v>2164</v>
      </c>
      <c r="K1770" s="99"/>
      <c r="L1770" s="50"/>
      <c r="M1770" s="50"/>
      <c r="P1770" s="68"/>
    </row>
    <row r="1771">
      <c r="A1771" s="95">
        <v>8.84571147728E11</v>
      </c>
      <c r="B1771" s="151" t="s">
        <v>2170</v>
      </c>
      <c r="C1771" s="95" t="s">
        <v>97</v>
      </c>
      <c r="D1771" s="95">
        <v>1.0</v>
      </c>
      <c r="E1771" s="101">
        <v>139.0</v>
      </c>
      <c r="F1771" s="101">
        <f t="shared" si="300"/>
        <v>139</v>
      </c>
      <c r="G1771" s="101">
        <f t="shared" si="301"/>
        <v>46.33333333</v>
      </c>
      <c r="H1771" s="95" t="s">
        <v>2163</v>
      </c>
      <c r="J1771" s="120" t="s">
        <v>2164</v>
      </c>
      <c r="K1771" s="99"/>
      <c r="L1771" s="50"/>
      <c r="M1771" s="50"/>
      <c r="P1771" s="68"/>
    </row>
    <row r="1772">
      <c r="A1772" s="95">
        <v>8.84571147735E11</v>
      </c>
      <c r="B1772" s="151" t="s">
        <v>2170</v>
      </c>
      <c r="C1772" s="95" t="s">
        <v>97</v>
      </c>
      <c r="D1772" s="95">
        <v>1.0</v>
      </c>
      <c r="E1772" s="101">
        <v>139.0</v>
      </c>
      <c r="F1772" s="101">
        <f t="shared" si="300"/>
        <v>139</v>
      </c>
      <c r="G1772" s="101">
        <f t="shared" si="301"/>
        <v>46.33333333</v>
      </c>
      <c r="H1772" s="95" t="s">
        <v>2163</v>
      </c>
      <c r="J1772" s="120" t="s">
        <v>2164</v>
      </c>
      <c r="K1772" s="99"/>
      <c r="L1772" s="50"/>
      <c r="M1772" s="50"/>
      <c r="P1772" s="68"/>
    </row>
    <row r="1773">
      <c r="A1773" s="95">
        <v>8.84571147773E11</v>
      </c>
      <c r="B1773" s="151" t="s">
        <v>2170</v>
      </c>
      <c r="C1773" s="95" t="s">
        <v>97</v>
      </c>
      <c r="D1773" s="95">
        <v>1.0</v>
      </c>
      <c r="E1773" s="101">
        <v>139.0</v>
      </c>
      <c r="F1773" s="101">
        <f t="shared" si="300"/>
        <v>139</v>
      </c>
      <c r="G1773" s="101">
        <f t="shared" si="301"/>
        <v>46.33333333</v>
      </c>
      <c r="H1773" s="95" t="s">
        <v>2163</v>
      </c>
      <c r="J1773" s="120" t="s">
        <v>2164</v>
      </c>
      <c r="K1773" s="99"/>
      <c r="L1773" s="50"/>
      <c r="M1773" s="50"/>
      <c r="P1773" s="68"/>
    </row>
    <row r="1774">
      <c r="A1774" s="95">
        <v>8.8457114778E11</v>
      </c>
      <c r="B1774" s="151" t="s">
        <v>2170</v>
      </c>
      <c r="C1774" s="95" t="s">
        <v>97</v>
      </c>
      <c r="D1774" s="95">
        <v>1.0</v>
      </c>
      <c r="E1774" s="101">
        <v>139.0</v>
      </c>
      <c r="F1774" s="101">
        <f t="shared" si="300"/>
        <v>139</v>
      </c>
      <c r="G1774" s="101">
        <f t="shared" si="301"/>
        <v>46.33333333</v>
      </c>
      <c r="H1774" s="95" t="s">
        <v>2163</v>
      </c>
      <c r="J1774" s="120" t="s">
        <v>2164</v>
      </c>
      <c r="K1774" s="99"/>
      <c r="L1774" s="50"/>
      <c r="M1774" s="50"/>
      <c r="P1774" s="68"/>
    </row>
    <row r="1775">
      <c r="A1775" s="95">
        <v>8.86063805123E11</v>
      </c>
      <c r="B1775" s="151" t="s">
        <v>2171</v>
      </c>
      <c r="C1775" s="95" t="s">
        <v>97</v>
      </c>
      <c r="D1775" s="95">
        <v>1.0</v>
      </c>
      <c r="E1775" s="101">
        <v>89.0</v>
      </c>
      <c r="F1775" s="101">
        <f t="shared" si="300"/>
        <v>89</v>
      </c>
      <c r="G1775" s="101">
        <f t="shared" si="301"/>
        <v>29.66666667</v>
      </c>
      <c r="H1775" s="95" t="s">
        <v>2163</v>
      </c>
      <c r="J1775" s="120" t="s">
        <v>2164</v>
      </c>
      <c r="K1775" s="99"/>
      <c r="L1775" s="50"/>
      <c r="M1775" s="50"/>
      <c r="P1775" s="68"/>
    </row>
    <row r="1776">
      <c r="A1776" s="231" t="s">
        <v>267</v>
      </c>
      <c r="B1776" s="231" t="s">
        <v>2172</v>
      </c>
      <c r="C1776" s="234" t="str">
        <f>MID($B1776,6,7)</f>
        <v>CL18774</v>
      </c>
      <c r="D1776" s="231"/>
      <c r="E1776" s="231"/>
      <c r="F1776" s="231"/>
      <c r="G1776" s="231"/>
      <c r="H1776" s="235">
        <v>44559.0</v>
      </c>
      <c r="J1776" s="108" t="str">
        <f>IF(LEFT(B1776,3)="Box","BOX","COUNT")</f>
        <v>BOX</v>
      </c>
      <c r="K1776" s="99">
        <f>SUMIF($J$4:$J$8712,$C1776,$D$4:$D$8712)</f>
        <v>11</v>
      </c>
      <c r="L1776" s="50">
        <f>SUMIF($J$4:$J$8712,$C1776,$F$4:$F$8712)</f>
        <v>1087</v>
      </c>
      <c r="M1776" s="50">
        <f>SUMIF($J$4:$J$8712,$C1776,$G$4:$G$8712)</f>
        <v>362.3333333</v>
      </c>
      <c r="N1776" s="70" t="str">
        <f>C1776</f>
        <v>CL18774</v>
      </c>
      <c r="O1776" s="70" t="str">
        <f>J1777</f>
        <v>NSHIP</v>
      </c>
      <c r="P1776" s="68">
        <f>M1776</f>
        <v>362.3333333</v>
      </c>
      <c r="Q1776" s="168">
        <v>44502.0</v>
      </c>
      <c r="R1776" s="37" t="s">
        <v>2124</v>
      </c>
      <c r="S1776" s="37" t="s">
        <v>2125</v>
      </c>
    </row>
    <row r="1777">
      <c r="A1777" s="211"/>
      <c r="B1777" s="231"/>
      <c r="C1777" s="109"/>
      <c r="D1777" s="109"/>
      <c r="E1777" s="116"/>
      <c r="F1777" s="116"/>
      <c r="G1777" s="116"/>
      <c r="H1777" s="109"/>
      <c r="J1777" s="108" t="str">
        <f>IF(B1777="","NSHIP","SHIP")</f>
        <v>NSHIP</v>
      </c>
      <c r="K1777" s="99">
        <f>IF($J1777="NSHIP",0,-SUMIF($J$4:$J$8712,$C1776,$D$4:$D$8712))</f>
        <v>0</v>
      </c>
      <c r="L1777" s="50">
        <f>IF($J1777="NSHIP",0,-SUMIF($J$4:$J$8710,$C1776,$F$4:$F$8710))</f>
        <v>0</v>
      </c>
      <c r="M1777" s="50">
        <f>IF($J1777="NSHIP",0,-SUMIF($J$4:$J$8710,$C1776,$G$4:$G$8710))</f>
        <v>0</v>
      </c>
      <c r="P1777" s="68"/>
    </row>
    <row r="1778">
      <c r="A1778" s="95">
        <v>1.92814068991E11</v>
      </c>
      <c r="B1778" s="245" t="s">
        <v>2173</v>
      </c>
      <c r="C1778" s="95" t="s">
        <v>97</v>
      </c>
      <c r="D1778" s="95">
        <v>1.0</v>
      </c>
      <c r="E1778" s="101">
        <v>85.0</v>
      </c>
      <c r="F1778" s="101">
        <f t="shared" ref="F1778:F1783" si="302">E1778*D1778</f>
        <v>85</v>
      </c>
      <c r="G1778" s="101">
        <f t="shared" ref="G1778:G1783" si="303">F1778/3</f>
        <v>28.33333333</v>
      </c>
      <c r="H1778" s="95" t="s">
        <v>2174</v>
      </c>
      <c r="J1778" s="120" t="s">
        <v>2175</v>
      </c>
      <c r="K1778" s="99"/>
      <c r="L1778" s="50"/>
      <c r="M1778" s="50"/>
      <c r="P1778" s="68"/>
    </row>
    <row r="1779">
      <c r="A1779" s="95">
        <v>1.92814069028E11</v>
      </c>
      <c r="B1779" s="245" t="s">
        <v>2176</v>
      </c>
      <c r="C1779" s="95" t="s">
        <v>97</v>
      </c>
      <c r="D1779" s="95">
        <v>1.0</v>
      </c>
      <c r="E1779" s="101">
        <v>85.0</v>
      </c>
      <c r="F1779" s="101">
        <f t="shared" si="302"/>
        <v>85</v>
      </c>
      <c r="G1779" s="101">
        <f t="shared" si="303"/>
        <v>28.33333333</v>
      </c>
      <c r="H1779" s="95" t="s">
        <v>2174</v>
      </c>
      <c r="J1779" s="120" t="s">
        <v>2175</v>
      </c>
      <c r="K1779" s="99"/>
      <c r="L1779" s="50"/>
      <c r="M1779" s="50"/>
      <c r="P1779" s="68"/>
    </row>
    <row r="1780">
      <c r="A1780" s="95">
        <v>1.92814069059E11</v>
      </c>
      <c r="B1780" s="245" t="s">
        <v>2177</v>
      </c>
      <c r="C1780" s="95" t="s">
        <v>97</v>
      </c>
      <c r="D1780" s="95">
        <v>1.0</v>
      </c>
      <c r="E1780" s="101">
        <v>85.0</v>
      </c>
      <c r="F1780" s="101">
        <f t="shared" si="302"/>
        <v>85</v>
      </c>
      <c r="G1780" s="101">
        <f t="shared" si="303"/>
        <v>28.33333333</v>
      </c>
      <c r="H1780" s="95" t="s">
        <v>2174</v>
      </c>
      <c r="J1780" s="120" t="s">
        <v>2175</v>
      </c>
      <c r="K1780" s="99"/>
      <c r="L1780" s="50"/>
      <c r="M1780" s="50"/>
      <c r="P1780" s="68"/>
    </row>
    <row r="1781">
      <c r="A1781" s="95">
        <v>1.9281406908E11</v>
      </c>
      <c r="B1781" s="245" t="s">
        <v>2178</v>
      </c>
      <c r="C1781" s="95" t="s">
        <v>97</v>
      </c>
      <c r="D1781" s="95">
        <v>1.0</v>
      </c>
      <c r="E1781" s="101">
        <v>85.0</v>
      </c>
      <c r="F1781" s="101">
        <f t="shared" si="302"/>
        <v>85</v>
      </c>
      <c r="G1781" s="101">
        <f t="shared" si="303"/>
        <v>28.33333333</v>
      </c>
      <c r="H1781" s="95" t="s">
        <v>2174</v>
      </c>
      <c r="J1781" s="120" t="s">
        <v>2175</v>
      </c>
      <c r="K1781" s="99"/>
      <c r="L1781" s="50"/>
      <c r="M1781" s="50"/>
      <c r="P1781" s="68"/>
    </row>
    <row r="1782">
      <c r="A1782" s="95">
        <v>1.92814164617E11</v>
      </c>
      <c r="B1782" s="245" t="s">
        <v>2179</v>
      </c>
      <c r="C1782" s="95" t="s">
        <v>97</v>
      </c>
      <c r="D1782" s="95">
        <v>1.0</v>
      </c>
      <c r="E1782" s="101">
        <v>85.0</v>
      </c>
      <c r="F1782" s="101">
        <f t="shared" si="302"/>
        <v>85</v>
      </c>
      <c r="G1782" s="101">
        <f t="shared" si="303"/>
        <v>28.33333333</v>
      </c>
      <c r="H1782" s="95" t="s">
        <v>2174</v>
      </c>
      <c r="J1782" s="120" t="s">
        <v>2175</v>
      </c>
      <c r="K1782" s="99"/>
      <c r="L1782" s="50"/>
      <c r="M1782" s="50"/>
      <c r="P1782" s="68"/>
    </row>
    <row r="1783">
      <c r="A1783" s="95">
        <v>1.92814405673E11</v>
      </c>
      <c r="B1783" s="245" t="s">
        <v>2180</v>
      </c>
      <c r="C1783" s="95" t="s">
        <v>97</v>
      </c>
      <c r="D1783" s="95">
        <v>1.0</v>
      </c>
      <c r="E1783" s="101">
        <v>89.0</v>
      </c>
      <c r="F1783" s="101">
        <f t="shared" si="302"/>
        <v>89</v>
      </c>
      <c r="G1783" s="101">
        <f t="shared" si="303"/>
        <v>29.66666667</v>
      </c>
      <c r="H1783" s="95" t="s">
        <v>2174</v>
      </c>
      <c r="J1783" s="120" t="s">
        <v>2175</v>
      </c>
      <c r="K1783" s="99"/>
      <c r="L1783" s="50"/>
      <c r="M1783" s="50"/>
      <c r="P1783" s="68"/>
    </row>
    <row r="1784">
      <c r="A1784" s="102" t="s">
        <v>2181</v>
      </c>
      <c r="B1784" s="209" t="s">
        <v>2182</v>
      </c>
      <c r="C1784" s="104"/>
      <c r="D1784" s="104"/>
      <c r="E1784" s="105"/>
      <c r="F1784" s="106"/>
      <c r="G1784" s="106"/>
      <c r="H1784" s="107"/>
      <c r="J1784" s="108"/>
      <c r="K1784" s="99"/>
      <c r="L1784" s="50"/>
      <c r="M1784" s="50"/>
      <c r="P1784" s="68"/>
    </row>
    <row r="1785">
      <c r="A1785" s="95">
        <v>1.92814069059E11</v>
      </c>
      <c r="B1785" s="151" t="s">
        <v>2177</v>
      </c>
      <c r="C1785" s="95" t="s">
        <v>97</v>
      </c>
      <c r="D1785" s="95">
        <v>1.0</v>
      </c>
      <c r="E1785" s="101">
        <v>85.0</v>
      </c>
      <c r="F1785" s="101">
        <f>E1785*D1785</f>
        <v>85</v>
      </c>
      <c r="G1785" s="101">
        <f>F1785/3</f>
        <v>28.33333333</v>
      </c>
      <c r="H1785" s="95" t="s">
        <v>2174</v>
      </c>
      <c r="J1785" s="120" t="s">
        <v>2175</v>
      </c>
      <c r="K1785" s="99"/>
      <c r="L1785" s="50"/>
      <c r="M1785" s="50"/>
      <c r="P1785" s="68"/>
    </row>
    <row r="1786">
      <c r="A1786" s="102" t="s">
        <v>113</v>
      </c>
      <c r="B1786" s="209" t="s">
        <v>2183</v>
      </c>
      <c r="C1786" s="104"/>
      <c r="D1786" s="104"/>
      <c r="E1786" s="105"/>
      <c r="F1786" s="106"/>
      <c r="G1786" s="106"/>
      <c r="H1786" s="107"/>
      <c r="J1786" s="108"/>
      <c r="K1786" s="99"/>
      <c r="L1786" s="50"/>
      <c r="M1786" s="50"/>
      <c r="P1786" s="68"/>
    </row>
    <row r="1787">
      <c r="A1787" s="210">
        <v>2.901975452E10</v>
      </c>
      <c r="B1787" s="151" t="s">
        <v>2184</v>
      </c>
      <c r="C1787" s="95" t="s">
        <v>97</v>
      </c>
      <c r="D1787" s="95">
        <v>1.0</v>
      </c>
      <c r="E1787" s="101">
        <v>85.0</v>
      </c>
      <c r="F1787" s="101">
        <f t="shared" ref="F1787:F1788" si="304">E1787*D1787</f>
        <v>85</v>
      </c>
      <c r="G1787" s="101">
        <f t="shared" ref="G1787:G1788" si="305">F1787/3</f>
        <v>28.33333333</v>
      </c>
      <c r="H1787" s="95" t="s">
        <v>2174</v>
      </c>
      <c r="I1787" s="70" t="s">
        <v>1816</v>
      </c>
      <c r="J1787" s="120" t="s">
        <v>2175</v>
      </c>
      <c r="K1787" s="99"/>
      <c r="L1787" s="50"/>
      <c r="M1787" s="50"/>
      <c r="P1787" s="68"/>
    </row>
    <row r="1788">
      <c r="A1788" s="210">
        <v>1.92814557952E11</v>
      </c>
      <c r="B1788" s="151" t="s">
        <v>2185</v>
      </c>
      <c r="C1788" s="95" t="s">
        <v>97</v>
      </c>
      <c r="D1788" s="95">
        <v>1.0</v>
      </c>
      <c r="E1788" s="101">
        <v>149.0</v>
      </c>
      <c r="F1788" s="101">
        <f t="shared" si="304"/>
        <v>149</v>
      </c>
      <c r="G1788" s="101">
        <f t="shared" si="305"/>
        <v>49.66666667</v>
      </c>
      <c r="H1788" s="95" t="s">
        <v>2186</v>
      </c>
      <c r="I1788" s="70" t="s">
        <v>1816</v>
      </c>
      <c r="J1788" s="120" t="s">
        <v>2175</v>
      </c>
      <c r="K1788" s="99"/>
      <c r="L1788" s="50"/>
      <c r="M1788" s="50"/>
      <c r="P1788" s="68"/>
    </row>
    <row r="1789">
      <c r="A1789" s="111" t="s">
        <v>115</v>
      </c>
      <c r="B1789" s="111" t="s">
        <v>2187</v>
      </c>
      <c r="C1789" s="112" t="str">
        <f>MID($B1789,6,7)</f>
        <v>CL18775</v>
      </c>
      <c r="D1789" s="111"/>
      <c r="E1789" s="111"/>
      <c r="F1789" s="111"/>
      <c r="G1789" s="111"/>
      <c r="H1789" s="113">
        <v>44559.0</v>
      </c>
      <c r="J1789" s="108" t="str">
        <f>IF(LEFT(B1789,3)="Box","BOX","COUNT")</f>
        <v>BOX</v>
      </c>
      <c r="K1789" s="99">
        <f>SUMIF($J$4:$J$8712,$C1789,$D$4:$D$8712)</f>
        <v>9</v>
      </c>
      <c r="L1789" s="50">
        <f>SUMIF($J$4:$J$8712,$C1789,$F$4:$F$8712)</f>
        <v>833</v>
      </c>
      <c r="M1789" s="50">
        <f>SUMIF($J$4:$J$8712,$C1789,$G$4:$G$8712)</f>
        <v>277.6666667</v>
      </c>
      <c r="N1789" s="70" t="str">
        <f>C1789</f>
        <v>CL18775</v>
      </c>
      <c r="O1789" s="70" t="str">
        <f>J1790</f>
        <v>SHIP</v>
      </c>
      <c r="P1789" s="68">
        <f>M1789</f>
        <v>277.6666667</v>
      </c>
      <c r="Q1789" s="114">
        <v>44559.0</v>
      </c>
      <c r="R1789" s="37" t="s">
        <v>155</v>
      </c>
      <c r="S1789" s="37" t="s">
        <v>156</v>
      </c>
    </row>
    <row r="1790">
      <c r="A1790" s="211"/>
      <c r="B1790" s="111" t="s">
        <v>2188</v>
      </c>
      <c r="C1790" s="109"/>
      <c r="D1790" s="109"/>
      <c r="E1790" s="116"/>
      <c r="F1790" s="116"/>
      <c r="G1790" s="116"/>
      <c r="H1790" s="109"/>
      <c r="J1790" s="108" t="str">
        <f>IF(B1790="","NSHIP","SHIP")</f>
        <v>SHIP</v>
      </c>
      <c r="K1790" s="99">
        <f>IF($J1790="NSHIP",0,-SUMIF($J$4:$J$8712,$C1789,$D$4:$D$8712))</f>
        <v>-9</v>
      </c>
      <c r="L1790" s="50">
        <f>IF($J1790="NSHIP",0,-SUMIF($J$4:$J$8710,$C1789,$F$4:$F$8710))</f>
        <v>-833</v>
      </c>
      <c r="M1790" s="50">
        <f>IF($J1790="NSHIP",0,-SUMIF($J$4:$J$8710,$C1789,$G$4:$G$8710))</f>
        <v>-277.6666667</v>
      </c>
      <c r="P1790" s="68"/>
    </row>
    <row r="1791">
      <c r="A1791" s="95">
        <v>6.5946488273E11</v>
      </c>
      <c r="B1791" s="151" t="s">
        <v>2189</v>
      </c>
      <c r="C1791" s="95" t="s">
        <v>97</v>
      </c>
      <c r="D1791" s="95">
        <v>1.0</v>
      </c>
      <c r="E1791" s="101">
        <v>248.0</v>
      </c>
      <c r="F1791" s="101">
        <f t="shared" ref="F1791:F1793" si="306">E1791*D1791</f>
        <v>248</v>
      </c>
      <c r="G1791" s="101">
        <f t="shared" ref="G1791:G1793" si="307">F1791/3</f>
        <v>82.66666667</v>
      </c>
      <c r="H1791" s="95" t="s">
        <v>2190</v>
      </c>
      <c r="J1791" s="120" t="s">
        <v>2191</v>
      </c>
      <c r="K1791" s="99"/>
      <c r="L1791" s="50"/>
      <c r="M1791" s="50"/>
      <c r="P1791" s="68"/>
    </row>
    <row r="1792">
      <c r="A1792" s="95">
        <v>7.67883032039E11</v>
      </c>
      <c r="B1792" s="151" t="s">
        <v>2192</v>
      </c>
      <c r="C1792" s="95" t="s">
        <v>97</v>
      </c>
      <c r="D1792" s="95">
        <v>1.0</v>
      </c>
      <c r="E1792" s="101">
        <v>100.8</v>
      </c>
      <c r="F1792" s="101">
        <f t="shared" si="306"/>
        <v>100.8</v>
      </c>
      <c r="G1792" s="101">
        <f t="shared" si="307"/>
        <v>33.6</v>
      </c>
      <c r="H1792" s="95" t="s">
        <v>2190</v>
      </c>
      <c r="J1792" s="120" t="s">
        <v>2191</v>
      </c>
      <c r="K1792" s="99"/>
      <c r="L1792" s="50"/>
      <c r="M1792" s="50"/>
      <c r="P1792" s="68"/>
    </row>
    <row r="1793">
      <c r="A1793" s="95">
        <v>7.67883757628E11</v>
      </c>
      <c r="B1793" s="151" t="s">
        <v>2193</v>
      </c>
      <c r="C1793" s="95" t="s">
        <v>97</v>
      </c>
      <c r="D1793" s="95">
        <v>1.0</v>
      </c>
      <c r="E1793" s="101">
        <v>158.0</v>
      </c>
      <c r="F1793" s="101">
        <f t="shared" si="306"/>
        <v>158</v>
      </c>
      <c r="G1793" s="101">
        <f t="shared" si="307"/>
        <v>52.66666667</v>
      </c>
      <c r="H1793" s="95" t="s">
        <v>139</v>
      </c>
      <c r="J1793" s="120" t="s">
        <v>2191</v>
      </c>
      <c r="K1793" s="99"/>
      <c r="L1793" s="50"/>
      <c r="M1793" s="50"/>
      <c r="P1793" s="68"/>
    </row>
    <row r="1794">
      <c r="A1794" s="231" t="s">
        <v>132</v>
      </c>
      <c r="B1794" s="231" t="s">
        <v>2194</v>
      </c>
      <c r="C1794" s="234" t="str">
        <f>MID($B1794,6,7)</f>
        <v>CL18776</v>
      </c>
      <c r="D1794" s="231"/>
      <c r="E1794" s="231"/>
      <c r="F1794" s="231"/>
      <c r="G1794" s="231"/>
      <c r="H1794" s="235">
        <v>44559.0</v>
      </c>
      <c r="J1794" s="108" t="str">
        <f>IF(LEFT(B1794,3)="Box","BOX","COUNT")</f>
        <v>BOX</v>
      </c>
      <c r="K1794" s="99">
        <f>SUMIF($J$4:$J$8712,$C1794,$D$4:$D$8712)</f>
        <v>3</v>
      </c>
      <c r="L1794" s="50">
        <f>SUMIF($J$4:$J$8712,$C1794,$F$4:$F$8712)</f>
        <v>506.8</v>
      </c>
      <c r="M1794" s="50">
        <f>SUMIF($J$4:$J$8712,$C1794,$G$4:$G$8712)</f>
        <v>168.9333333</v>
      </c>
      <c r="N1794" s="70" t="str">
        <f>C1794</f>
        <v>CL18776</v>
      </c>
      <c r="O1794" s="70" t="str">
        <f>J1795</f>
        <v>NSHIP</v>
      </c>
      <c r="P1794" s="68">
        <f>M1794</f>
        <v>168.9333333</v>
      </c>
      <c r="Q1794" s="114">
        <v>44559.0</v>
      </c>
      <c r="R1794" s="37" t="s">
        <v>155</v>
      </c>
      <c r="S1794" s="37" t="s">
        <v>156</v>
      </c>
    </row>
    <row r="1795">
      <c r="A1795" s="211"/>
      <c r="B1795" s="231"/>
      <c r="C1795" s="109"/>
      <c r="D1795" s="109"/>
      <c r="E1795" s="116"/>
      <c r="F1795" s="116"/>
      <c r="G1795" s="116"/>
      <c r="H1795" s="109"/>
      <c r="J1795" s="108" t="str">
        <f>IF(B1795="","NSHIP","SHIP")</f>
        <v>NSHIP</v>
      </c>
      <c r="K1795" s="99">
        <f>IF($J1795="NSHIP",0,-SUMIF($J$4:$J$8712,$C1794,$D$4:$D$8712))</f>
        <v>0</v>
      </c>
      <c r="L1795" s="50">
        <f>IF($J1795="NSHIP",0,-SUMIF($J$4:$J$8710,$C1794,$F$4:$F$8710))</f>
        <v>0</v>
      </c>
      <c r="M1795" s="50">
        <f>IF($J1795="NSHIP",0,-SUMIF($J$4:$J$8710,$C1794,$G$4:$G$8710))</f>
        <v>0</v>
      </c>
      <c r="P1795" s="68"/>
    </row>
    <row r="1796">
      <c r="A1796" s="95">
        <v>1.92851176802E11</v>
      </c>
      <c r="B1796" s="151" t="s">
        <v>2195</v>
      </c>
      <c r="C1796" s="95" t="s">
        <v>97</v>
      </c>
      <c r="D1796" s="95">
        <v>1.0</v>
      </c>
      <c r="E1796" s="101">
        <v>45.0</v>
      </c>
      <c r="F1796" s="101">
        <f t="shared" ref="F1796:F1801" si="308">E1796*D1796</f>
        <v>45</v>
      </c>
      <c r="G1796" s="101">
        <f t="shared" ref="G1796:G1801" si="309">F1796/3</f>
        <v>15</v>
      </c>
      <c r="H1796" s="95" t="s">
        <v>2196</v>
      </c>
      <c r="J1796" s="120" t="s">
        <v>2197</v>
      </c>
      <c r="K1796" s="99"/>
      <c r="L1796" s="50"/>
      <c r="M1796" s="50"/>
      <c r="P1796" s="68"/>
    </row>
    <row r="1797">
      <c r="A1797" s="95">
        <v>1.93278129914E11</v>
      </c>
      <c r="B1797" s="151" t="s">
        <v>2198</v>
      </c>
      <c r="C1797" s="95" t="s">
        <v>97</v>
      </c>
      <c r="D1797" s="95">
        <v>1.0</v>
      </c>
      <c r="E1797" s="101">
        <v>49.0</v>
      </c>
      <c r="F1797" s="101">
        <f t="shared" si="308"/>
        <v>49</v>
      </c>
      <c r="G1797" s="101">
        <f t="shared" si="309"/>
        <v>16.33333333</v>
      </c>
      <c r="H1797" s="95" t="s">
        <v>2199</v>
      </c>
      <c r="J1797" s="120" t="s">
        <v>2197</v>
      </c>
      <c r="K1797" s="99"/>
      <c r="L1797" s="50"/>
      <c r="M1797" s="50"/>
      <c r="P1797" s="68"/>
    </row>
    <row r="1798">
      <c r="A1798" s="95">
        <v>1.94835710743E11</v>
      </c>
      <c r="B1798" s="151" t="s">
        <v>2200</v>
      </c>
      <c r="C1798" s="95" t="s">
        <v>97</v>
      </c>
      <c r="D1798" s="95">
        <v>1.0</v>
      </c>
      <c r="E1798" s="101">
        <v>99.0</v>
      </c>
      <c r="F1798" s="101">
        <f t="shared" si="308"/>
        <v>99</v>
      </c>
      <c r="G1798" s="101">
        <f t="shared" si="309"/>
        <v>33</v>
      </c>
      <c r="H1798" s="95" t="s">
        <v>2196</v>
      </c>
      <c r="J1798" s="120" t="s">
        <v>2197</v>
      </c>
      <c r="K1798" s="99"/>
      <c r="L1798" s="50"/>
      <c r="M1798" s="50"/>
      <c r="P1798" s="68"/>
    </row>
    <row r="1799">
      <c r="A1799" s="95">
        <v>1.94835983383E11</v>
      </c>
      <c r="B1799" s="151" t="s">
        <v>2201</v>
      </c>
      <c r="C1799" s="95" t="s">
        <v>97</v>
      </c>
      <c r="D1799" s="95">
        <v>1.0</v>
      </c>
      <c r="E1799" s="101">
        <v>69.0</v>
      </c>
      <c r="F1799" s="101">
        <f t="shared" si="308"/>
        <v>69</v>
      </c>
      <c r="G1799" s="101">
        <f t="shared" si="309"/>
        <v>23</v>
      </c>
      <c r="H1799" s="95" t="s">
        <v>2196</v>
      </c>
      <c r="J1799" s="120" t="s">
        <v>2197</v>
      </c>
      <c r="K1799" s="99"/>
      <c r="L1799" s="50"/>
      <c r="M1799" s="50"/>
      <c r="P1799" s="68"/>
    </row>
    <row r="1800">
      <c r="A1800" s="95">
        <v>8.84085505908E11</v>
      </c>
      <c r="B1800" s="151" t="s">
        <v>2202</v>
      </c>
      <c r="C1800" s="95" t="s">
        <v>97</v>
      </c>
      <c r="D1800" s="95">
        <v>1.0</v>
      </c>
      <c r="E1800" s="101">
        <v>39.0</v>
      </c>
      <c r="F1800" s="101">
        <f t="shared" si="308"/>
        <v>39</v>
      </c>
      <c r="G1800" s="101">
        <f t="shared" si="309"/>
        <v>13</v>
      </c>
      <c r="H1800" s="95" t="s">
        <v>2196</v>
      </c>
      <c r="J1800" s="120" t="s">
        <v>2197</v>
      </c>
      <c r="K1800" s="99"/>
      <c r="L1800" s="50"/>
      <c r="M1800" s="50"/>
      <c r="P1800" s="68"/>
    </row>
    <row r="1801">
      <c r="A1801" s="95">
        <v>8.84085849613E11</v>
      </c>
      <c r="B1801" s="151" t="s">
        <v>2203</v>
      </c>
      <c r="C1801" s="95" t="s">
        <v>97</v>
      </c>
      <c r="D1801" s="95">
        <v>1.0</v>
      </c>
      <c r="E1801" s="101">
        <v>79.0</v>
      </c>
      <c r="F1801" s="101">
        <f t="shared" si="308"/>
        <v>79</v>
      </c>
      <c r="G1801" s="101">
        <f t="shared" si="309"/>
        <v>26.33333333</v>
      </c>
      <c r="H1801" s="95" t="s">
        <v>2196</v>
      </c>
      <c r="J1801" s="120" t="s">
        <v>2197</v>
      </c>
      <c r="K1801" s="99"/>
      <c r="L1801" s="50"/>
      <c r="M1801" s="50"/>
      <c r="P1801" s="68"/>
    </row>
    <row r="1802">
      <c r="A1802" s="231" t="s">
        <v>153</v>
      </c>
      <c r="B1802" s="231" t="s">
        <v>2204</v>
      </c>
      <c r="C1802" s="234" t="str">
        <f>MID($B1802,6,7)</f>
        <v>CL18777</v>
      </c>
      <c r="D1802" s="231"/>
      <c r="E1802" s="231"/>
      <c r="F1802" s="231"/>
      <c r="G1802" s="231"/>
      <c r="H1802" s="235">
        <v>44559.0</v>
      </c>
      <c r="J1802" s="108" t="str">
        <f>IF(LEFT(B1802,3)="Box","BOX","COUNT")</f>
        <v>BOX</v>
      </c>
      <c r="K1802" s="99">
        <f>SUMIF($J$4:$J$8712,$C1802,$D$4:$D$8712)</f>
        <v>6</v>
      </c>
      <c r="L1802" s="50">
        <f>SUMIF($J$4:$J$8712,$C1802,$F$4:$F$8712)</f>
        <v>380</v>
      </c>
      <c r="M1802" s="50">
        <f>SUMIF($J$4:$J$8712,$C1802,$G$4:$G$8712)</f>
        <v>126.6666667</v>
      </c>
      <c r="N1802" s="70" t="str">
        <f>C1802</f>
        <v>CL18777</v>
      </c>
      <c r="O1802" s="70" t="str">
        <f>J1803</f>
        <v>NSHIP</v>
      </c>
      <c r="P1802" s="68">
        <f>M1802</f>
        <v>126.6666667</v>
      </c>
      <c r="Q1802" s="114">
        <v>44510.0</v>
      </c>
      <c r="R1802" s="37" t="s">
        <v>2205</v>
      </c>
      <c r="S1802" s="37" t="s">
        <v>2206</v>
      </c>
    </row>
    <row r="1803">
      <c r="A1803" s="211"/>
      <c r="B1803" s="231"/>
      <c r="C1803" s="109"/>
      <c r="D1803" s="109"/>
      <c r="E1803" s="116"/>
      <c r="F1803" s="116"/>
      <c r="G1803" s="116"/>
      <c r="H1803" s="109"/>
      <c r="J1803" s="108" t="str">
        <f>IF(B1803="","NSHIP","SHIP")</f>
        <v>NSHIP</v>
      </c>
      <c r="K1803" s="99">
        <f>IF($J1803="NSHIP",0,-SUMIF($J$4:$J$8712,$C1802,$D$4:$D$8712))</f>
        <v>0</v>
      </c>
      <c r="L1803" s="50">
        <f>IF($J1803="NSHIP",0,-SUMIF($J$4:$J$8710,$C1802,$F$4:$F$8710))</f>
        <v>0</v>
      </c>
      <c r="M1803" s="50">
        <f>IF($J1803="NSHIP",0,-SUMIF($J$4:$J$8710,$C1802,$G$4:$G$8710))</f>
        <v>0</v>
      </c>
      <c r="P1803" s="68"/>
    </row>
    <row r="1804">
      <c r="A1804" s="95">
        <v>1.91010884589E11</v>
      </c>
      <c r="B1804" s="151" t="s">
        <v>2207</v>
      </c>
      <c r="C1804" s="95" t="s">
        <v>97</v>
      </c>
      <c r="D1804" s="95">
        <v>1.0</v>
      </c>
      <c r="E1804" s="101">
        <v>125.3</v>
      </c>
      <c r="F1804" s="101">
        <f t="shared" ref="F1804:F1808" si="310">E1804*D1804</f>
        <v>125.3</v>
      </c>
      <c r="G1804" s="101">
        <f t="shared" ref="G1804:G1808" si="311">F1804/3</f>
        <v>41.76666667</v>
      </c>
      <c r="H1804" s="95" t="s">
        <v>2208</v>
      </c>
      <c r="J1804" s="120" t="s">
        <v>2209</v>
      </c>
      <c r="K1804" s="99"/>
      <c r="L1804" s="50"/>
      <c r="M1804" s="50"/>
      <c r="P1804" s="68"/>
    </row>
    <row r="1805">
      <c r="A1805" s="95">
        <v>1.93569112755E11</v>
      </c>
      <c r="B1805" s="151" t="s">
        <v>2210</v>
      </c>
      <c r="C1805" s="95" t="s">
        <v>97</v>
      </c>
      <c r="D1805" s="95">
        <v>1.0</v>
      </c>
      <c r="E1805" s="101">
        <v>269.0</v>
      </c>
      <c r="F1805" s="101">
        <f t="shared" si="310"/>
        <v>269</v>
      </c>
      <c r="G1805" s="101">
        <f t="shared" si="311"/>
        <v>89.66666667</v>
      </c>
      <c r="H1805" s="95" t="s">
        <v>789</v>
      </c>
      <c r="J1805" s="120" t="s">
        <v>2209</v>
      </c>
      <c r="K1805" s="99"/>
      <c r="L1805" s="50"/>
      <c r="M1805" s="50"/>
      <c r="P1805" s="68"/>
    </row>
    <row r="1806">
      <c r="A1806" s="95">
        <v>1.93569378243E11</v>
      </c>
      <c r="B1806" s="151" t="s">
        <v>2211</v>
      </c>
      <c r="C1806" s="95" t="s">
        <v>97</v>
      </c>
      <c r="D1806" s="95">
        <v>1.0</v>
      </c>
      <c r="E1806" s="101">
        <v>225.0</v>
      </c>
      <c r="F1806" s="101">
        <f t="shared" si="310"/>
        <v>225</v>
      </c>
      <c r="G1806" s="101">
        <f t="shared" si="311"/>
        <v>75</v>
      </c>
      <c r="H1806" s="95" t="s">
        <v>789</v>
      </c>
      <c r="J1806" s="120" t="s">
        <v>2209</v>
      </c>
      <c r="K1806" s="99"/>
      <c r="L1806" s="50"/>
      <c r="M1806" s="50"/>
      <c r="P1806" s="68"/>
    </row>
    <row r="1807">
      <c r="A1807" s="95">
        <v>1.93569380161E11</v>
      </c>
      <c r="B1807" s="151" t="s">
        <v>2212</v>
      </c>
      <c r="C1807" s="95" t="s">
        <v>97</v>
      </c>
      <c r="D1807" s="95">
        <v>1.0</v>
      </c>
      <c r="E1807" s="101">
        <v>189.0</v>
      </c>
      <c r="F1807" s="101">
        <f t="shared" si="310"/>
        <v>189</v>
      </c>
      <c r="G1807" s="101">
        <f t="shared" si="311"/>
        <v>63</v>
      </c>
      <c r="H1807" s="95" t="s">
        <v>789</v>
      </c>
      <c r="J1807" s="120" t="s">
        <v>2209</v>
      </c>
      <c r="K1807" s="99"/>
      <c r="L1807" s="50"/>
      <c r="M1807" s="50"/>
      <c r="P1807" s="68"/>
    </row>
    <row r="1808">
      <c r="A1808" s="95">
        <v>8.88452249419E11</v>
      </c>
      <c r="B1808" s="151" t="s">
        <v>2213</v>
      </c>
      <c r="C1808" s="95" t="s">
        <v>97</v>
      </c>
      <c r="D1808" s="95">
        <v>1.0</v>
      </c>
      <c r="E1808" s="101">
        <v>270.0</v>
      </c>
      <c r="F1808" s="101">
        <f t="shared" si="310"/>
        <v>270</v>
      </c>
      <c r="G1808" s="101">
        <f t="shared" si="311"/>
        <v>90</v>
      </c>
      <c r="H1808" s="95" t="s">
        <v>789</v>
      </c>
      <c r="J1808" s="120" t="s">
        <v>2209</v>
      </c>
      <c r="K1808" s="99"/>
      <c r="L1808" s="50"/>
      <c r="M1808" s="50"/>
      <c r="P1808" s="68"/>
    </row>
    <row r="1809">
      <c r="A1809" s="231" t="s">
        <v>224</v>
      </c>
      <c r="B1809" s="231" t="s">
        <v>2214</v>
      </c>
      <c r="C1809" s="234" t="str">
        <f>MID($B1809,6,7)</f>
        <v>CL18778</v>
      </c>
      <c r="D1809" s="231"/>
      <c r="E1809" s="231"/>
      <c r="F1809" s="231"/>
      <c r="G1809" s="231"/>
      <c r="H1809" s="235">
        <v>44559.0</v>
      </c>
      <c r="J1809" s="108" t="str">
        <f>IF(LEFT(B1809,3)="Box","BOX","COUNT")</f>
        <v>BOX</v>
      </c>
      <c r="K1809" s="99">
        <f>SUMIF($J$4:$J$8712,$C1809,$D$4:$D$8712)</f>
        <v>5</v>
      </c>
      <c r="L1809" s="50">
        <f>SUMIF($J$4:$J$8712,$C1809,$F$4:$F$8712)</f>
        <v>1078.3</v>
      </c>
      <c r="M1809" s="50">
        <f>SUMIF($J$4:$J$8712,$C1809,$G$4:$G$8712)</f>
        <v>359.4333333</v>
      </c>
      <c r="N1809" s="70" t="str">
        <f>C1809</f>
        <v>CL18778</v>
      </c>
      <c r="O1809" s="70" t="str">
        <f>J1810</f>
        <v>NSHIP</v>
      </c>
      <c r="P1809" s="68">
        <f>M1809</f>
        <v>359.4333333</v>
      </c>
      <c r="Q1809" s="114">
        <v>44510.0</v>
      </c>
      <c r="R1809" s="37" t="s">
        <v>2205</v>
      </c>
      <c r="S1809" s="37" t="s">
        <v>2206</v>
      </c>
    </row>
    <row r="1810">
      <c r="A1810" s="211"/>
      <c r="B1810" s="231"/>
      <c r="C1810" s="109"/>
      <c r="D1810" s="109"/>
      <c r="E1810" s="116"/>
      <c r="F1810" s="116"/>
      <c r="G1810" s="116"/>
      <c r="H1810" s="109"/>
      <c r="J1810" s="108" t="str">
        <f>IF(B1810="","NSHIP","SHIP")</f>
        <v>NSHIP</v>
      </c>
      <c r="K1810" s="99">
        <f>IF($J1810="NSHIP",0,-SUMIF($J$4:$J$8712,$C1809,$D$4:$D$8712))</f>
        <v>0</v>
      </c>
      <c r="L1810" s="50">
        <f>IF($J1810="NSHIP",0,-SUMIF($J$4:$J$8710,$C1809,$F$4:$F$8710))</f>
        <v>0</v>
      </c>
      <c r="M1810" s="50">
        <f>IF($J1810="NSHIP",0,-SUMIF($J$4:$J$8710,$C1809,$G$4:$G$8710))</f>
        <v>0</v>
      </c>
      <c r="P1810" s="68"/>
    </row>
    <row r="1811">
      <c r="A1811" s="95">
        <v>1.7121309653E10</v>
      </c>
      <c r="B1811" s="151" t="s">
        <v>2215</v>
      </c>
      <c r="C1811" s="95" t="s">
        <v>97</v>
      </c>
      <c r="D1811" s="95">
        <v>1.0</v>
      </c>
      <c r="E1811" s="101">
        <v>89.0</v>
      </c>
      <c r="F1811" s="101">
        <f t="shared" ref="F1811:F1815" si="312">E1811*D1811</f>
        <v>89</v>
      </c>
      <c r="G1811" s="101">
        <f t="shared" ref="G1811:G1815" si="313">F1811/3</f>
        <v>29.66666667</v>
      </c>
      <c r="H1811" s="95" t="s">
        <v>2216</v>
      </c>
      <c r="J1811" s="120" t="s">
        <v>2217</v>
      </c>
      <c r="K1811" s="99"/>
      <c r="L1811" s="50"/>
      <c r="M1811" s="50"/>
      <c r="P1811" s="68"/>
    </row>
    <row r="1812">
      <c r="A1812" s="95">
        <v>1.7121309707E10</v>
      </c>
      <c r="B1812" s="151" t="s">
        <v>2218</v>
      </c>
      <c r="C1812" s="95" t="s">
        <v>97</v>
      </c>
      <c r="D1812" s="95">
        <v>1.0</v>
      </c>
      <c r="E1812" s="101">
        <v>89.0</v>
      </c>
      <c r="F1812" s="101">
        <f t="shared" si="312"/>
        <v>89</v>
      </c>
      <c r="G1812" s="101">
        <f t="shared" si="313"/>
        <v>29.66666667</v>
      </c>
      <c r="H1812" s="95" t="s">
        <v>2216</v>
      </c>
      <c r="J1812" s="120" t="s">
        <v>2217</v>
      </c>
      <c r="K1812" s="99"/>
      <c r="L1812" s="50"/>
      <c r="M1812" s="50"/>
      <c r="P1812" s="68"/>
    </row>
    <row r="1813">
      <c r="A1813" s="95">
        <v>7.3671221269E11</v>
      </c>
      <c r="B1813" s="151" t="s">
        <v>2219</v>
      </c>
      <c r="C1813" s="95" t="s">
        <v>97</v>
      </c>
      <c r="D1813" s="95">
        <v>1.0</v>
      </c>
      <c r="E1813" s="101">
        <v>45.0</v>
      </c>
      <c r="F1813" s="101">
        <f t="shared" si="312"/>
        <v>45</v>
      </c>
      <c r="G1813" s="101">
        <f t="shared" si="313"/>
        <v>15</v>
      </c>
      <c r="H1813" s="95" t="s">
        <v>2216</v>
      </c>
      <c r="J1813" s="120" t="s">
        <v>2217</v>
      </c>
      <c r="K1813" s="99"/>
      <c r="L1813" s="50"/>
      <c r="M1813" s="50"/>
      <c r="P1813" s="68"/>
    </row>
    <row r="1814">
      <c r="A1814" s="95">
        <v>7.36712212942E11</v>
      </c>
      <c r="B1814" s="151" t="s">
        <v>2220</v>
      </c>
      <c r="C1814" s="95" t="s">
        <v>97</v>
      </c>
      <c r="D1814" s="95">
        <v>1.0</v>
      </c>
      <c r="E1814" s="101">
        <v>79.0</v>
      </c>
      <c r="F1814" s="101">
        <f t="shared" si="312"/>
        <v>79</v>
      </c>
      <c r="G1814" s="101">
        <f t="shared" si="313"/>
        <v>26.33333333</v>
      </c>
      <c r="H1814" s="95" t="s">
        <v>2216</v>
      </c>
      <c r="J1814" s="120" t="s">
        <v>2217</v>
      </c>
      <c r="K1814" s="99"/>
      <c r="L1814" s="50"/>
      <c r="M1814" s="50"/>
      <c r="P1814" s="68"/>
    </row>
    <row r="1815">
      <c r="A1815" s="95">
        <v>7.3671373601E11</v>
      </c>
      <c r="B1815" s="151" t="s">
        <v>2221</v>
      </c>
      <c r="C1815" s="95" t="s">
        <v>97</v>
      </c>
      <c r="D1815" s="95">
        <v>1.0</v>
      </c>
      <c r="E1815" s="101">
        <v>89.0</v>
      </c>
      <c r="F1815" s="101">
        <f t="shared" si="312"/>
        <v>89</v>
      </c>
      <c r="G1815" s="101">
        <f t="shared" si="313"/>
        <v>29.66666667</v>
      </c>
      <c r="H1815" s="95" t="s">
        <v>2216</v>
      </c>
      <c r="J1815" s="120" t="s">
        <v>2217</v>
      </c>
      <c r="K1815" s="99"/>
      <c r="L1815" s="50"/>
      <c r="M1815" s="50"/>
      <c r="P1815" s="68"/>
    </row>
    <row r="1816">
      <c r="A1816" s="231" t="s">
        <v>267</v>
      </c>
      <c r="B1816" s="231" t="s">
        <v>2222</v>
      </c>
      <c r="C1816" s="234" t="str">
        <f>MID($B1816,6,7)</f>
        <v>CL18779</v>
      </c>
      <c r="D1816" s="231"/>
      <c r="E1816" s="231"/>
      <c r="F1816" s="231"/>
      <c r="G1816" s="231"/>
      <c r="H1816" s="235">
        <v>44559.0</v>
      </c>
      <c r="J1816" s="108" t="str">
        <f>IF(LEFT(B1816,3)="Box","BOX","COUNT")</f>
        <v>BOX</v>
      </c>
      <c r="K1816" s="99">
        <f>SUMIF($J$4:$J$8712,$C1816,$D$4:$D$8712)</f>
        <v>5</v>
      </c>
      <c r="L1816" s="50">
        <f>SUMIF($J$4:$J$8712,$C1816,$F$4:$F$8712)</f>
        <v>391</v>
      </c>
      <c r="M1816" s="50">
        <f>SUMIF($J$4:$J$8712,$C1816,$G$4:$G$8712)</f>
        <v>130.3333333</v>
      </c>
      <c r="N1816" s="70" t="str">
        <f>C1816</f>
        <v>CL18779</v>
      </c>
      <c r="O1816" s="70" t="str">
        <f>J1817</f>
        <v>NSHIP</v>
      </c>
      <c r="P1816" s="68">
        <f>M1816</f>
        <v>130.3333333</v>
      </c>
      <c r="Q1816" s="114">
        <v>44510.0</v>
      </c>
      <c r="R1816" s="37" t="s">
        <v>2205</v>
      </c>
      <c r="S1816" s="37" t="s">
        <v>2206</v>
      </c>
    </row>
    <row r="1817">
      <c r="A1817" s="211"/>
      <c r="B1817" s="231"/>
      <c r="C1817" s="109"/>
      <c r="D1817" s="109"/>
      <c r="E1817" s="116"/>
      <c r="F1817" s="116"/>
      <c r="G1817" s="116"/>
      <c r="H1817" s="109"/>
      <c r="J1817" s="108" t="str">
        <f>IF(B1817="","NSHIP","SHIP")</f>
        <v>NSHIP</v>
      </c>
      <c r="K1817" s="99">
        <f>IF($J1817="NSHIP",0,-SUMIF($J$4:$J$8712,$C1816,$D$4:$D$8712))</f>
        <v>0</v>
      </c>
      <c r="L1817" s="50">
        <f>IF($J1817="NSHIP",0,-SUMIF($J$4:$J$8710,$C1816,$F$4:$F$8710))</f>
        <v>0</v>
      </c>
      <c r="M1817" s="50">
        <f>IF($J1817="NSHIP",0,-SUMIF($J$4:$J$8710,$C1816,$G$4:$G$8710))</f>
        <v>0</v>
      </c>
      <c r="P1817" s="68"/>
    </row>
    <row r="1818">
      <c r="A1818" s="95">
        <v>5.2574515732E10</v>
      </c>
      <c r="B1818" s="151" t="s">
        <v>2223</v>
      </c>
      <c r="C1818" s="95" t="s">
        <v>97</v>
      </c>
      <c r="D1818" s="95">
        <v>1.0</v>
      </c>
      <c r="E1818" s="101">
        <v>69.0</v>
      </c>
      <c r="F1818" s="101">
        <f t="shared" ref="F1818:F1820" si="314">E1818*D1818</f>
        <v>69</v>
      </c>
      <c r="G1818" s="101">
        <f t="shared" ref="G1818:G1820" si="315">F1818/3</f>
        <v>23</v>
      </c>
      <c r="H1818" s="95" t="s">
        <v>1195</v>
      </c>
      <c r="J1818" s="120" t="s">
        <v>2224</v>
      </c>
      <c r="K1818" s="99"/>
      <c r="L1818" s="50"/>
      <c r="M1818" s="50"/>
      <c r="P1818" s="68"/>
    </row>
    <row r="1819">
      <c r="A1819" s="95">
        <v>5.2574515756E10</v>
      </c>
      <c r="B1819" s="151" t="s">
        <v>2225</v>
      </c>
      <c r="C1819" s="95" t="s">
        <v>97</v>
      </c>
      <c r="D1819" s="95">
        <v>1.0</v>
      </c>
      <c r="E1819" s="101">
        <v>69.0</v>
      </c>
      <c r="F1819" s="101">
        <f t="shared" si="314"/>
        <v>69</v>
      </c>
      <c r="G1819" s="101">
        <f t="shared" si="315"/>
        <v>23</v>
      </c>
      <c r="H1819" s="95" t="s">
        <v>1195</v>
      </c>
      <c r="J1819" s="120" t="s">
        <v>2224</v>
      </c>
      <c r="K1819" s="99"/>
      <c r="L1819" s="50"/>
      <c r="M1819" s="50"/>
      <c r="P1819" s="68"/>
    </row>
    <row r="1820">
      <c r="A1820" s="95">
        <v>5.2574704679E10</v>
      </c>
      <c r="B1820" s="151" t="s">
        <v>2226</v>
      </c>
      <c r="C1820" s="95" t="s">
        <v>97</v>
      </c>
      <c r="D1820" s="95">
        <v>1.0</v>
      </c>
      <c r="E1820" s="101">
        <v>85.0</v>
      </c>
      <c r="F1820" s="101">
        <f t="shared" si="314"/>
        <v>85</v>
      </c>
      <c r="G1820" s="101">
        <f t="shared" si="315"/>
        <v>28.33333333</v>
      </c>
      <c r="H1820" s="95" t="s">
        <v>1195</v>
      </c>
      <c r="J1820" s="120" t="s">
        <v>2224</v>
      </c>
      <c r="K1820" s="99"/>
      <c r="L1820" s="50"/>
      <c r="M1820" s="50"/>
      <c r="P1820" s="68"/>
    </row>
    <row r="1821">
      <c r="A1821" s="228" t="s">
        <v>115</v>
      </c>
      <c r="B1821" s="228" t="s">
        <v>2227</v>
      </c>
      <c r="C1821" s="229" t="str">
        <f>MID($B1821,6,7)</f>
        <v>CL18780</v>
      </c>
      <c r="D1821" s="228"/>
      <c r="E1821" s="228"/>
      <c r="F1821" s="228"/>
      <c r="G1821" s="228"/>
      <c r="H1821" s="230">
        <v>44559.0</v>
      </c>
      <c r="J1821" s="108" t="str">
        <f>IF(LEFT(B1821,3)="Box","BOX","COUNT")</f>
        <v>BOX</v>
      </c>
      <c r="K1821" s="99">
        <f>SUMIF($J$4:$J$8712,$C1821,$D$4:$D$8712)</f>
        <v>3</v>
      </c>
      <c r="L1821" s="50">
        <f>SUMIF($J$4:$J$8712,$C1821,$F$4:$F$8712)</f>
        <v>223</v>
      </c>
      <c r="M1821" s="50">
        <f>SUMIF($J$4:$J$8712,$C1821,$G$4:$G$8712)</f>
        <v>74.33333333</v>
      </c>
      <c r="N1821" s="70" t="str">
        <f>C1821</f>
        <v>CL18780</v>
      </c>
      <c r="O1821" s="70" t="str">
        <f>J1822</f>
        <v>SHIP</v>
      </c>
      <c r="P1821" s="68">
        <f>M1821</f>
        <v>74.33333333</v>
      </c>
      <c r="Q1821" s="114"/>
      <c r="T1821" s="37" t="s">
        <v>2228</v>
      </c>
    </row>
    <row r="1822">
      <c r="A1822" s="211"/>
      <c r="B1822" s="228" t="s">
        <v>2229</v>
      </c>
      <c r="C1822" s="109"/>
      <c r="D1822" s="109"/>
      <c r="E1822" s="116"/>
      <c r="F1822" s="116"/>
      <c r="G1822" s="116"/>
      <c r="H1822" s="109"/>
      <c r="J1822" s="108" t="str">
        <f>IF(B1822="","NSHIP","SHIP")</f>
        <v>SHIP</v>
      </c>
      <c r="K1822" s="99">
        <f>IF($J1822="NSHIP",0,-SUMIF($J$4:$J$8712,$C1821,$D$4:$D$8712))</f>
        <v>-3</v>
      </c>
      <c r="L1822" s="50">
        <f>IF($J1822="NSHIP",0,-SUMIF($J$4:$J$8710,$C1821,$F$4:$F$8710))</f>
        <v>-223</v>
      </c>
      <c r="M1822" s="50">
        <f>IF($J1822="NSHIP",0,-SUMIF($J$4:$J$8710,$C1821,$G$4:$G$8710))</f>
        <v>-74.33333333</v>
      </c>
      <c r="P1822" s="68"/>
    </row>
    <row r="1823">
      <c r="A1823" s="95">
        <v>1.90640695251E11</v>
      </c>
      <c r="B1823" s="151" t="s">
        <v>2230</v>
      </c>
      <c r="C1823" s="95" t="s">
        <v>97</v>
      </c>
      <c r="D1823" s="95">
        <v>1.0</v>
      </c>
      <c r="E1823" s="101">
        <v>59.98</v>
      </c>
      <c r="F1823" s="101">
        <f t="shared" ref="F1823:F1825" si="316">E1823*D1823</f>
        <v>59.98</v>
      </c>
      <c r="G1823" s="101">
        <f t="shared" ref="G1823:G1825" si="317">F1823/3</f>
        <v>19.99333333</v>
      </c>
      <c r="H1823" s="95" t="s">
        <v>1729</v>
      </c>
      <c r="J1823" s="120" t="s">
        <v>2231</v>
      </c>
      <c r="K1823" s="99"/>
      <c r="L1823" s="50"/>
      <c r="M1823" s="50"/>
      <c r="P1823" s="68"/>
    </row>
    <row r="1824">
      <c r="A1824" s="95">
        <v>8.24095886895E11</v>
      </c>
      <c r="B1824" s="151" t="s">
        <v>2232</v>
      </c>
      <c r="C1824" s="95" t="s">
        <v>97</v>
      </c>
      <c r="D1824" s="95">
        <v>1.0</v>
      </c>
      <c r="E1824" s="101">
        <v>79.0</v>
      </c>
      <c r="F1824" s="101">
        <f t="shared" si="316"/>
        <v>79</v>
      </c>
      <c r="G1824" s="101">
        <f t="shared" si="317"/>
        <v>26.33333333</v>
      </c>
      <c r="H1824" s="95" t="s">
        <v>1729</v>
      </c>
      <c r="J1824" s="120" t="s">
        <v>2231</v>
      </c>
      <c r="K1824" s="99"/>
      <c r="L1824" s="50"/>
      <c r="M1824" s="50"/>
      <c r="P1824" s="68"/>
    </row>
    <row r="1825">
      <c r="A1825" s="95">
        <v>8.24095935821E11</v>
      </c>
      <c r="B1825" s="151" t="s">
        <v>2233</v>
      </c>
      <c r="C1825" s="95" t="s">
        <v>97</v>
      </c>
      <c r="D1825" s="95">
        <v>1.0</v>
      </c>
      <c r="E1825" s="101">
        <v>69.0</v>
      </c>
      <c r="F1825" s="101">
        <f t="shared" si="316"/>
        <v>69</v>
      </c>
      <c r="G1825" s="101">
        <f t="shared" si="317"/>
        <v>23</v>
      </c>
      <c r="H1825" s="95" t="s">
        <v>1729</v>
      </c>
      <c r="J1825" s="120" t="s">
        <v>2231</v>
      </c>
      <c r="K1825" s="99"/>
      <c r="L1825" s="50"/>
      <c r="M1825" s="50"/>
      <c r="P1825" s="68"/>
    </row>
    <row r="1826">
      <c r="A1826" s="228"/>
      <c r="B1826" s="228" t="s">
        <v>2234</v>
      </c>
      <c r="C1826" s="229" t="str">
        <f>MID($B1826,6,7)</f>
        <v>CL18781</v>
      </c>
      <c r="D1826" s="228"/>
      <c r="E1826" s="228"/>
      <c r="F1826" s="228"/>
      <c r="G1826" s="228"/>
      <c r="H1826" s="230">
        <v>44559.0</v>
      </c>
      <c r="J1826" s="108" t="str">
        <f>IF(LEFT(B1826,3)="Box","BOX","COUNT")</f>
        <v>BOX</v>
      </c>
      <c r="K1826" s="99">
        <f>SUMIF($J$4:$J$8712,$C1826,$D$4:$D$8712)</f>
        <v>3</v>
      </c>
      <c r="L1826" s="50">
        <f>SUMIF($J$4:$J$8712,$C1826,$F$4:$F$8712)</f>
        <v>207.98</v>
      </c>
      <c r="M1826" s="50">
        <f>SUMIF($J$4:$J$8712,$C1826,$G$4:$G$8712)</f>
        <v>69.32666667</v>
      </c>
      <c r="N1826" s="70" t="str">
        <f>C1826</f>
        <v>CL18781</v>
      </c>
      <c r="O1826" s="70" t="str">
        <f>J1827</f>
        <v>NSHIP</v>
      </c>
      <c r="P1826" s="68">
        <f>M1826</f>
        <v>69.32666667</v>
      </c>
      <c r="T1826" s="37" t="s">
        <v>1734</v>
      </c>
    </row>
    <row r="1827">
      <c r="A1827" s="211"/>
      <c r="B1827" s="231"/>
      <c r="C1827" s="109"/>
      <c r="D1827" s="109"/>
      <c r="E1827" s="116"/>
      <c r="F1827" s="116"/>
      <c r="G1827" s="116"/>
      <c r="H1827" s="109"/>
      <c r="J1827" s="108" t="str">
        <f>IF(B1827="","NSHIP","SHIP")</f>
        <v>NSHIP</v>
      </c>
      <c r="K1827" s="99">
        <f>IF($J1827="NSHIP",0,-SUMIF($J$4:$J$8712,$C1826,$D$4:$D$8712))</f>
        <v>0</v>
      </c>
      <c r="L1827" s="50">
        <f>IF($J1827="NSHIP",0,-SUMIF($J$4:$J$8710,$C1826,$F$4:$F$8710))</f>
        <v>0</v>
      </c>
      <c r="M1827" s="50">
        <f>IF($J1827="NSHIP",0,-SUMIF($J$4:$J$8710,$C1826,$G$4:$G$8710))</f>
        <v>0</v>
      </c>
      <c r="P1827" s="68"/>
    </row>
    <row r="1828">
      <c r="A1828" s="95">
        <v>1.9074807769E11</v>
      </c>
      <c r="B1828" s="151" t="s">
        <v>2235</v>
      </c>
      <c r="C1828" s="95" t="s">
        <v>97</v>
      </c>
      <c r="D1828" s="95">
        <v>1.0</v>
      </c>
      <c r="E1828" s="101">
        <v>69.0</v>
      </c>
      <c r="F1828" s="101">
        <f t="shared" ref="F1828:F1829" si="318">E1828*D1828</f>
        <v>69</v>
      </c>
      <c r="G1828" s="101">
        <f t="shared" ref="G1828:G1829" si="319">F1828/3</f>
        <v>23</v>
      </c>
      <c r="H1828" s="95" t="s">
        <v>771</v>
      </c>
      <c r="J1828" s="120" t="s">
        <v>2236</v>
      </c>
      <c r="K1828" s="99"/>
      <c r="L1828" s="50"/>
      <c r="M1828" s="50"/>
      <c r="P1828" s="68"/>
    </row>
    <row r="1829">
      <c r="A1829" s="95">
        <v>1.90748594074E11</v>
      </c>
      <c r="B1829" s="151" t="s">
        <v>2237</v>
      </c>
      <c r="C1829" s="95" t="s">
        <v>97</v>
      </c>
      <c r="D1829" s="95">
        <v>2.0</v>
      </c>
      <c r="E1829" s="101">
        <v>49.0</v>
      </c>
      <c r="F1829" s="101">
        <f t="shared" si="318"/>
        <v>98</v>
      </c>
      <c r="G1829" s="101">
        <f t="shared" si="319"/>
        <v>32.66666667</v>
      </c>
      <c r="H1829" s="95" t="s">
        <v>771</v>
      </c>
      <c r="J1829" s="120" t="s">
        <v>2236</v>
      </c>
      <c r="K1829" s="99"/>
      <c r="L1829" s="50"/>
      <c r="M1829" s="50"/>
      <c r="P1829" s="68"/>
    </row>
    <row r="1830">
      <c r="A1830" s="231" t="s">
        <v>132</v>
      </c>
      <c r="B1830" s="231" t="s">
        <v>2238</v>
      </c>
      <c r="C1830" s="234" t="str">
        <f>MID($B1830,6,7)</f>
        <v>CL18782</v>
      </c>
      <c r="D1830" s="231"/>
      <c r="E1830" s="231"/>
      <c r="F1830" s="231"/>
      <c r="G1830" s="231"/>
      <c r="H1830" s="235">
        <v>44559.0</v>
      </c>
      <c r="J1830" s="108" t="str">
        <f>IF(LEFT(B1830,3)="Box","BOX","COUNT")</f>
        <v>BOX</v>
      </c>
      <c r="K1830" s="99">
        <f>SUMIF($J$4:$J$8712,$C1830,$D$4:$D$8712)</f>
        <v>3</v>
      </c>
      <c r="L1830" s="50">
        <f>SUMIF($J$4:$J$8712,$C1830,$F$4:$F$8712)</f>
        <v>167</v>
      </c>
      <c r="M1830" s="50">
        <f>SUMIF($J$4:$J$8712,$C1830,$G$4:$G$8712)</f>
        <v>55.66666667</v>
      </c>
      <c r="N1830" s="70" t="str">
        <f>C1830</f>
        <v>CL18782</v>
      </c>
      <c r="O1830" s="70" t="str">
        <f>J1831</f>
        <v>NSHIP</v>
      </c>
      <c r="P1830" s="68">
        <f>M1830</f>
        <v>55.66666667</v>
      </c>
      <c r="Q1830" s="114">
        <v>44510.0</v>
      </c>
      <c r="R1830" s="37" t="s">
        <v>2205</v>
      </c>
      <c r="S1830" s="37" t="s">
        <v>2206</v>
      </c>
    </row>
    <row r="1831">
      <c r="A1831" s="211"/>
      <c r="B1831" s="231"/>
      <c r="C1831" s="109"/>
      <c r="D1831" s="109"/>
      <c r="E1831" s="116"/>
      <c r="F1831" s="116"/>
      <c r="G1831" s="116"/>
      <c r="H1831" s="109"/>
      <c r="J1831" s="108" t="str">
        <f>IF(B1831="","NSHIP","SHIP")</f>
        <v>NSHIP</v>
      </c>
      <c r="K1831" s="99">
        <f>IF($J1831="NSHIP",0,-SUMIF($J$4:$J$8712,$C1830,$D$4:$D$8712))</f>
        <v>0</v>
      </c>
      <c r="L1831" s="50">
        <f>IF($J1831="NSHIP",0,-SUMIF($J$4:$J$8710,$C1830,$F$4:$F$8710))</f>
        <v>0</v>
      </c>
      <c r="M1831" s="50">
        <f>IF($J1831="NSHIP",0,-SUMIF($J$4:$J$8710,$C1830,$G$4:$G$8710))</f>
        <v>0</v>
      </c>
      <c r="P1831" s="68"/>
    </row>
    <row r="1832">
      <c r="A1832" s="95">
        <v>1.95040787698E11</v>
      </c>
      <c r="B1832" s="151" t="s">
        <v>2239</v>
      </c>
      <c r="C1832" s="95" t="s">
        <v>97</v>
      </c>
      <c r="D1832" s="95">
        <v>1.0</v>
      </c>
      <c r="E1832" s="101">
        <v>99.95</v>
      </c>
      <c r="F1832" s="101">
        <f t="shared" ref="F1832:F1834" si="320">E1832*D1832</f>
        <v>99.95</v>
      </c>
      <c r="G1832" s="101">
        <f t="shared" ref="G1832:G1834" si="321">F1832/3</f>
        <v>33.31666667</v>
      </c>
      <c r="H1832" s="95" t="s">
        <v>2240</v>
      </c>
      <c r="J1832" s="120" t="s">
        <v>2241</v>
      </c>
      <c r="K1832" s="99"/>
      <c r="L1832" s="50"/>
      <c r="M1832" s="50"/>
      <c r="P1832" s="68"/>
    </row>
    <row r="1833">
      <c r="A1833" s="95">
        <v>1.950407918E11</v>
      </c>
      <c r="B1833" s="151" t="s">
        <v>2242</v>
      </c>
      <c r="C1833" s="95" t="s">
        <v>97</v>
      </c>
      <c r="D1833" s="95">
        <v>1.0</v>
      </c>
      <c r="E1833" s="101">
        <v>94.95</v>
      </c>
      <c r="F1833" s="101">
        <f t="shared" si="320"/>
        <v>94.95</v>
      </c>
      <c r="G1833" s="101">
        <f t="shared" si="321"/>
        <v>31.65</v>
      </c>
      <c r="H1833" s="95" t="s">
        <v>2240</v>
      </c>
      <c r="J1833" s="120" t="s">
        <v>2241</v>
      </c>
      <c r="K1833" s="99"/>
      <c r="L1833" s="50"/>
      <c r="M1833" s="50"/>
      <c r="P1833" s="68"/>
    </row>
    <row r="1834">
      <c r="A1834" s="95">
        <v>8.86374819611E11</v>
      </c>
      <c r="B1834" s="151" t="s">
        <v>2243</v>
      </c>
      <c r="C1834" s="95" t="s">
        <v>97</v>
      </c>
      <c r="D1834" s="95">
        <v>1.0</v>
      </c>
      <c r="E1834" s="101">
        <v>89.95</v>
      </c>
      <c r="F1834" s="101">
        <f t="shared" si="320"/>
        <v>89.95</v>
      </c>
      <c r="G1834" s="101">
        <f t="shared" si="321"/>
        <v>29.98333333</v>
      </c>
      <c r="H1834" s="95" t="s">
        <v>2240</v>
      </c>
      <c r="J1834" s="120" t="s">
        <v>2241</v>
      </c>
      <c r="K1834" s="99"/>
      <c r="L1834" s="50"/>
      <c r="M1834" s="50"/>
      <c r="P1834" s="68"/>
    </row>
    <row r="1835">
      <c r="A1835" s="231" t="s">
        <v>153</v>
      </c>
      <c r="B1835" s="231" t="s">
        <v>2244</v>
      </c>
      <c r="C1835" s="234" t="str">
        <f>MID($B1835,6,7)</f>
        <v>CL18783</v>
      </c>
      <c r="D1835" s="231"/>
      <c r="E1835" s="231"/>
      <c r="F1835" s="231"/>
      <c r="G1835" s="231"/>
      <c r="H1835" s="235">
        <v>44559.0</v>
      </c>
      <c r="J1835" s="108" t="str">
        <f>IF(LEFT(B1835,3)="Box","BOX","COUNT")</f>
        <v>BOX</v>
      </c>
      <c r="K1835" s="99">
        <f>SUMIF($J$4:$J$8712,$C1835,$D$4:$D$8712)</f>
        <v>3</v>
      </c>
      <c r="L1835" s="50">
        <f>SUMIF($J$4:$J$8712,$C1835,$F$4:$F$8712)</f>
        <v>284.85</v>
      </c>
      <c r="M1835" s="50">
        <f>SUMIF($J$4:$J$8712,$C1835,$G$4:$G$8712)</f>
        <v>94.95</v>
      </c>
      <c r="N1835" s="70" t="str">
        <f>C1835</f>
        <v>CL18783</v>
      </c>
      <c r="O1835" s="70" t="str">
        <f>J1836</f>
        <v>NSHIP</v>
      </c>
      <c r="P1835" s="68">
        <f>M1835</f>
        <v>94.95</v>
      </c>
      <c r="Q1835" s="114">
        <v>44510.0</v>
      </c>
      <c r="R1835" s="37" t="s">
        <v>2205</v>
      </c>
      <c r="S1835" s="37" t="s">
        <v>2206</v>
      </c>
    </row>
    <row r="1836">
      <c r="A1836" s="211"/>
      <c r="B1836" s="231"/>
      <c r="C1836" s="109"/>
      <c r="D1836" s="109"/>
      <c r="E1836" s="116"/>
      <c r="F1836" s="116"/>
      <c r="G1836" s="116"/>
      <c r="H1836" s="109"/>
      <c r="J1836" s="108" t="str">
        <f>IF(B1836="","NSHIP","SHIP")</f>
        <v>NSHIP</v>
      </c>
      <c r="K1836" s="99">
        <f>IF($J1836="NSHIP",0,-SUMIF($J$4:$J$8712,$C1835,$D$4:$D$8712))</f>
        <v>0</v>
      </c>
      <c r="L1836" s="50">
        <f>IF($J1836="NSHIP",0,-SUMIF($J$4:$J$8710,$C1835,$F$4:$F$8710))</f>
        <v>0</v>
      </c>
      <c r="M1836" s="50">
        <f>IF($J1836="NSHIP",0,-SUMIF($J$4:$J$8710,$C1835,$G$4:$G$8710))</f>
        <v>0</v>
      </c>
      <c r="P1836" s="68"/>
    </row>
    <row r="1837">
      <c r="A1837" s="95">
        <v>1.92360833821E11</v>
      </c>
      <c r="B1837" s="151" t="s">
        <v>2245</v>
      </c>
      <c r="C1837" s="95" t="s">
        <v>97</v>
      </c>
      <c r="D1837" s="95">
        <v>1.0</v>
      </c>
      <c r="E1837" s="101">
        <v>110.0</v>
      </c>
      <c r="F1837" s="101">
        <f t="shared" ref="F1837:F1838" si="322">E1837*D1837</f>
        <v>110</v>
      </c>
      <c r="G1837" s="101">
        <f t="shared" ref="G1837:G1838" si="323">F1837/3</f>
        <v>36.66666667</v>
      </c>
      <c r="H1837" s="95" t="s">
        <v>2246</v>
      </c>
      <c r="J1837" s="120" t="s">
        <v>2247</v>
      </c>
      <c r="K1837" s="99"/>
      <c r="L1837" s="50"/>
      <c r="M1837" s="50"/>
      <c r="P1837" s="68"/>
    </row>
    <row r="1838">
      <c r="A1838" s="95">
        <v>6.80975772425E11</v>
      </c>
      <c r="B1838" s="151" t="s">
        <v>2248</v>
      </c>
      <c r="C1838" s="95" t="s">
        <v>97</v>
      </c>
      <c r="D1838" s="95">
        <v>1.0</v>
      </c>
      <c r="E1838" s="101">
        <v>160.0</v>
      </c>
      <c r="F1838" s="101">
        <f t="shared" si="322"/>
        <v>160</v>
      </c>
      <c r="G1838" s="101">
        <f t="shared" si="323"/>
        <v>53.33333333</v>
      </c>
      <c r="H1838" s="95" t="s">
        <v>2246</v>
      </c>
      <c r="J1838" s="120" t="s">
        <v>2247</v>
      </c>
      <c r="K1838" s="99"/>
      <c r="L1838" s="50"/>
      <c r="M1838" s="50"/>
      <c r="P1838" s="68"/>
    </row>
    <row r="1839">
      <c r="A1839" s="228"/>
      <c r="B1839" s="228" t="s">
        <v>2249</v>
      </c>
      <c r="C1839" s="229" t="str">
        <f>MID($B1839,6,7)</f>
        <v>CL18784</v>
      </c>
      <c r="D1839" s="228"/>
      <c r="E1839" s="228"/>
      <c r="F1839" s="228"/>
      <c r="G1839" s="228"/>
      <c r="H1839" s="230">
        <v>44559.0</v>
      </c>
      <c r="J1839" s="108" t="str">
        <f>IF(LEFT(B1839,3)="Box","BOX","COUNT")</f>
        <v>BOX</v>
      </c>
      <c r="K1839" s="99">
        <f>SUMIF($J$4:$J$8712,$C1839,$D$4:$D$8712)</f>
        <v>2</v>
      </c>
      <c r="L1839" s="50">
        <f>SUMIF($J$4:$J$8712,$C1839,$F$4:$F$8712)</f>
        <v>270</v>
      </c>
      <c r="M1839" s="50">
        <f>SUMIF($J$4:$J$8712,$C1839,$G$4:$G$8712)</f>
        <v>90</v>
      </c>
      <c r="N1839" s="70" t="str">
        <f>C1839</f>
        <v>CL18784</v>
      </c>
      <c r="O1839" s="70" t="str">
        <f>J1840</f>
        <v>NSHIP</v>
      </c>
      <c r="P1839" s="68">
        <f>M1839</f>
        <v>90</v>
      </c>
      <c r="T1839" s="37" t="s">
        <v>1734</v>
      </c>
    </row>
    <row r="1840">
      <c r="A1840" s="211"/>
      <c r="B1840" s="231"/>
      <c r="C1840" s="109"/>
      <c r="D1840" s="109"/>
      <c r="E1840" s="116"/>
      <c r="F1840" s="116"/>
      <c r="G1840" s="116"/>
      <c r="H1840" s="109"/>
      <c r="J1840" s="108" t="str">
        <f>IF(B1840="","NSHIP","SHIP")</f>
        <v>NSHIP</v>
      </c>
      <c r="K1840" s="99">
        <f>IF($J1840="NSHIP",0,-SUMIF($J$4:$J$8712,$C1839,$D$4:$D$8712))</f>
        <v>0</v>
      </c>
      <c r="L1840" s="50">
        <f>IF($J1840="NSHIP",0,-SUMIF($J$4:$J$8710,$C1839,$F$4:$F$8710))</f>
        <v>0</v>
      </c>
      <c r="M1840" s="50">
        <f>IF($J1840="NSHIP",0,-SUMIF($J$4:$J$8710,$C1839,$G$4:$G$8710))</f>
        <v>0</v>
      </c>
      <c r="P1840" s="68"/>
    </row>
    <row r="1841">
      <c r="A1841" s="95">
        <v>7.95730145236E11</v>
      </c>
      <c r="B1841" s="151" t="s">
        <v>2250</v>
      </c>
      <c r="C1841" s="95" t="s">
        <v>97</v>
      </c>
      <c r="D1841" s="95">
        <v>1.0</v>
      </c>
      <c r="E1841" s="101">
        <v>119.0</v>
      </c>
      <c r="F1841" s="101">
        <f t="shared" ref="F1841:F1842" si="324">E1841*D1841</f>
        <v>119</v>
      </c>
      <c r="G1841" s="101">
        <f t="shared" ref="G1841:G1842" si="325">F1841/3</f>
        <v>39.66666667</v>
      </c>
      <c r="H1841" s="95" t="s">
        <v>310</v>
      </c>
      <c r="J1841" s="120" t="s">
        <v>2251</v>
      </c>
      <c r="K1841" s="99"/>
      <c r="L1841" s="50"/>
      <c r="M1841" s="50"/>
      <c r="P1841" s="68"/>
    </row>
    <row r="1842">
      <c r="A1842" s="95">
        <v>7.95730145793E11</v>
      </c>
      <c r="B1842" s="151" t="s">
        <v>2252</v>
      </c>
      <c r="C1842" s="95" t="s">
        <v>97</v>
      </c>
      <c r="D1842" s="95">
        <v>1.0</v>
      </c>
      <c r="E1842" s="101">
        <v>119.0</v>
      </c>
      <c r="F1842" s="101">
        <f t="shared" si="324"/>
        <v>119</v>
      </c>
      <c r="G1842" s="101">
        <f t="shared" si="325"/>
        <v>39.66666667</v>
      </c>
      <c r="H1842" s="95" t="s">
        <v>310</v>
      </c>
      <c r="J1842" s="120" t="s">
        <v>2251</v>
      </c>
      <c r="K1842" s="99"/>
      <c r="L1842" s="50"/>
      <c r="M1842" s="50"/>
      <c r="P1842" s="68"/>
    </row>
    <row r="1843">
      <c r="A1843" s="231" t="s">
        <v>224</v>
      </c>
      <c r="B1843" s="231" t="s">
        <v>2253</v>
      </c>
      <c r="C1843" s="234" t="str">
        <f>MID($B1843,6,7)</f>
        <v>CL18785</v>
      </c>
      <c r="D1843" s="231"/>
      <c r="E1843" s="231"/>
      <c r="F1843" s="231"/>
      <c r="G1843" s="231"/>
      <c r="H1843" s="235">
        <v>44559.0</v>
      </c>
      <c r="J1843" s="108" t="str">
        <f>IF(LEFT(B1843,3)="Box","BOX","COUNT")</f>
        <v>BOX</v>
      </c>
      <c r="K1843" s="99">
        <f>SUMIF($J$4:$J$8712,$C1843,$D$4:$D$8712)</f>
        <v>2</v>
      </c>
      <c r="L1843" s="50">
        <f>SUMIF($J$4:$J$8712,$C1843,$F$4:$F$8712)</f>
        <v>238</v>
      </c>
      <c r="M1843" s="50">
        <f>SUMIF($J$4:$J$8712,$C1843,$G$4:$G$8712)</f>
        <v>79.33333333</v>
      </c>
      <c r="N1843" s="70" t="str">
        <f>C1843</f>
        <v>CL18785</v>
      </c>
      <c r="O1843" s="70" t="str">
        <f>J1844</f>
        <v>NSHIP</v>
      </c>
      <c r="P1843" s="68">
        <f>M1843</f>
        <v>79.33333333</v>
      </c>
      <c r="Q1843" s="114">
        <v>44510.0</v>
      </c>
      <c r="R1843" s="37" t="s">
        <v>2205</v>
      </c>
      <c r="S1843" s="37" t="s">
        <v>2206</v>
      </c>
    </row>
    <row r="1844">
      <c r="A1844" s="211"/>
      <c r="B1844" s="231"/>
      <c r="C1844" s="109"/>
      <c r="D1844" s="109"/>
      <c r="E1844" s="116"/>
      <c r="F1844" s="116"/>
      <c r="G1844" s="116"/>
      <c r="H1844" s="109"/>
      <c r="J1844" s="108" t="str">
        <f>IF(B1844="","NSHIP","SHIP")</f>
        <v>NSHIP</v>
      </c>
      <c r="K1844" s="99">
        <f>IF($J1844="NSHIP",0,-SUMIF($J$4:$J$8712,$C1843,$D$4:$D$8712))</f>
        <v>0</v>
      </c>
      <c r="L1844" s="50">
        <f>IF($J1844="NSHIP",0,-SUMIF($J$4:$J$8710,$C1843,$F$4:$F$8710))</f>
        <v>0</v>
      </c>
      <c r="M1844" s="50">
        <f>IF($J1844="NSHIP",0,-SUMIF($J$4:$J$8710,$C1843,$G$4:$G$8710))</f>
        <v>0</v>
      </c>
      <c r="P1844" s="68"/>
    </row>
    <row r="1845">
      <c r="A1845" s="95">
        <v>1.7116149127E10</v>
      </c>
      <c r="B1845" s="151" t="s">
        <v>2254</v>
      </c>
      <c r="C1845" s="95" t="s">
        <v>97</v>
      </c>
      <c r="D1845" s="95">
        <v>1.0</v>
      </c>
      <c r="E1845" s="101">
        <v>149.95</v>
      </c>
      <c r="F1845" s="101">
        <f t="shared" ref="F1845:F1846" si="326">E1845*D1845</f>
        <v>149.95</v>
      </c>
      <c r="G1845" s="101">
        <f t="shared" ref="G1845:G1846" si="327">F1845/3</f>
        <v>49.98333333</v>
      </c>
      <c r="H1845" s="95" t="s">
        <v>1190</v>
      </c>
      <c r="J1845" s="120" t="s">
        <v>2255</v>
      </c>
      <c r="K1845" s="99"/>
      <c r="L1845" s="50"/>
      <c r="M1845" s="50"/>
      <c r="P1845" s="68"/>
    </row>
    <row r="1846">
      <c r="A1846" s="95">
        <v>7.27682589639E11</v>
      </c>
      <c r="B1846" s="151" t="s">
        <v>2256</v>
      </c>
      <c r="C1846" s="95" t="s">
        <v>97</v>
      </c>
      <c r="D1846" s="95">
        <v>1.0</v>
      </c>
      <c r="E1846" s="101">
        <v>119.95</v>
      </c>
      <c r="F1846" s="101">
        <f t="shared" si="326"/>
        <v>119.95</v>
      </c>
      <c r="G1846" s="101">
        <f t="shared" si="327"/>
        <v>39.98333333</v>
      </c>
      <c r="H1846" s="95" t="s">
        <v>1190</v>
      </c>
      <c r="J1846" s="120" t="s">
        <v>2255</v>
      </c>
      <c r="K1846" s="99"/>
      <c r="L1846" s="50"/>
      <c r="M1846" s="50"/>
      <c r="P1846" s="68"/>
    </row>
    <row r="1847">
      <c r="A1847" s="231" t="s">
        <v>267</v>
      </c>
      <c r="B1847" s="231" t="s">
        <v>2257</v>
      </c>
      <c r="C1847" s="234" t="str">
        <f>MID($B1847,6,7)</f>
        <v>CL18786</v>
      </c>
      <c r="D1847" s="231"/>
      <c r="E1847" s="231"/>
      <c r="F1847" s="231"/>
      <c r="G1847" s="231"/>
      <c r="H1847" s="235">
        <v>44559.0</v>
      </c>
      <c r="J1847" s="108" t="str">
        <f>IF(LEFT(B1847,3)="Box","BOX","COUNT")</f>
        <v>BOX</v>
      </c>
      <c r="K1847" s="99">
        <f>SUMIF($J$4:$J$8712,$C1847,$D$4:$D$8712)</f>
        <v>2</v>
      </c>
      <c r="L1847" s="50">
        <f>SUMIF($J$4:$J$8712,$C1847,$F$4:$F$8712)</f>
        <v>269.9</v>
      </c>
      <c r="M1847" s="50">
        <f>SUMIF($J$4:$J$8712,$C1847,$G$4:$G$8712)</f>
        <v>89.96666667</v>
      </c>
      <c r="N1847" s="70" t="str">
        <f>C1847</f>
        <v>CL18786</v>
      </c>
      <c r="O1847" s="70" t="str">
        <f>J1848</f>
        <v>NSHIP</v>
      </c>
      <c r="P1847" s="68">
        <f>M1847</f>
        <v>89.96666667</v>
      </c>
      <c r="Q1847" s="114">
        <v>44510.0</v>
      </c>
      <c r="R1847" s="37" t="s">
        <v>2205</v>
      </c>
      <c r="S1847" s="37" t="s">
        <v>2206</v>
      </c>
    </row>
    <row r="1848">
      <c r="A1848" s="211"/>
      <c r="B1848" s="231"/>
      <c r="C1848" s="109"/>
      <c r="D1848" s="109"/>
      <c r="E1848" s="116"/>
      <c r="F1848" s="116"/>
      <c r="G1848" s="116"/>
      <c r="H1848" s="109"/>
      <c r="J1848" s="108" t="str">
        <f>IF(B1848="","NSHIP","SHIP")</f>
        <v>NSHIP</v>
      </c>
      <c r="K1848" s="99">
        <f>IF($J1848="NSHIP",0,-SUMIF($J$4:$J$8712,$C1847,$D$4:$D$8712))</f>
        <v>0</v>
      </c>
      <c r="L1848" s="50">
        <f>IF($J1848="NSHIP",0,-SUMIF($J$4:$J$8710,$C1847,$F$4:$F$8710))</f>
        <v>0</v>
      </c>
      <c r="M1848" s="50">
        <f>IF($J1848="NSHIP",0,-SUMIF($J$4:$J$8710,$C1847,$G$4:$G$8710))</f>
        <v>0</v>
      </c>
      <c r="P1848" s="68"/>
    </row>
    <row r="1849">
      <c r="A1849" s="95">
        <v>2.901380461E10</v>
      </c>
      <c r="B1849" s="151" t="s">
        <v>2258</v>
      </c>
      <c r="C1849" s="95" t="s">
        <v>97</v>
      </c>
      <c r="D1849" s="95">
        <v>1.0</v>
      </c>
      <c r="E1849" s="101">
        <v>75.0</v>
      </c>
      <c r="F1849" s="101">
        <f t="shared" ref="F1849:F1853" si="328">E1849*D1849</f>
        <v>75</v>
      </c>
      <c r="G1849" s="101">
        <f t="shared" ref="G1849:G1853" si="329">F1849/3</f>
        <v>25</v>
      </c>
      <c r="H1849" s="95" t="s">
        <v>2105</v>
      </c>
      <c r="J1849" s="120" t="s">
        <v>2259</v>
      </c>
      <c r="K1849" s="99"/>
      <c r="L1849" s="50"/>
      <c r="M1849" s="50"/>
      <c r="P1849" s="68"/>
    </row>
    <row r="1850">
      <c r="A1850" s="95">
        <v>1.91656794105E11</v>
      </c>
      <c r="B1850" s="151" t="s">
        <v>2260</v>
      </c>
      <c r="C1850" s="95" t="s">
        <v>97</v>
      </c>
      <c r="D1850" s="95">
        <v>1.0</v>
      </c>
      <c r="E1850" s="101">
        <v>79.0</v>
      </c>
      <c r="F1850" s="101">
        <f t="shared" si="328"/>
        <v>79</v>
      </c>
      <c r="G1850" s="101">
        <f t="shared" si="329"/>
        <v>26.33333333</v>
      </c>
      <c r="H1850" s="95" t="s">
        <v>2105</v>
      </c>
      <c r="J1850" s="120" t="s">
        <v>2259</v>
      </c>
      <c r="K1850" s="99"/>
      <c r="L1850" s="50"/>
      <c r="M1850" s="50"/>
      <c r="P1850" s="68"/>
    </row>
    <row r="1851">
      <c r="A1851" s="95">
        <v>8.89885152239E11</v>
      </c>
      <c r="B1851" s="151" t="s">
        <v>2261</v>
      </c>
      <c r="C1851" s="95" t="s">
        <v>97</v>
      </c>
      <c r="D1851" s="95">
        <v>1.0</v>
      </c>
      <c r="E1851" s="101">
        <v>50.0</v>
      </c>
      <c r="F1851" s="101">
        <f t="shared" si="328"/>
        <v>50</v>
      </c>
      <c r="G1851" s="101">
        <f t="shared" si="329"/>
        <v>16.66666667</v>
      </c>
      <c r="H1851" s="95" t="s">
        <v>1736</v>
      </c>
      <c r="J1851" s="120" t="s">
        <v>2259</v>
      </c>
      <c r="K1851" s="99"/>
      <c r="L1851" s="50"/>
      <c r="M1851" s="50"/>
      <c r="P1851" s="68"/>
    </row>
    <row r="1852">
      <c r="A1852" s="95">
        <v>8.89885790523E11</v>
      </c>
      <c r="B1852" s="151" t="s">
        <v>2262</v>
      </c>
      <c r="C1852" s="95" t="s">
        <v>97</v>
      </c>
      <c r="D1852" s="95">
        <v>1.0</v>
      </c>
      <c r="E1852" s="101">
        <v>60.0</v>
      </c>
      <c r="F1852" s="101">
        <f t="shared" si="328"/>
        <v>60</v>
      </c>
      <c r="G1852" s="101">
        <f t="shared" si="329"/>
        <v>20</v>
      </c>
      <c r="H1852" s="95" t="s">
        <v>1736</v>
      </c>
      <c r="J1852" s="120" t="s">
        <v>2259</v>
      </c>
      <c r="K1852" s="99"/>
      <c r="L1852" s="50"/>
      <c r="M1852" s="50"/>
      <c r="P1852" s="68"/>
    </row>
    <row r="1853">
      <c r="A1853" s="95">
        <v>8.89885796129E11</v>
      </c>
      <c r="B1853" s="151" t="s">
        <v>2263</v>
      </c>
      <c r="C1853" s="95" t="s">
        <v>97</v>
      </c>
      <c r="D1853" s="95">
        <v>1.0</v>
      </c>
      <c r="E1853" s="101">
        <v>60.0</v>
      </c>
      <c r="F1853" s="101">
        <f t="shared" si="328"/>
        <v>60</v>
      </c>
      <c r="G1853" s="101">
        <f t="shared" si="329"/>
        <v>20</v>
      </c>
      <c r="H1853" s="95" t="s">
        <v>1736</v>
      </c>
      <c r="J1853" s="120" t="s">
        <v>2259</v>
      </c>
      <c r="K1853" s="99"/>
      <c r="L1853" s="50"/>
      <c r="M1853" s="50"/>
      <c r="P1853" s="68"/>
    </row>
    <row r="1854">
      <c r="A1854" s="228" t="s">
        <v>115</v>
      </c>
      <c r="B1854" s="228" t="s">
        <v>2264</v>
      </c>
      <c r="C1854" s="229" t="str">
        <f>MID($B1854,6,7)</f>
        <v>CL18787</v>
      </c>
      <c r="D1854" s="228"/>
      <c r="E1854" s="228"/>
      <c r="F1854" s="228"/>
      <c r="G1854" s="228"/>
      <c r="H1854" s="230">
        <v>44559.0</v>
      </c>
      <c r="J1854" s="108" t="str">
        <f>IF(LEFT(B1854,3)="Box","BOX","COUNT")</f>
        <v>BOX</v>
      </c>
      <c r="K1854" s="99">
        <f>SUMIF($J$4:$J$8712,$C1854,$D$4:$D$8712)</f>
        <v>5</v>
      </c>
      <c r="L1854" s="50">
        <f>SUMIF($J$4:$J$8712,$C1854,$F$4:$F$8712)</f>
        <v>324</v>
      </c>
      <c r="M1854" s="50">
        <f>SUMIF($J$4:$J$8712,$C1854,$G$4:$G$8712)</f>
        <v>108</v>
      </c>
      <c r="N1854" s="70" t="str">
        <f>C1854</f>
        <v>CL18787</v>
      </c>
      <c r="O1854" s="70" t="str">
        <f>J1855</f>
        <v>SHIP</v>
      </c>
      <c r="P1854" s="68">
        <f>M1854</f>
        <v>108</v>
      </c>
      <c r="Q1854" s="114"/>
      <c r="T1854" s="37" t="s">
        <v>2228</v>
      </c>
    </row>
    <row r="1855">
      <c r="A1855" s="211"/>
      <c r="B1855" s="228" t="s">
        <v>2229</v>
      </c>
      <c r="C1855" s="109"/>
      <c r="D1855" s="109"/>
      <c r="E1855" s="116"/>
      <c r="F1855" s="116"/>
      <c r="G1855" s="116"/>
      <c r="H1855" s="109"/>
      <c r="J1855" s="108" t="str">
        <f>IF(B1855="","NSHIP","SHIP")</f>
        <v>SHIP</v>
      </c>
      <c r="K1855" s="99">
        <f>IF($J1855="NSHIP",0,-SUMIF($J$4:$J$8712,$C1854,$D$4:$D$8712))</f>
        <v>-5</v>
      </c>
      <c r="L1855" s="50">
        <f>IF($J1855="NSHIP",0,-SUMIF($J$4:$J$8710,$C1854,$F$4:$F$8710))</f>
        <v>-324</v>
      </c>
      <c r="M1855" s="50">
        <f>IF($J1855="NSHIP",0,-SUMIF($J$4:$J$8710,$C1854,$G$4:$G$8710))</f>
        <v>-108</v>
      </c>
      <c r="P1855" s="68"/>
    </row>
    <row r="1856">
      <c r="A1856" s="95">
        <v>1.94072016707E11</v>
      </c>
      <c r="B1856" s="151" t="s">
        <v>2265</v>
      </c>
      <c r="C1856" s="95" t="s">
        <v>97</v>
      </c>
      <c r="D1856" s="95">
        <v>1.0</v>
      </c>
      <c r="E1856" s="101">
        <v>109.0</v>
      </c>
      <c r="F1856" s="101">
        <f t="shared" ref="F1856:F1859" si="330">E1856*D1856</f>
        <v>109</v>
      </c>
      <c r="G1856" s="101">
        <f t="shared" ref="G1856:G1859" si="331">F1856/3</f>
        <v>36.33333333</v>
      </c>
      <c r="H1856" s="95" t="s">
        <v>883</v>
      </c>
      <c r="J1856" s="120" t="s">
        <v>2266</v>
      </c>
      <c r="K1856" s="99"/>
      <c r="L1856" s="50"/>
      <c r="M1856" s="50"/>
      <c r="P1856" s="68"/>
    </row>
    <row r="1857">
      <c r="A1857" s="95">
        <v>1.94072037443E11</v>
      </c>
      <c r="B1857" s="151" t="s">
        <v>2267</v>
      </c>
      <c r="C1857" s="95" t="s">
        <v>97</v>
      </c>
      <c r="D1857" s="95">
        <v>1.0</v>
      </c>
      <c r="E1857" s="101">
        <v>99.0</v>
      </c>
      <c r="F1857" s="101">
        <f t="shared" si="330"/>
        <v>99</v>
      </c>
      <c r="G1857" s="101">
        <f t="shared" si="331"/>
        <v>33</v>
      </c>
      <c r="H1857" s="95" t="s">
        <v>883</v>
      </c>
      <c r="J1857" s="120" t="s">
        <v>2266</v>
      </c>
      <c r="K1857" s="99"/>
      <c r="L1857" s="50"/>
      <c r="M1857" s="50"/>
      <c r="P1857" s="68"/>
    </row>
    <row r="1858">
      <c r="A1858" s="95">
        <v>1.94072085642E11</v>
      </c>
      <c r="B1858" s="151" t="s">
        <v>2268</v>
      </c>
      <c r="C1858" s="95" t="s">
        <v>97</v>
      </c>
      <c r="D1858" s="95">
        <v>1.0</v>
      </c>
      <c r="E1858" s="101">
        <v>69.0</v>
      </c>
      <c r="F1858" s="101">
        <f t="shared" si="330"/>
        <v>69</v>
      </c>
      <c r="G1858" s="101">
        <f t="shared" si="331"/>
        <v>23</v>
      </c>
      <c r="H1858" s="95" t="s">
        <v>883</v>
      </c>
      <c r="J1858" s="120" t="s">
        <v>2266</v>
      </c>
      <c r="K1858" s="99"/>
      <c r="L1858" s="50"/>
      <c r="M1858" s="50"/>
      <c r="P1858" s="68"/>
    </row>
    <row r="1859">
      <c r="A1859" s="95">
        <v>8.25443369107E11</v>
      </c>
      <c r="B1859" s="151" t="s">
        <v>2269</v>
      </c>
      <c r="C1859" s="95" t="s">
        <v>97</v>
      </c>
      <c r="D1859" s="95">
        <v>1.0</v>
      </c>
      <c r="E1859" s="101">
        <v>109.0</v>
      </c>
      <c r="F1859" s="101">
        <f t="shared" si="330"/>
        <v>109</v>
      </c>
      <c r="G1859" s="101">
        <f t="shared" si="331"/>
        <v>36.33333333</v>
      </c>
      <c r="H1859" s="95" t="s">
        <v>2270</v>
      </c>
      <c r="J1859" s="120" t="s">
        <v>2266</v>
      </c>
      <c r="K1859" s="99"/>
      <c r="L1859" s="50"/>
      <c r="M1859" s="50"/>
      <c r="P1859" s="68"/>
    </row>
    <row r="1860">
      <c r="A1860" s="231" t="s">
        <v>132</v>
      </c>
      <c r="B1860" s="231" t="s">
        <v>2271</v>
      </c>
      <c r="C1860" s="234" t="str">
        <f>MID($B1860,6,7)</f>
        <v>CL18788</v>
      </c>
      <c r="D1860" s="231"/>
      <c r="E1860" s="231"/>
      <c r="F1860" s="231"/>
      <c r="G1860" s="231"/>
      <c r="H1860" s="235">
        <v>44559.0</v>
      </c>
      <c r="J1860" s="108" t="str">
        <f>IF(LEFT(B1860,3)="Box","BOX","COUNT")</f>
        <v>BOX</v>
      </c>
      <c r="K1860" s="99">
        <f>SUMIF($J$4:$J$8712,$C1860,$D$4:$D$8712)</f>
        <v>4</v>
      </c>
      <c r="L1860" s="50">
        <f>SUMIF($J$4:$J$8712,$C1860,$F$4:$F$8712)</f>
        <v>386</v>
      </c>
      <c r="M1860" s="50">
        <f>SUMIF($J$4:$J$8712,$C1860,$G$4:$G$8712)</f>
        <v>128.6666667</v>
      </c>
      <c r="N1860" s="70" t="str">
        <f>C1860</f>
        <v>CL18788</v>
      </c>
      <c r="O1860" s="70" t="str">
        <f>J1861</f>
        <v>NSHIP</v>
      </c>
      <c r="P1860" s="68">
        <f>M1860</f>
        <v>128.6666667</v>
      </c>
      <c r="Q1860" s="114">
        <v>44510.0</v>
      </c>
      <c r="R1860" s="37" t="s">
        <v>2205</v>
      </c>
      <c r="S1860" s="37" t="s">
        <v>2206</v>
      </c>
    </row>
    <row r="1861">
      <c r="A1861" s="211"/>
      <c r="B1861" s="231"/>
      <c r="C1861" s="109"/>
      <c r="D1861" s="109"/>
      <c r="E1861" s="116"/>
      <c r="F1861" s="116"/>
      <c r="G1861" s="116"/>
      <c r="H1861" s="109"/>
      <c r="J1861" s="108" t="str">
        <f>IF(B1861="","NSHIP","SHIP")</f>
        <v>NSHIP</v>
      </c>
      <c r="K1861" s="99">
        <f>IF($J1861="NSHIP",0,-SUMIF($J$4:$J$8712,$C1860,$D$4:$D$8712))</f>
        <v>0</v>
      </c>
      <c r="L1861" s="50">
        <f>IF($J1861="NSHIP",0,-SUMIF($J$4:$J$8710,$C1860,$F$4:$F$8710))</f>
        <v>0</v>
      </c>
      <c r="M1861" s="50">
        <f>IF($J1861="NSHIP",0,-SUMIF($J$4:$J$8710,$C1860,$G$4:$G$8710))</f>
        <v>0</v>
      </c>
      <c r="P1861" s="68"/>
    </row>
    <row r="1862">
      <c r="A1862" s="95">
        <v>1.93605208138E11</v>
      </c>
      <c r="B1862" s="151" t="s">
        <v>2272</v>
      </c>
      <c r="C1862" s="95" t="s">
        <v>97</v>
      </c>
      <c r="D1862" s="95">
        <v>1.0</v>
      </c>
      <c r="E1862" s="101">
        <v>80.0</v>
      </c>
      <c r="F1862" s="101">
        <f t="shared" ref="F1862:F1865" si="332">E1862*D1862</f>
        <v>80</v>
      </c>
      <c r="G1862" s="101">
        <f t="shared" ref="G1862:G1865" si="333">F1862/3</f>
        <v>26.66666667</v>
      </c>
      <c r="H1862" s="95" t="s">
        <v>148</v>
      </c>
      <c r="J1862" s="120" t="s">
        <v>2273</v>
      </c>
      <c r="K1862" s="99"/>
      <c r="L1862" s="50"/>
      <c r="M1862" s="50"/>
      <c r="P1862" s="68"/>
    </row>
    <row r="1863">
      <c r="A1863" s="95">
        <v>1.9360534597E11</v>
      </c>
      <c r="B1863" s="151" t="s">
        <v>2274</v>
      </c>
      <c r="C1863" s="95" t="s">
        <v>97</v>
      </c>
      <c r="D1863" s="95">
        <v>1.0</v>
      </c>
      <c r="E1863" s="101">
        <v>40.0</v>
      </c>
      <c r="F1863" s="101">
        <f t="shared" si="332"/>
        <v>40</v>
      </c>
      <c r="G1863" s="101">
        <f t="shared" si="333"/>
        <v>13.33333333</v>
      </c>
      <c r="H1863" s="95" t="s">
        <v>148</v>
      </c>
      <c r="J1863" s="120" t="s">
        <v>2273</v>
      </c>
      <c r="K1863" s="99"/>
      <c r="L1863" s="50"/>
      <c r="M1863" s="50"/>
      <c r="P1863" s="68"/>
    </row>
    <row r="1864">
      <c r="A1864" s="95">
        <v>1.9360546279E11</v>
      </c>
      <c r="B1864" s="151" t="s">
        <v>2275</v>
      </c>
      <c r="C1864" s="95" t="s">
        <v>97</v>
      </c>
      <c r="D1864" s="95">
        <v>1.0</v>
      </c>
      <c r="E1864" s="101">
        <v>86.0</v>
      </c>
      <c r="F1864" s="101">
        <f t="shared" si="332"/>
        <v>86</v>
      </c>
      <c r="G1864" s="101">
        <f t="shared" si="333"/>
        <v>28.66666667</v>
      </c>
      <c r="H1864" s="95" t="s">
        <v>2276</v>
      </c>
      <c r="J1864" s="120" t="s">
        <v>2273</v>
      </c>
      <c r="K1864" s="99"/>
      <c r="L1864" s="50"/>
      <c r="M1864" s="50"/>
      <c r="P1864" s="68"/>
    </row>
    <row r="1865">
      <c r="A1865" s="95">
        <v>1.93605462837E11</v>
      </c>
      <c r="B1865" s="151" t="s">
        <v>150</v>
      </c>
      <c r="C1865" s="95" t="s">
        <v>97</v>
      </c>
      <c r="D1865" s="95">
        <v>1.0</v>
      </c>
      <c r="E1865" s="101">
        <v>80.0</v>
      </c>
      <c r="F1865" s="101">
        <f t="shared" si="332"/>
        <v>80</v>
      </c>
      <c r="G1865" s="101">
        <f t="shared" si="333"/>
        <v>26.66666667</v>
      </c>
      <c r="H1865" s="95" t="s">
        <v>148</v>
      </c>
      <c r="J1865" s="120" t="s">
        <v>2273</v>
      </c>
      <c r="K1865" s="99"/>
      <c r="L1865" s="50"/>
      <c r="M1865" s="50"/>
      <c r="P1865" s="68"/>
    </row>
    <row r="1866">
      <c r="A1866" s="231" t="s">
        <v>153</v>
      </c>
      <c r="B1866" s="231" t="s">
        <v>2277</v>
      </c>
      <c r="C1866" s="234" t="str">
        <f>MID($B1866,6,7)</f>
        <v>CL18789</v>
      </c>
      <c r="D1866" s="231"/>
      <c r="E1866" s="231"/>
      <c r="F1866" s="231"/>
      <c r="G1866" s="231"/>
      <c r="H1866" s="235">
        <v>44559.0</v>
      </c>
      <c r="J1866" s="108" t="str">
        <f>IF(LEFT(B1866,3)="Box","BOX","COUNT")</f>
        <v>BOX</v>
      </c>
      <c r="K1866" s="99">
        <f>SUMIF($J$4:$J$8712,$C1866,$D$4:$D$8712)</f>
        <v>4</v>
      </c>
      <c r="L1866" s="50">
        <f>SUMIF($J$4:$J$8712,$C1866,$F$4:$F$8712)</f>
        <v>286</v>
      </c>
      <c r="M1866" s="50">
        <f>SUMIF($J$4:$J$8712,$C1866,$G$4:$G$8712)</f>
        <v>95.33333333</v>
      </c>
      <c r="N1866" s="70" t="str">
        <f>C1866</f>
        <v>CL18789</v>
      </c>
      <c r="O1866" s="70" t="str">
        <f>J1867</f>
        <v>NSHIP</v>
      </c>
      <c r="P1866" s="68">
        <f>M1866</f>
        <v>95.33333333</v>
      </c>
      <c r="Q1866" s="114">
        <v>44510.0</v>
      </c>
      <c r="R1866" s="37" t="s">
        <v>2205</v>
      </c>
      <c r="S1866" s="37" t="s">
        <v>2206</v>
      </c>
    </row>
    <row r="1867">
      <c r="A1867" s="211"/>
      <c r="B1867" s="231"/>
      <c r="C1867" s="109"/>
      <c r="D1867" s="109"/>
      <c r="E1867" s="116"/>
      <c r="F1867" s="116"/>
      <c r="G1867" s="116"/>
      <c r="H1867" s="109"/>
      <c r="J1867" s="108" t="str">
        <f>IF(B1867="","NSHIP","SHIP")</f>
        <v>NSHIP</v>
      </c>
      <c r="K1867" s="99">
        <f>IF($J1867="NSHIP",0,-SUMIF($J$4:$J$8712,$C1866,$D$4:$D$8712))</f>
        <v>0</v>
      </c>
      <c r="L1867" s="50">
        <f>IF($J1867="NSHIP",0,-SUMIF($J$4:$J$8710,$C1866,$F$4:$F$8710))</f>
        <v>0</v>
      </c>
      <c r="M1867" s="50">
        <f>IF($J1867="NSHIP",0,-SUMIF($J$4:$J$8710,$C1866,$G$4:$G$8710))</f>
        <v>0</v>
      </c>
      <c r="P1867" s="68"/>
    </row>
    <row r="1868">
      <c r="A1868" s="95">
        <v>8.8955670334E11</v>
      </c>
      <c r="B1868" s="151" t="s">
        <v>2278</v>
      </c>
      <c r="C1868" s="95" t="s">
        <v>97</v>
      </c>
      <c r="D1868" s="95">
        <v>1.0</v>
      </c>
      <c r="E1868" s="101">
        <v>129.95</v>
      </c>
      <c r="F1868" s="101">
        <f t="shared" ref="F1868:F1869" si="334">E1868*D1868</f>
        <v>129.95</v>
      </c>
      <c r="G1868" s="101">
        <f t="shared" ref="G1868:G1869" si="335">F1868/3</f>
        <v>43.31666667</v>
      </c>
      <c r="H1868" s="95" t="s">
        <v>1269</v>
      </c>
      <c r="J1868" s="120" t="s">
        <v>2279</v>
      </c>
      <c r="K1868" s="99"/>
      <c r="L1868" s="50"/>
      <c r="M1868" s="50"/>
      <c r="P1868" s="68"/>
    </row>
    <row r="1869">
      <c r="A1869" s="95">
        <v>8.89556891849E11</v>
      </c>
      <c r="B1869" s="151" t="s">
        <v>2280</v>
      </c>
      <c r="C1869" s="95" t="s">
        <v>97</v>
      </c>
      <c r="D1869" s="95">
        <v>1.0</v>
      </c>
      <c r="E1869" s="101">
        <v>99.97</v>
      </c>
      <c r="F1869" s="101">
        <f t="shared" si="334"/>
        <v>99.97</v>
      </c>
      <c r="G1869" s="101">
        <f t="shared" si="335"/>
        <v>33.32333333</v>
      </c>
      <c r="H1869" s="95" t="s">
        <v>2281</v>
      </c>
      <c r="J1869" s="120" t="s">
        <v>2279</v>
      </c>
      <c r="K1869" s="99"/>
      <c r="L1869" s="50"/>
      <c r="M1869" s="50"/>
      <c r="P1869" s="68"/>
    </row>
    <row r="1870">
      <c r="A1870" s="228"/>
      <c r="B1870" s="228" t="s">
        <v>2282</v>
      </c>
      <c r="C1870" s="229" t="str">
        <f>MID($B1870,6,7)</f>
        <v>CL18790</v>
      </c>
      <c r="D1870" s="228"/>
      <c r="E1870" s="228"/>
      <c r="F1870" s="228"/>
      <c r="G1870" s="228"/>
      <c r="H1870" s="230">
        <v>44559.0</v>
      </c>
      <c r="J1870" s="108" t="str">
        <f>IF(LEFT(B1870,3)="Box","BOX","COUNT")</f>
        <v>BOX</v>
      </c>
      <c r="K1870" s="99">
        <f>SUMIF($J$4:$J$8712,$C1870,$D$4:$D$8712)</f>
        <v>2</v>
      </c>
      <c r="L1870" s="50">
        <f>SUMIF($J$4:$J$8712,$C1870,$F$4:$F$8712)</f>
        <v>229.92</v>
      </c>
      <c r="M1870" s="50">
        <f>SUMIF($J$4:$J$8712,$C1870,$G$4:$G$8712)</f>
        <v>76.64</v>
      </c>
      <c r="N1870" s="70" t="str">
        <f>C1870</f>
        <v>CL18790</v>
      </c>
      <c r="O1870" s="70" t="str">
        <f>J1871</f>
        <v>NSHIP</v>
      </c>
      <c r="P1870" s="68">
        <f>M1870</f>
        <v>76.64</v>
      </c>
      <c r="T1870" s="37" t="s">
        <v>1734</v>
      </c>
    </row>
    <row r="1871">
      <c r="A1871" s="211"/>
      <c r="B1871" s="231"/>
      <c r="C1871" s="109"/>
      <c r="D1871" s="109"/>
      <c r="E1871" s="116"/>
      <c r="F1871" s="116"/>
      <c r="G1871" s="116"/>
      <c r="H1871" s="109"/>
      <c r="J1871" s="108" t="str">
        <f>IF(B1871="","NSHIP","SHIP")</f>
        <v>NSHIP</v>
      </c>
      <c r="K1871" s="99">
        <f>IF($J1871="NSHIP",0,-SUMIF($J$4:$J$8712,$C1870,$D$4:$D$8712))</f>
        <v>0</v>
      </c>
      <c r="L1871" s="50">
        <f>IF($J1871="NSHIP",0,-SUMIF($J$4:$J$8710,$C1870,$F$4:$F$8710))</f>
        <v>0</v>
      </c>
      <c r="M1871" s="50">
        <f>IF($J1871="NSHIP",0,-SUMIF($J$4:$J$8710,$C1870,$G$4:$G$8710))</f>
        <v>0</v>
      </c>
      <c r="P1871" s="68"/>
    </row>
    <row r="1872">
      <c r="A1872" s="95">
        <v>1.91039106952E11</v>
      </c>
      <c r="B1872" s="151" t="s">
        <v>2283</v>
      </c>
      <c r="C1872" s="95" t="s">
        <v>97</v>
      </c>
      <c r="D1872" s="95">
        <v>1.0</v>
      </c>
      <c r="E1872" s="101">
        <v>100.0</v>
      </c>
      <c r="F1872" s="101">
        <f t="shared" ref="F1872:F1873" si="336">E1872*D1872</f>
        <v>100</v>
      </c>
      <c r="G1872" s="101">
        <f t="shared" ref="G1872:G1873" si="337">F1872/3</f>
        <v>33.33333333</v>
      </c>
      <c r="H1872" s="95" t="s">
        <v>2007</v>
      </c>
      <c r="J1872" s="120" t="s">
        <v>2284</v>
      </c>
      <c r="K1872" s="99"/>
      <c r="L1872" s="50"/>
      <c r="M1872" s="50"/>
      <c r="P1872" s="68"/>
    </row>
    <row r="1873">
      <c r="A1873" s="95">
        <v>8.89136170807E11</v>
      </c>
      <c r="B1873" s="151" t="s">
        <v>2285</v>
      </c>
      <c r="C1873" s="95" t="s">
        <v>97</v>
      </c>
      <c r="D1873" s="95">
        <v>1.0</v>
      </c>
      <c r="E1873" s="101">
        <v>35.0</v>
      </c>
      <c r="F1873" s="101">
        <f t="shared" si="336"/>
        <v>35</v>
      </c>
      <c r="G1873" s="101">
        <f t="shared" si="337"/>
        <v>11.66666667</v>
      </c>
      <c r="H1873" s="95" t="s">
        <v>2007</v>
      </c>
      <c r="J1873" s="120" t="s">
        <v>2284</v>
      </c>
      <c r="K1873" s="99"/>
      <c r="L1873" s="50"/>
      <c r="M1873" s="50"/>
      <c r="P1873" s="68"/>
    </row>
    <row r="1874">
      <c r="A1874" s="231" t="s">
        <v>224</v>
      </c>
      <c r="B1874" s="231" t="s">
        <v>2286</v>
      </c>
      <c r="C1874" s="234" t="str">
        <f>MID($B1874,6,7)</f>
        <v>CL18791</v>
      </c>
      <c r="D1874" s="231"/>
      <c r="E1874" s="231"/>
      <c r="F1874" s="231"/>
      <c r="G1874" s="231"/>
      <c r="H1874" s="235">
        <v>44559.0</v>
      </c>
      <c r="J1874" s="108" t="str">
        <f>IF(LEFT(B1874,3)="Box","BOX","COUNT")</f>
        <v>BOX</v>
      </c>
      <c r="K1874" s="99">
        <f>SUMIF($J$4:$J$8712,$C1874,$D$4:$D$8712)</f>
        <v>2</v>
      </c>
      <c r="L1874" s="50">
        <f>SUMIF($J$4:$J$8712,$C1874,$F$4:$F$8712)</f>
        <v>135</v>
      </c>
      <c r="M1874" s="50">
        <f>SUMIF($J$4:$J$8712,$C1874,$G$4:$G$8712)</f>
        <v>45</v>
      </c>
      <c r="N1874" s="70" t="str">
        <f>C1874</f>
        <v>CL18791</v>
      </c>
      <c r="O1874" s="70" t="str">
        <f>J1875</f>
        <v>NSHIP</v>
      </c>
      <c r="P1874" s="68">
        <f>M1874</f>
        <v>45</v>
      </c>
      <c r="Q1874" s="114">
        <v>44559.0</v>
      </c>
      <c r="R1874" s="37" t="s">
        <v>2036</v>
      </c>
      <c r="S1874" s="37" t="s">
        <v>2037</v>
      </c>
    </row>
    <row r="1875">
      <c r="A1875" s="211"/>
      <c r="B1875" s="231"/>
      <c r="C1875" s="109"/>
      <c r="D1875" s="109"/>
      <c r="E1875" s="116"/>
      <c r="F1875" s="116"/>
      <c r="G1875" s="116"/>
      <c r="H1875" s="109"/>
      <c r="J1875" s="108" t="str">
        <f>IF(B1875="","NSHIP","SHIP")</f>
        <v>NSHIP</v>
      </c>
      <c r="K1875" s="99">
        <f>IF($J1875="NSHIP",0,-SUMIF($J$4:$J$8712,$C1874,$D$4:$D$8712))</f>
        <v>0</v>
      </c>
      <c r="L1875" s="50">
        <f>IF($J1875="NSHIP",0,-SUMIF($J$4:$J$8710,$C1874,$F$4:$F$8710))</f>
        <v>0</v>
      </c>
      <c r="M1875" s="50">
        <f>IF($J1875="NSHIP",0,-SUMIF($J$4:$J$8710,$C1874,$G$4:$G$8710))</f>
        <v>0</v>
      </c>
      <c r="P1875" s="68"/>
    </row>
    <row r="1876">
      <c r="A1876" s="95">
        <v>1.93525798221E11</v>
      </c>
      <c r="B1876" s="151" t="s">
        <v>2287</v>
      </c>
      <c r="C1876" s="95" t="s">
        <v>97</v>
      </c>
      <c r="D1876" s="95">
        <v>1.0</v>
      </c>
      <c r="E1876" s="101">
        <v>65.0</v>
      </c>
      <c r="F1876" s="101">
        <f>E1876*D1876</f>
        <v>65</v>
      </c>
      <c r="G1876" s="101">
        <f>F1876/3</f>
        <v>21.66666667</v>
      </c>
      <c r="H1876" s="95" t="s">
        <v>2288</v>
      </c>
      <c r="J1876" s="120" t="s">
        <v>2289</v>
      </c>
      <c r="K1876" s="99"/>
      <c r="L1876" s="50"/>
      <c r="M1876" s="50"/>
      <c r="P1876" s="68"/>
    </row>
    <row r="1877">
      <c r="A1877" s="231" t="s">
        <v>267</v>
      </c>
      <c r="B1877" s="231" t="s">
        <v>2290</v>
      </c>
      <c r="C1877" s="234" t="str">
        <f>MID($B1877,6,7)</f>
        <v>CL18792</v>
      </c>
      <c r="D1877" s="231"/>
      <c r="E1877" s="231"/>
      <c r="F1877" s="231"/>
      <c r="G1877" s="231"/>
      <c r="H1877" s="235">
        <v>44559.0</v>
      </c>
      <c r="J1877" s="108" t="str">
        <f>IF(LEFT(B1877,3)="Box","BOX","COUNT")</f>
        <v>BOX</v>
      </c>
      <c r="K1877" s="99">
        <f>SUMIF($J$4:$J$8712,$C1877,$D$4:$D$8712)</f>
        <v>1</v>
      </c>
      <c r="L1877" s="50">
        <f>SUMIF($J$4:$J$8712,$C1877,$F$4:$F$8712)</f>
        <v>65</v>
      </c>
      <c r="M1877" s="50">
        <f>SUMIF($J$4:$J$8712,$C1877,$G$4:$G$8712)</f>
        <v>21.66666667</v>
      </c>
      <c r="N1877" s="70" t="str">
        <f>C1877</f>
        <v>CL18792</v>
      </c>
      <c r="O1877" s="70" t="str">
        <f>J1878</f>
        <v>NSHIP</v>
      </c>
      <c r="P1877" s="68">
        <f>M1877</f>
        <v>21.66666667</v>
      </c>
      <c r="Q1877" s="114">
        <v>44510.0</v>
      </c>
      <c r="R1877" s="37" t="s">
        <v>2291</v>
      </c>
      <c r="S1877" s="37" t="s">
        <v>2292</v>
      </c>
    </row>
    <row r="1878">
      <c r="A1878" s="211"/>
      <c r="B1878" s="231"/>
      <c r="C1878" s="109"/>
      <c r="D1878" s="109"/>
      <c r="E1878" s="116"/>
      <c r="F1878" s="116"/>
      <c r="G1878" s="116"/>
      <c r="H1878" s="109"/>
      <c r="J1878" s="108" t="str">
        <f>IF(B1878="","NSHIP","SHIP")</f>
        <v>NSHIP</v>
      </c>
      <c r="K1878" s="99">
        <f>IF($J1878="NSHIP",0,-SUMIF($J$4:$J$8712,$C1877,$D$4:$D$8712))</f>
        <v>0</v>
      </c>
      <c r="L1878" s="50">
        <f>IF($J1878="NSHIP",0,-SUMIF($J$4:$J$8710,$C1877,$F$4:$F$8710))</f>
        <v>0</v>
      </c>
      <c r="M1878" s="50">
        <f>IF($J1878="NSHIP",0,-SUMIF($J$4:$J$8710,$C1877,$G$4:$G$8710))</f>
        <v>0</v>
      </c>
      <c r="P1878" s="68"/>
    </row>
    <row r="1879">
      <c r="A1879" s="95">
        <v>1.92361626873E11</v>
      </c>
      <c r="B1879" s="151" t="s">
        <v>2293</v>
      </c>
      <c r="C1879" s="95" t="s">
        <v>97</v>
      </c>
      <c r="D1879" s="95">
        <v>1.0</v>
      </c>
      <c r="E1879" s="101">
        <v>100.0</v>
      </c>
      <c r="F1879" s="101">
        <f>E1879*D1879</f>
        <v>100</v>
      </c>
      <c r="G1879" s="101">
        <f>F1879/3</f>
        <v>33.33333333</v>
      </c>
      <c r="H1879" s="95" t="s">
        <v>2294</v>
      </c>
      <c r="J1879" s="120" t="s">
        <v>2295</v>
      </c>
      <c r="K1879" s="99"/>
      <c r="L1879" s="50"/>
      <c r="M1879" s="50"/>
      <c r="P1879" s="68"/>
    </row>
    <row r="1880">
      <c r="A1880" s="228"/>
      <c r="B1880" s="228" t="s">
        <v>2296</v>
      </c>
      <c r="C1880" s="229" t="str">
        <f>MID($B1880,6,7)</f>
        <v>CL18793</v>
      </c>
      <c r="D1880" s="228"/>
      <c r="E1880" s="228"/>
      <c r="F1880" s="228"/>
      <c r="G1880" s="228"/>
      <c r="H1880" s="230">
        <v>44559.0</v>
      </c>
      <c r="J1880" s="108" t="str">
        <f>IF(LEFT(B1880,3)="Box","BOX","COUNT")</f>
        <v>BOX</v>
      </c>
      <c r="K1880" s="99">
        <f>SUMIF($J$4:$J$8712,$C1880,$D$4:$D$8712)</f>
        <v>1</v>
      </c>
      <c r="L1880" s="50">
        <f>SUMIF($J$4:$J$8712,$C1880,$F$4:$F$8712)</f>
        <v>100</v>
      </c>
      <c r="M1880" s="50">
        <f>SUMIF($J$4:$J$8712,$C1880,$G$4:$G$8712)</f>
        <v>33.33333333</v>
      </c>
      <c r="N1880" s="70" t="str">
        <f>C1880</f>
        <v>CL18793</v>
      </c>
      <c r="O1880" s="70" t="str">
        <f>J1881</f>
        <v>NSHIP</v>
      </c>
      <c r="P1880" s="68">
        <f>M1880</f>
        <v>33.33333333</v>
      </c>
      <c r="T1880" s="37" t="s">
        <v>1734</v>
      </c>
    </row>
    <row r="1881">
      <c r="A1881" s="211"/>
      <c r="B1881" s="231"/>
      <c r="C1881" s="109"/>
      <c r="D1881" s="109"/>
      <c r="E1881" s="116"/>
      <c r="F1881" s="116"/>
      <c r="G1881" s="116"/>
      <c r="H1881" s="109"/>
      <c r="J1881" s="108" t="str">
        <f>IF(B1881="","NSHIP","SHIP")</f>
        <v>NSHIP</v>
      </c>
      <c r="K1881" s="99">
        <f>IF($J1881="NSHIP",0,-SUMIF($J$4:$J$8712,$C1880,$D$4:$D$8712))</f>
        <v>0</v>
      </c>
      <c r="L1881" s="50">
        <f>IF($J1881="NSHIP",0,-SUMIF($J$4:$J$8710,$C1880,$F$4:$F$8710))</f>
        <v>0</v>
      </c>
      <c r="M1881" s="50">
        <f>IF($J1881="NSHIP",0,-SUMIF($J$4:$J$8710,$C1880,$G$4:$G$8710))</f>
        <v>0</v>
      </c>
      <c r="P1881" s="68"/>
    </row>
    <row r="1882">
      <c r="A1882" s="95">
        <v>1.92681164116E11</v>
      </c>
      <c r="B1882" s="192" t="s">
        <v>2297</v>
      </c>
      <c r="C1882" s="95" t="s">
        <v>97</v>
      </c>
      <c r="D1882" s="95">
        <v>1.0</v>
      </c>
      <c r="E1882" s="101">
        <v>139.95</v>
      </c>
      <c r="F1882" s="101">
        <f>E1882*D1882</f>
        <v>139.95</v>
      </c>
      <c r="G1882" s="101">
        <f>F1882/3</f>
        <v>46.65</v>
      </c>
      <c r="H1882" s="95" t="s">
        <v>956</v>
      </c>
      <c r="J1882" s="120" t="s">
        <v>2298</v>
      </c>
      <c r="K1882" s="99"/>
      <c r="L1882" s="50"/>
      <c r="M1882" s="50"/>
      <c r="P1882" s="68"/>
    </row>
    <row r="1883">
      <c r="A1883" s="102" t="s">
        <v>113</v>
      </c>
      <c r="B1883" s="209" t="s">
        <v>2299</v>
      </c>
      <c r="C1883" s="104"/>
      <c r="D1883" s="104"/>
      <c r="E1883" s="105"/>
      <c r="F1883" s="106"/>
      <c r="G1883" s="106"/>
      <c r="H1883" s="107"/>
      <c r="J1883" s="108"/>
      <c r="K1883" s="99"/>
      <c r="L1883" s="50"/>
      <c r="M1883" s="50"/>
      <c r="P1883" s="68"/>
    </row>
    <row r="1884">
      <c r="A1884" s="111" t="s">
        <v>115</v>
      </c>
      <c r="B1884" s="111" t="s">
        <v>2300</v>
      </c>
      <c r="C1884" s="112" t="str">
        <f>MID($B1884,6,7)</f>
        <v>CL18794</v>
      </c>
      <c r="D1884" s="111"/>
      <c r="E1884" s="111"/>
      <c r="F1884" s="111"/>
      <c r="G1884" s="111"/>
      <c r="H1884" s="113">
        <v>44559.0</v>
      </c>
      <c r="J1884" s="108" t="str">
        <f>IF(LEFT(B1884,3)="Box","BOX","COUNT")</f>
        <v>BOX</v>
      </c>
      <c r="K1884" s="99">
        <f>SUMIF($J$4:$J$8712,$C1884,$D$4:$D$8712)</f>
        <v>1</v>
      </c>
      <c r="L1884" s="50">
        <f>SUMIF($J$4:$J$8712,$C1884,$F$4:$F$8712)</f>
        <v>139.95</v>
      </c>
      <c r="M1884" s="50">
        <f>SUMIF($J$4:$J$8712,$C1884,$G$4:$G$8712)</f>
        <v>46.65</v>
      </c>
      <c r="N1884" s="70" t="str">
        <f>C1884</f>
        <v>CL18794</v>
      </c>
      <c r="O1884" s="70" t="str">
        <f>J1885</f>
        <v>SHIP</v>
      </c>
      <c r="P1884" s="68">
        <f>M1884</f>
        <v>46.65</v>
      </c>
      <c r="Q1884" s="114">
        <v>44510.0</v>
      </c>
      <c r="R1884" s="37" t="s">
        <v>2291</v>
      </c>
      <c r="S1884" s="37" t="s">
        <v>2292</v>
      </c>
    </row>
    <row r="1885">
      <c r="A1885" s="211"/>
      <c r="B1885" s="111" t="s">
        <v>2301</v>
      </c>
      <c r="C1885" s="109"/>
      <c r="D1885" s="109"/>
      <c r="E1885" s="116"/>
      <c r="F1885" s="116"/>
      <c r="G1885" s="116"/>
      <c r="H1885" s="109"/>
      <c r="J1885" s="108" t="str">
        <f>IF(B1885="","NSHIP","SHIP")</f>
        <v>SHIP</v>
      </c>
      <c r="K1885" s="99">
        <f>IF($J1885="NSHIP",0,-SUMIF($J$4:$J$8712,$C1884,$D$4:$D$8712))</f>
        <v>-1</v>
      </c>
      <c r="L1885" s="50">
        <f>IF($J1885="NSHIP",0,-SUMIF($J$4:$J$8710,$C1884,$F$4:$F$8710))</f>
        <v>-139.95</v>
      </c>
      <c r="M1885" s="50">
        <f>IF($J1885="NSHIP",0,-SUMIF($J$4:$J$8710,$C1884,$G$4:$G$8710))</f>
        <v>-46.65</v>
      </c>
      <c r="P1885" s="68"/>
    </row>
    <row r="1886">
      <c r="A1886" s="95">
        <v>1.7118888451E10</v>
      </c>
      <c r="B1886" s="164" t="s">
        <v>2302</v>
      </c>
      <c r="C1886" s="95" t="s">
        <v>97</v>
      </c>
      <c r="D1886" s="95">
        <v>1.0</v>
      </c>
      <c r="E1886" s="101">
        <v>100.0</v>
      </c>
      <c r="F1886" s="101">
        <f t="shared" ref="F1886:F1887" si="338">E1886*D1886</f>
        <v>100</v>
      </c>
      <c r="G1886" s="101">
        <f t="shared" ref="G1886:G1887" si="339">F1886/3</f>
        <v>33.33333333</v>
      </c>
      <c r="H1886" s="95" t="s">
        <v>2303</v>
      </c>
      <c r="J1886" s="120" t="s">
        <v>2304</v>
      </c>
      <c r="K1886" s="99"/>
      <c r="L1886" s="50"/>
      <c r="M1886" s="50"/>
      <c r="P1886" s="68"/>
    </row>
    <row r="1887">
      <c r="A1887" s="95">
        <v>1.7121652773E10</v>
      </c>
      <c r="B1887" s="131" t="s">
        <v>2305</v>
      </c>
      <c r="C1887" s="95" t="s">
        <v>97</v>
      </c>
      <c r="D1887" s="95">
        <v>1.0</v>
      </c>
      <c r="E1887" s="101">
        <v>100.0</v>
      </c>
      <c r="F1887" s="101">
        <f t="shared" si="338"/>
        <v>100</v>
      </c>
      <c r="G1887" s="101">
        <f t="shared" si="339"/>
        <v>33.33333333</v>
      </c>
      <c r="H1887" s="95" t="s">
        <v>2303</v>
      </c>
      <c r="J1887" s="120" t="s">
        <v>2304</v>
      </c>
      <c r="K1887" s="99"/>
      <c r="L1887" s="50"/>
      <c r="M1887" s="50"/>
      <c r="P1887" s="68"/>
    </row>
    <row r="1888">
      <c r="A1888" s="102" t="s">
        <v>819</v>
      </c>
      <c r="B1888" s="209" t="s">
        <v>2306</v>
      </c>
      <c r="C1888" s="104"/>
      <c r="D1888" s="104"/>
      <c r="E1888" s="105"/>
      <c r="F1888" s="106"/>
      <c r="G1888" s="106"/>
      <c r="H1888" s="107"/>
      <c r="J1888" s="108"/>
      <c r="K1888" s="99"/>
      <c r="L1888" s="50"/>
      <c r="M1888" s="50"/>
      <c r="P1888" s="68"/>
    </row>
    <row r="1889">
      <c r="A1889" s="95">
        <v>1.7118883661E10</v>
      </c>
      <c r="B1889" s="192" t="s">
        <v>2307</v>
      </c>
      <c r="C1889" s="95" t="s">
        <v>97</v>
      </c>
      <c r="D1889" s="95">
        <v>1.0</v>
      </c>
      <c r="E1889" s="101">
        <v>100.0</v>
      </c>
      <c r="F1889" s="101">
        <f>E1889*D1889</f>
        <v>100</v>
      </c>
      <c r="G1889" s="101">
        <f>F1889/3</f>
        <v>33.33333333</v>
      </c>
      <c r="H1889" s="95" t="s">
        <v>2303</v>
      </c>
      <c r="J1889" s="120" t="s">
        <v>2304</v>
      </c>
      <c r="K1889" s="99"/>
      <c r="L1889" s="50"/>
      <c r="M1889" s="50"/>
      <c r="P1889" s="68"/>
    </row>
    <row r="1890">
      <c r="A1890" s="102" t="s">
        <v>113</v>
      </c>
      <c r="B1890" s="209" t="s">
        <v>2308</v>
      </c>
      <c r="C1890" s="104"/>
      <c r="D1890" s="104"/>
      <c r="E1890" s="105"/>
      <c r="F1890" s="106"/>
      <c r="G1890" s="106"/>
      <c r="H1890" s="107"/>
      <c r="J1890" s="108"/>
      <c r="K1890" s="99"/>
      <c r="L1890" s="50"/>
      <c r="M1890" s="50"/>
      <c r="P1890" s="68"/>
    </row>
    <row r="1891">
      <c r="A1891" s="111" t="s">
        <v>115</v>
      </c>
      <c r="B1891" s="111" t="s">
        <v>2309</v>
      </c>
      <c r="C1891" s="112" t="str">
        <f>MID($B1891,6,7)</f>
        <v>CL18795</v>
      </c>
      <c r="D1891" s="111"/>
      <c r="E1891" s="111"/>
      <c r="F1891" s="111"/>
      <c r="G1891" s="111"/>
      <c r="H1891" s="113">
        <v>44559.0</v>
      </c>
      <c r="J1891" s="108" t="str">
        <f>IF(LEFT(B1891,3)="Box","BOX","COUNT")</f>
        <v>BOX</v>
      </c>
      <c r="K1891" s="99">
        <f>SUMIF($J$4:$J$8712,$C1891,$D$4:$D$8712)</f>
        <v>3</v>
      </c>
      <c r="L1891" s="50">
        <f>SUMIF($J$4:$J$8712,$C1891,$F$4:$F$8712)</f>
        <v>300</v>
      </c>
      <c r="M1891" s="50">
        <f>SUMIF($J$4:$J$8712,$C1891,$G$4:$G$8712)</f>
        <v>100</v>
      </c>
      <c r="N1891" s="70" t="str">
        <f>C1891</f>
        <v>CL18795</v>
      </c>
      <c r="O1891" s="70" t="str">
        <f>J1892</f>
        <v>SHIP</v>
      </c>
      <c r="P1891" s="68">
        <f>M1891</f>
        <v>100</v>
      </c>
      <c r="Q1891" s="114">
        <v>44510.0</v>
      </c>
      <c r="R1891" s="37" t="s">
        <v>2291</v>
      </c>
      <c r="S1891" s="37" t="s">
        <v>2292</v>
      </c>
    </row>
    <row r="1892">
      <c r="A1892" s="211"/>
      <c r="B1892" s="111" t="s">
        <v>2310</v>
      </c>
      <c r="C1892" s="109"/>
      <c r="D1892" s="109"/>
      <c r="E1892" s="116"/>
      <c r="F1892" s="116"/>
      <c r="G1892" s="116"/>
      <c r="H1892" s="109"/>
      <c r="J1892" s="108" t="str">
        <f>IF(B1892="","NSHIP","SHIP")</f>
        <v>SHIP</v>
      </c>
      <c r="K1892" s="99">
        <f>IF($J1892="NSHIP",0,-SUMIF($J$4:$J$8712,$C1891,$D$4:$D$8712))</f>
        <v>-3</v>
      </c>
      <c r="L1892" s="50">
        <f>IF($J1892="NSHIP",0,-SUMIF($J$4:$J$8710,$C1891,$F$4:$F$8710))</f>
        <v>-300</v>
      </c>
      <c r="M1892" s="50">
        <f>IF($J1892="NSHIP",0,-SUMIF($J$4:$J$8710,$C1891,$G$4:$G$8710))</f>
        <v>-100</v>
      </c>
      <c r="P1892" s="68"/>
    </row>
    <row r="1893">
      <c r="A1893" s="95">
        <v>1.90233562571E11</v>
      </c>
      <c r="B1893" s="151" t="s">
        <v>2311</v>
      </c>
      <c r="C1893" s="95" t="s">
        <v>97</v>
      </c>
      <c r="D1893" s="95">
        <v>1.0</v>
      </c>
      <c r="E1893" s="101">
        <v>198.0</v>
      </c>
      <c r="F1893" s="101">
        <f t="shared" ref="F1893:F1895" si="340">E1893*D1893</f>
        <v>198</v>
      </c>
      <c r="G1893" s="101">
        <f t="shared" ref="G1893:G1895" si="341">F1893/3</f>
        <v>66</v>
      </c>
      <c r="H1893" s="95" t="s">
        <v>2312</v>
      </c>
      <c r="J1893" s="120" t="s">
        <v>2313</v>
      </c>
      <c r="K1893" s="99"/>
      <c r="L1893" s="50"/>
      <c r="M1893" s="50"/>
      <c r="P1893" s="68"/>
    </row>
    <row r="1894">
      <c r="A1894" s="95">
        <v>1.9023357567E11</v>
      </c>
      <c r="B1894" s="151" t="s">
        <v>2314</v>
      </c>
      <c r="C1894" s="95" t="s">
        <v>97</v>
      </c>
      <c r="D1894" s="95">
        <v>1.0</v>
      </c>
      <c r="E1894" s="101">
        <v>198.0</v>
      </c>
      <c r="F1894" s="101">
        <f t="shared" si="340"/>
        <v>198</v>
      </c>
      <c r="G1894" s="101">
        <f t="shared" si="341"/>
        <v>66</v>
      </c>
      <c r="H1894" s="95" t="s">
        <v>2312</v>
      </c>
      <c r="J1894" s="120" t="s">
        <v>2313</v>
      </c>
      <c r="K1894" s="99"/>
      <c r="L1894" s="50"/>
      <c r="M1894" s="50"/>
      <c r="P1894" s="68"/>
    </row>
    <row r="1895">
      <c r="A1895" s="95">
        <v>1.90918716824E11</v>
      </c>
      <c r="B1895" s="151" t="s">
        <v>2315</v>
      </c>
      <c r="C1895" s="95" t="s">
        <v>97</v>
      </c>
      <c r="D1895" s="95">
        <v>1.0</v>
      </c>
      <c r="E1895" s="101">
        <v>318.0</v>
      </c>
      <c r="F1895" s="101">
        <f t="shared" si="340"/>
        <v>318</v>
      </c>
      <c r="G1895" s="101">
        <f t="shared" si="341"/>
        <v>106</v>
      </c>
      <c r="H1895" s="95" t="s">
        <v>2312</v>
      </c>
      <c r="J1895" s="120" t="s">
        <v>2313</v>
      </c>
      <c r="K1895" s="99"/>
      <c r="L1895" s="50"/>
      <c r="M1895" s="50"/>
      <c r="P1895" s="68"/>
    </row>
    <row r="1896">
      <c r="A1896" s="228" t="s">
        <v>115</v>
      </c>
      <c r="B1896" s="228" t="s">
        <v>2316</v>
      </c>
      <c r="C1896" s="229" t="str">
        <f>MID($B1896,6,7)</f>
        <v>CL18796</v>
      </c>
      <c r="D1896" s="228"/>
      <c r="E1896" s="228"/>
      <c r="F1896" s="228"/>
      <c r="G1896" s="228"/>
      <c r="H1896" s="230">
        <v>44559.0</v>
      </c>
      <c r="J1896" s="108" t="str">
        <f>IF(LEFT(B1896,3)="Box","BOX","COUNT")</f>
        <v>BOX</v>
      </c>
      <c r="K1896" s="99">
        <f>SUMIF($J$4:$J$8712,$C1896,$D$4:$D$8712)</f>
        <v>3</v>
      </c>
      <c r="L1896" s="50">
        <f>SUMIF($J$4:$J$8712,$C1896,$F$4:$F$8712)</f>
        <v>714</v>
      </c>
      <c r="M1896" s="50">
        <f>SUMIF($J$4:$J$8712,$C1896,$G$4:$G$8712)</f>
        <v>238</v>
      </c>
      <c r="N1896" s="70" t="str">
        <f>C1896</f>
        <v>CL18796</v>
      </c>
      <c r="O1896" s="70" t="str">
        <f>J1897</f>
        <v>SHIP</v>
      </c>
      <c r="P1896" s="68">
        <f>M1896</f>
        <v>238</v>
      </c>
      <c r="Q1896" s="114"/>
      <c r="T1896" s="246" t="s">
        <v>2317</v>
      </c>
    </row>
    <row r="1897">
      <c r="A1897" s="211"/>
      <c r="B1897" s="228" t="s">
        <v>2317</v>
      </c>
      <c r="C1897" s="109"/>
      <c r="D1897" s="109"/>
      <c r="E1897" s="116"/>
      <c r="F1897" s="116"/>
      <c r="G1897" s="116"/>
      <c r="H1897" s="109"/>
      <c r="J1897" s="108" t="str">
        <f>IF(B1897="","NSHIP","SHIP")</f>
        <v>SHIP</v>
      </c>
      <c r="K1897" s="99">
        <f>IF($J1897="NSHIP",0,-SUMIF($J$4:$J$8712,$C1896,$D$4:$D$8712))</f>
        <v>-3</v>
      </c>
      <c r="L1897" s="50">
        <f>IF($J1897="NSHIP",0,-SUMIF($J$4:$J$8710,$C1896,$F$4:$F$8710))</f>
        <v>-714</v>
      </c>
      <c r="M1897" s="50">
        <f>IF($J1897="NSHIP",0,-SUMIF($J$4:$J$8710,$C1896,$G$4:$G$8710))</f>
        <v>-238</v>
      </c>
      <c r="P1897" s="68"/>
    </row>
    <row r="1898">
      <c r="A1898" s="95">
        <v>5.257454774E10</v>
      </c>
      <c r="B1898" s="192" t="s">
        <v>2318</v>
      </c>
      <c r="C1898" s="95" t="s">
        <v>97</v>
      </c>
      <c r="D1898" s="95">
        <v>1.0</v>
      </c>
      <c r="E1898" s="101">
        <v>99.0</v>
      </c>
      <c r="F1898" s="101">
        <f>E1898*D1898</f>
        <v>99</v>
      </c>
      <c r="G1898" s="101">
        <f>F1898/3</f>
        <v>33</v>
      </c>
      <c r="H1898" s="95" t="s">
        <v>1195</v>
      </c>
      <c r="J1898" s="120" t="s">
        <v>2319</v>
      </c>
      <c r="K1898" s="99"/>
      <c r="L1898" s="50"/>
      <c r="M1898" s="50"/>
      <c r="P1898" s="68"/>
    </row>
    <row r="1899">
      <c r="A1899" s="102" t="s">
        <v>113</v>
      </c>
      <c r="B1899" s="209" t="s">
        <v>2320</v>
      </c>
      <c r="C1899" s="104"/>
      <c r="D1899" s="104"/>
      <c r="E1899" s="105"/>
      <c r="F1899" s="106"/>
      <c r="G1899" s="106"/>
      <c r="H1899" s="107"/>
      <c r="J1899" s="108"/>
      <c r="K1899" s="99"/>
      <c r="L1899" s="50"/>
      <c r="M1899" s="50"/>
      <c r="P1899" s="68"/>
    </row>
    <row r="1900">
      <c r="A1900" s="111" t="s">
        <v>115</v>
      </c>
      <c r="B1900" s="111" t="s">
        <v>2321</v>
      </c>
      <c r="C1900" s="112" t="str">
        <f>MID($B1900,6,7)</f>
        <v>CL18797</v>
      </c>
      <c r="D1900" s="111"/>
      <c r="E1900" s="111"/>
      <c r="F1900" s="111"/>
      <c r="G1900" s="111"/>
      <c r="H1900" s="113">
        <v>44559.0</v>
      </c>
      <c r="J1900" s="108" t="str">
        <f>IF(LEFT(B1900,3)="Box","BOX","COUNT")</f>
        <v>BOX</v>
      </c>
      <c r="K1900" s="99">
        <f>SUMIF($J$4:$J$8712,$C1900,$D$4:$D$8712)</f>
        <v>1</v>
      </c>
      <c r="L1900" s="50">
        <f>SUMIF($J$4:$J$8712,$C1900,$F$4:$F$8712)</f>
        <v>99</v>
      </c>
      <c r="M1900" s="50">
        <f>SUMIF($J$4:$J$8712,$C1900,$G$4:$G$8712)</f>
        <v>33</v>
      </c>
      <c r="N1900" s="70" t="str">
        <f>C1900</f>
        <v>CL18797</v>
      </c>
      <c r="O1900" s="70" t="str">
        <f>J1901</f>
        <v>SHIP</v>
      </c>
      <c r="P1900" s="68">
        <f>M1900</f>
        <v>33</v>
      </c>
      <c r="Q1900" s="114">
        <v>44510.0</v>
      </c>
      <c r="R1900" s="37" t="s">
        <v>2291</v>
      </c>
      <c r="S1900" s="37" t="s">
        <v>2292</v>
      </c>
    </row>
    <row r="1901">
      <c r="A1901" s="211"/>
      <c r="B1901" s="111" t="s">
        <v>2301</v>
      </c>
      <c r="C1901" s="109"/>
      <c r="D1901" s="109"/>
      <c r="E1901" s="116"/>
      <c r="F1901" s="116"/>
      <c r="G1901" s="116"/>
      <c r="H1901" s="109"/>
      <c r="J1901" s="108" t="str">
        <f>IF(B1901="","NSHIP","SHIP")</f>
        <v>SHIP</v>
      </c>
      <c r="K1901" s="99">
        <f>IF($J1901="NSHIP",0,-SUMIF($J$4:$J$8712,$C1900,$D$4:$D$8712))</f>
        <v>-1</v>
      </c>
      <c r="L1901" s="50">
        <f>IF($J1901="NSHIP",0,-SUMIF($J$4:$J$8710,$C1900,$F$4:$F$8710))</f>
        <v>-99</v>
      </c>
      <c r="M1901" s="50">
        <f>IF($J1901="NSHIP",0,-SUMIF($J$4:$J$8710,$C1900,$G$4:$G$8710))</f>
        <v>-33</v>
      </c>
      <c r="P1901" s="68"/>
    </row>
    <row r="1902">
      <c r="A1902" s="95">
        <v>7.36715785979E11</v>
      </c>
      <c r="B1902" s="151" t="s">
        <v>2322</v>
      </c>
      <c r="C1902" s="95" t="s">
        <v>97</v>
      </c>
      <c r="D1902" s="95">
        <v>1.0</v>
      </c>
      <c r="E1902" s="101">
        <v>89.0</v>
      </c>
      <c r="F1902" s="101">
        <f>E1902*D1902</f>
        <v>89</v>
      </c>
      <c r="G1902" s="101">
        <f>F1902/3</f>
        <v>29.66666667</v>
      </c>
      <c r="H1902" s="95" t="s">
        <v>783</v>
      </c>
      <c r="J1902" s="120" t="s">
        <v>2323</v>
      </c>
      <c r="K1902" s="99"/>
      <c r="L1902" s="50"/>
      <c r="M1902" s="50"/>
      <c r="P1902" s="68"/>
    </row>
    <row r="1903">
      <c r="A1903" s="102" t="s">
        <v>113</v>
      </c>
      <c r="B1903" s="209" t="s">
        <v>2324</v>
      </c>
      <c r="C1903" s="104"/>
      <c r="D1903" s="104"/>
      <c r="E1903" s="105"/>
      <c r="F1903" s="106"/>
      <c r="G1903" s="106"/>
      <c r="H1903" s="107"/>
      <c r="J1903" s="108"/>
      <c r="K1903" s="99"/>
      <c r="L1903" s="50"/>
      <c r="M1903" s="50"/>
      <c r="P1903" s="68"/>
    </row>
    <row r="1904">
      <c r="A1904" s="111" t="s">
        <v>115</v>
      </c>
      <c r="B1904" s="111" t="s">
        <v>2325</v>
      </c>
      <c r="C1904" s="112" t="str">
        <f>MID($B1904,6,7)</f>
        <v>CL18798</v>
      </c>
      <c r="D1904" s="111"/>
      <c r="E1904" s="111"/>
      <c r="F1904" s="111"/>
      <c r="G1904" s="111"/>
      <c r="H1904" s="113">
        <v>44559.0</v>
      </c>
      <c r="J1904" s="108" t="str">
        <f>IF(LEFT(B1904,3)="Box","BOX","COUNT")</f>
        <v>BOX</v>
      </c>
      <c r="K1904" s="99">
        <f>SUMIF($J$4:$J$8712,$C1904,$D$4:$D$8712)</f>
        <v>1</v>
      </c>
      <c r="L1904" s="50">
        <f>SUMIF($J$4:$J$8712,$C1904,$F$4:$F$8712)</f>
        <v>89</v>
      </c>
      <c r="M1904" s="50">
        <f>SUMIF($J$4:$J$8712,$C1904,$G$4:$G$8712)</f>
        <v>29.66666667</v>
      </c>
      <c r="N1904" s="70" t="str">
        <f>C1904</f>
        <v>CL18798</v>
      </c>
      <c r="O1904" s="70" t="str">
        <f>J1905</f>
        <v>SHIP</v>
      </c>
      <c r="P1904" s="68">
        <f>M1904</f>
        <v>29.66666667</v>
      </c>
      <c r="Q1904" s="114">
        <v>44502.0</v>
      </c>
      <c r="R1904" s="37" t="s">
        <v>2326</v>
      </c>
      <c r="S1904" s="37" t="s">
        <v>2327</v>
      </c>
    </row>
    <row r="1905">
      <c r="A1905" s="211"/>
      <c r="B1905" s="111" t="s">
        <v>2301</v>
      </c>
      <c r="C1905" s="109"/>
      <c r="D1905" s="109"/>
      <c r="E1905" s="116"/>
      <c r="F1905" s="116"/>
      <c r="G1905" s="116"/>
      <c r="H1905" s="109"/>
      <c r="J1905" s="108" t="str">
        <f>IF(B1905="","NSHIP","SHIP")</f>
        <v>SHIP</v>
      </c>
      <c r="K1905" s="99">
        <f>IF($J1905="NSHIP",0,-SUMIF($J$4:$J$8712,$C1904,$D$4:$D$8712))</f>
        <v>-1</v>
      </c>
      <c r="L1905" s="50">
        <f>IF($J1905="NSHIP",0,-SUMIF($J$4:$J$8710,$C1904,$F$4:$F$8710))</f>
        <v>-89</v>
      </c>
      <c r="M1905" s="50">
        <f>IF($J1905="NSHIP",0,-SUMIF($J$4:$J$8710,$C1904,$G$4:$G$8710))</f>
        <v>-29.66666667</v>
      </c>
      <c r="P1905" s="68"/>
    </row>
    <row r="1906">
      <c r="A1906" s="95">
        <v>1.91902682767E11</v>
      </c>
      <c r="B1906" s="151" t="s">
        <v>791</v>
      </c>
      <c r="C1906" s="95" t="s">
        <v>97</v>
      </c>
      <c r="D1906" s="95">
        <v>1.0</v>
      </c>
      <c r="E1906" s="101">
        <v>109.95</v>
      </c>
      <c r="F1906" s="101">
        <f>E1906*D1906</f>
        <v>109.95</v>
      </c>
      <c r="G1906" s="101">
        <f>F1906/3</f>
        <v>36.65</v>
      </c>
      <c r="H1906" s="95" t="s">
        <v>792</v>
      </c>
      <c r="J1906" s="120" t="s">
        <v>2328</v>
      </c>
      <c r="K1906" s="99"/>
      <c r="L1906" s="50"/>
      <c r="M1906" s="50"/>
      <c r="P1906" s="68"/>
    </row>
    <row r="1907">
      <c r="A1907" s="228"/>
      <c r="B1907" s="228" t="s">
        <v>2329</v>
      </c>
      <c r="C1907" s="229" t="str">
        <f>MID($B1907,6,7)</f>
        <v>CL18799</v>
      </c>
      <c r="D1907" s="228"/>
      <c r="E1907" s="228"/>
      <c r="F1907" s="228"/>
      <c r="G1907" s="228"/>
      <c r="H1907" s="230">
        <v>44559.0</v>
      </c>
      <c r="J1907" s="108" t="str">
        <f>IF(LEFT(B1907,3)="Box","BOX","COUNT")</f>
        <v>BOX</v>
      </c>
      <c r="K1907" s="99">
        <f>SUMIF($J$4:$J$8712,$C1907,$D$4:$D$8712)</f>
        <v>1</v>
      </c>
      <c r="L1907" s="50">
        <f>SUMIF($J$4:$J$8712,$C1907,$F$4:$F$8712)</f>
        <v>109.95</v>
      </c>
      <c r="M1907" s="50">
        <f>SUMIF($J$4:$J$8712,$C1907,$G$4:$G$8712)</f>
        <v>36.65</v>
      </c>
      <c r="N1907" s="70" t="str">
        <f>C1907</f>
        <v>CL18799</v>
      </c>
      <c r="O1907" s="70" t="str">
        <f>J1908</f>
        <v>NSHIP</v>
      </c>
      <c r="P1907" s="68">
        <f>M1907</f>
        <v>36.65</v>
      </c>
      <c r="T1907" s="37" t="s">
        <v>1734</v>
      </c>
    </row>
    <row r="1908">
      <c r="A1908" s="211"/>
      <c r="B1908" s="231"/>
      <c r="C1908" s="109"/>
      <c r="D1908" s="109"/>
      <c r="E1908" s="116"/>
      <c r="F1908" s="116"/>
      <c r="G1908" s="116"/>
      <c r="H1908" s="109"/>
      <c r="J1908" s="108" t="str">
        <f>IF(B1908="","NSHIP","SHIP")</f>
        <v>NSHIP</v>
      </c>
      <c r="K1908" s="99">
        <f>IF($J1908="NSHIP",0,-SUMIF($J$4:$J$8712,$C1907,$D$4:$D$8712))</f>
        <v>0</v>
      </c>
      <c r="L1908" s="50">
        <f>IF($J1908="NSHIP",0,-SUMIF($J$4:$J$8710,$C1907,$F$4:$F$8710))</f>
        <v>0</v>
      </c>
      <c r="M1908" s="50">
        <f>IF($J1908="NSHIP",0,-SUMIF($J$4:$J$8710,$C1907,$G$4:$G$8710))</f>
        <v>0</v>
      </c>
      <c r="P1908" s="68"/>
    </row>
    <row r="1909">
      <c r="A1909" s="95">
        <v>6.0794980645E11</v>
      </c>
      <c r="B1909" s="151" t="s">
        <v>2330</v>
      </c>
      <c r="C1909" s="95" t="s">
        <v>97</v>
      </c>
      <c r="D1909" s="95">
        <v>1.0</v>
      </c>
      <c r="E1909" s="101">
        <v>75.0</v>
      </c>
      <c r="F1909" s="101">
        <f>E1909*D1909</f>
        <v>75</v>
      </c>
      <c r="G1909" s="101">
        <f>F1909/3</f>
        <v>25</v>
      </c>
      <c r="H1909" s="95" t="s">
        <v>2331</v>
      </c>
      <c r="J1909" s="120" t="s">
        <v>2332</v>
      </c>
      <c r="K1909" s="99"/>
      <c r="L1909" s="50"/>
      <c r="M1909" s="50"/>
      <c r="P1909" s="68"/>
    </row>
    <row r="1910">
      <c r="A1910" s="228"/>
      <c r="B1910" s="228" t="s">
        <v>2333</v>
      </c>
      <c r="C1910" s="229" t="str">
        <f>MID($B1910,6,7)</f>
        <v>CL18710</v>
      </c>
      <c r="D1910" s="228"/>
      <c r="E1910" s="228"/>
      <c r="F1910" s="228"/>
      <c r="G1910" s="228"/>
      <c r="H1910" s="230">
        <v>44559.0</v>
      </c>
      <c r="J1910" s="108" t="str">
        <f>IF(LEFT(B1910,3)="Box","BOX","COUNT")</f>
        <v>BOX</v>
      </c>
      <c r="K1910" s="99">
        <f>SUMIF($J$4:$J$8712,$C1910,$D$4:$D$8712)</f>
        <v>1</v>
      </c>
      <c r="L1910" s="50">
        <f>SUMIF($J$4:$J$8712,$C1910,$F$4:$F$8712)</f>
        <v>75</v>
      </c>
      <c r="M1910" s="50">
        <f>SUMIF($J$4:$J$8712,$C1910,$G$4:$G$8712)</f>
        <v>25</v>
      </c>
      <c r="N1910" s="70" t="str">
        <f>C1910</f>
        <v>CL18710</v>
      </c>
      <c r="O1910" s="70" t="str">
        <f>J1911</f>
        <v>NSHIP</v>
      </c>
      <c r="P1910" s="68">
        <f>M1910</f>
        <v>25</v>
      </c>
      <c r="T1910" s="37" t="s">
        <v>1734</v>
      </c>
    </row>
    <row r="1911">
      <c r="A1911" s="211"/>
      <c r="B1911" s="231"/>
      <c r="C1911" s="109"/>
      <c r="D1911" s="109"/>
      <c r="E1911" s="116"/>
      <c r="F1911" s="116"/>
      <c r="G1911" s="116"/>
      <c r="H1911" s="109"/>
      <c r="J1911" s="108" t="str">
        <f>IF(B1911="","NSHIP","SHIP")</f>
        <v>NSHIP</v>
      </c>
      <c r="K1911" s="99">
        <f>IF($J1911="NSHIP",0,-SUMIF($J$4:$J$8712,$C1910,$D$4:$D$8712))</f>
        <v>0</v>
      </c>
      <c r="L1911" s="50">
        <f>IF($J1911="NSHIP",0,-SUMIF($J$4:$J$8710,$C1910,$F$4:$F$8710))</f>
        <v>0</v>
      </c>
      <c r="M1911" s="50">
        <f>IF($J1911="NSHIP",0,-SUMIF($J$4:$J$8710,$C1910,$G$4:$G$8710))</f>
        <v>0</v>
      </c>
      <c r="P1911" s="68"/>
    </row>
    <row r="1912">
      <c r="A1912" s="95">
        <v>9.363629734E10</v>
      </c>
      <c r="B1912" s="151" t="s">
        <v>2334</v>
      </c>
      <c r="C1912" s="95" t="s">
        <v>97</v>
      </c>
      <c r="D1912" s="95">
        <v>1.0</v>
      </c>
      <c r="E1912" s="101">
        <v>65.0</v>
      </c>
      <c r="F1912" s="101">
        <f t="shared" ref="F1912:F1918" si="342">E1912*D1912</f>
        <v>65</v>
      </c>
      <c r="G1912" s="101">
        <f t="shared" ref="G1912:G1918" si="343">F1912/3</f>
        <v>21.66666667</v>
      </c>
      <c r="H1912" s="95" t="s">
        <v>901</v>
      </c>
      <c r="J1912" s="120" t="s">
        <v>2335</v>
      </c>
      <c r="K1912" s="99"/>
      <c r="L1912" s="50"/>
      <c r="M1912" s="50"/>
      <c r="P1912" s="68"/>
    </row>
    <row r="1913">
      <c r="A1913" s="95">
        <v>9.3638710984E10</v>
      </c>
      <c r="B1913" s="151" t="s">
        <v>2336</v>
      </c>
      <c r="C1913" s="95" t="s">
        <v>97</v>
      </c>
      <c r="D1913" s="95">
        <v>1.0</v>
      </c>
      <c r="E1913" s="101">
        <v>79.99</v>
      </c>
      <c r="F1913" s="101">
        <f t="shared" si="342"/>
        <v>79.99</v>
      </c>
      <c r="G1913" s="101">
        <f t="shared" si="343"/>
        <v>26.66333333</v>
      </c>
      <c r="H1913" s="95" t="s">
        <v>901</v>
      </c>
      <c r="J1913" s="120" t="s">
        <v>2335</v>
      </c>
      <c r="K1913" s="99"/>
      <c r="L1913" s="50"/>
      <c r="M1913" s="50"/>
      <c r="P1913" s="68"/>
    </row>
    <row r="1914">
      <c r="A1914" s="95">
        <v>1.90918496771E11</v>
      </c>
      <c r="B1914" s="151" t="s">
        <v>2337</v>
      </c>
      <c r="C1914" s="95" t="s">
        <v>97</v>
      </c>
      <c r="D1914" s="95">
        <v>1.0</v>
      </c>
      <c r="E1914" s="101">
        <v>358.0</v>
      </c>
      <c r="F1914" s="101">
        <f t="shared" si="342"/>
        <v>358</v>
      </c>
      <c r="G1914" s="101">
        <f t="shared" si="343"/>
        <v>119.3333333</v>
      </c>
      <c r="H1914" s="95" t="s">
        <v>2312</v>
      </c>
      <c r="J1914" s="120" t="s">
        <v>2335</v>
      </c>
      <c r="K1914" s="99"/>
      <c r="L1914" s="50"/>
      <c r="M1914" s="50"/>
      <c r="P1914" s="68"/>
    </row>
    <row r="1915">
      <c r="A1915" s="95">
        <v>1.90918496788E11</v>
      </c>
      <c r="B1915" s="151" t="s">
        <v>2338</v>
      </c>
      <c r="C1915" s="95" t="s">
        <v>97</v>
      </c>
      <c r="D1915" s="95">
        <v>1.0</v>
      </c>
      <c r="E1915" s="101">
        <v>358.0</v>
      </c>
      <c r="F1915" s="101">
        <f t="shared" si="342"/>
        <v>358</v>
      </c>
      <c r="G1915" s="101">
        <f t="shared" si="343"/>
        <v>119.3333333</v>
      </c>
      <c r="H1915" s="95" t="s">
        <v>2312</v>
      </c>
      <c r="J1915" s="120" t="s">
        <v>2335</v>
      </c>
      <c r="K1915" s="99"/>
      <c r="L1915" s="50"/>
      <c r="M1915" s="50"/>
      <c r="P1915" s="68"/>
    </row>
    <row r="1916">
      <c r="A1916" s="95">
        <v>1.92314618719E11</v>
      </c>
      <c r="B1916" s="151" t="s">
        <v>2339</v>
      </c>
      <c r="C1916" s="95" t="s">
        <v>97</v>
      </c>
      <c r="D1916" s="95">
        <v>1.0</v>
      </c>
      <c r="E1916" s="101">
        <v>79.0</v>
      </c>
      <c r="F1916" s="101">
        <f t="shared" si="342"/>
        <v>79</v>
      </c>
      <c r="G1916" s="101">
        <f t="shared" si="343"/>
        <v>26.33333333</v>
      </c>
      <c r="H1916" s="95" t="s">
        <v>896</v>
      </c>
      <c r="J1916" s="120" t="s">
        <v>2335</v>
      </c>
      <c r="K1916" s="99"/>
      <c r="L1916" s="50"/>
      <c r="M1916" s="50"/>
      <c r="P1916" s="68"/>
    </row>
    <row r="1917">
      <c r="A1917" s="95">
        <v>7.27679379458E11</v>
      </c>
      <c r="B1917" s="151" t="s">
        <v>2340</v>
      </c>
      <c r="C1917" s="95" t="s">
        <v>97</v>
      </c>
      <c r="D1917" s="95">
        <v>1.0</v>
      </c>
      <c r="E1917" s="101">
        <v>89.99</v>
      </c>
      <c r="F1917" s="101">
        <f t="shared" si="342"/>
        <v>89.99</v>
      </c>
      <c r="G1917" s="101">
        <f t="shared" si="343"/>
        <v>29.99666667</v>
      </c>
      <c r="H1917" s="95" t="s">
        <v>901</v>
      </c>
      <c r="J1917" s="120" t="s">
        <v>2335</v>
      </c>
      <c r="K1917" s="99"/>
      <c r="L1917" s="50"/>
      <c r="M1917" s="50"/>
      <c r="P1917" s="68"/>
    </row>
    <row r="1918">
      <c r="A1918" s="95">
        <v>8.82946422524E11</v>
      </c>
      <c r="B1918" s="151" t="s">
        <v>2341</v>
      </c>
      <c r="C1918" s="95" t="s">
        <v>97</v>
      </c>
      <c r="D1918" s="95">
        <v>1.0</v>
      </c>
      <c r="E1918" s="101">
        <v>49.0</v>
      </c>
      <c r="F1918" s="101">
        <f t="shared" si="342"/>
        <v>49</v>
      </c>
      <c r="G1918" s="101">
        <f t="shared" si="343"/>
        <v>16.33333333</v>
      </c>
      <c r="H1918" s="95" t="s">
        <v>1967</v>
      </c>
      <c r="J1918" s="120" t="s">
        <v>2335</v>
      </c>
      <c r="K1918" s="99"/>
      <c r="L1918" s="50"/>
      <c r="M1918" s="50"/>
      <c r="P1918" s="68"/>
    </row>
    <row r="1919">
      <c r="A1919" s="231" t="s">
        <v>132</v>
      </c>
      <c r="B1919" s="231" t="s">
        <v>2342</v>
      </c>
      <c r="C1919" s="234" t="str">
        <f>MID($B1919,6,8)</f>
        <v>CL187101</v>
      </c>
      <c r="D1919" s="231"/>
      <c r="E1919" s="231"/>
      <c r="F1919" s="231"/>
      <c r="G1919" s="231"/>
      <c r="H1919" s="235">
        <v>44559.0</v>
      </c>
      <c r="J1919" s="108" t="str">
        <f>IF(LEFT(B1919,3)="Box","BOX","COUNT")</f>
        <v>BOX</v>
      </c>
      <c r="K1919" s="99">
        <f>SUMIF($J$4:$J$8712,$C1919,$D$4:$D$8712)</f>
        <v>7</v>
      </c>
      <c r="L1919" s="50">
        <f>SUMIF($J$4:$J$8712,$C1919,$F$4:$F$8712)</f>
        <v>1078.98</v>
      </c>
      <c r="M1919" s="50">
        <f>SUMIF($J$4:$J$8712,$C1919,$G$4:$G$8712)</f>
        <v>359.66</v>
      </c>
      <c r="N1919" s="70" t="str">
        <f>C1919</f>
        <v>CL187101</v>
      </c>
      <c r="O1919" s="70" t="str">
        <f>J1920</f>
        <v>NSHIP</v>
      </c>
      <c r="P1919" s="68">
        <f>M1919</f>
        <v>359.66</v>
      </c>
      <c r="Q1919" s="114">
        <v>44502.0</v>
      </c>
      <c r="R1919" s="37" t="s">
        <v>2326</v>
      </c>
      <c r="S1919" s="37" t="s">
        <v>2327</v>
      </c>
    </row>
    <row r="1920">
      <c r="A1920" s="211"/>
      <c r="B1920" s="231"/>
      <c r="C1920" s="109"/>
      <c r="D1920" s="109"/>
      <c r="E1920" s="116"/>
      <c r="F1920" s="116"/>
      <c r="G1920" s="116"/>
      <c r="H1920" s="109"/>
      <c r="J1920" s="108" t="str">
        <f>IF(B1920="","NSHIP","SHIP")</f>
        <v>NSHIP</v>
      </c>
      <c r="K1920" s="99">
        <f>IF($J1920="NSHIP",0,-SUMIF($J$4:$J$8712,$C1919,$D$4:$D$8712))</f>
        <v>0</v>
      </c>
      <c r="L1920" s="50">
        <f>IF($J1920="NSHIP",0,-SUMIF($J$4:$J$8710,$C1919,$F$4:$F$8710))</f>
        <v>0</v>
      </c>
      <c r="M1920" s="50">
        <f>IF($J1920="NSHIP",0,-SUMIF($J$4:$J$8710,$C1919,$G$4:$G$8710))</f>
        <v>0</v>
      </c>
      <c r="P1920" s="68"/>
    </row>
    <row r="1921">
      <c r="A1921" s="95">
        <v>1.94072037436E11</v>
      </c>
      <c r="B1921" s="151" t="s">
        <v>2343</v>
      </c>
      <c r="C1921" s="95" t="s">
        <v>97</v>
      </c>
      <c r="D1921" s="95">
        <v>1.0</v>
      </c>
      <c r="E1921" s="101">
        <v>99.0</v>
      </c>
      <c r="F1921" s="101">
        <f t="shared" ref="F1921:F1929" si="344">E1921*D1921</f>
        <v>99</v>
      </c>
      <c r="G1921" s="101">
        <f t="shared" ref="G1921:G1929" si="345">F1921/3</f>
        <v>33</v>
      </c>
      <c r="H1921" s="95" t="s">
        <v>883</v>
      </c>
      <c r="J1921" s="120" t="s">
        <v>2344</v>
      </c>
      <c r="K1921" s="99"/>
      <c r="L1921" s="50"/>
      <c r="M1921" s="50"/>
      <c r="P1921" s="68"/>
    </row>
    <row r="1922">
      <c r="A1922" s="95">
        <v>1.94072037474E11</v>
      </c>
      <c r="B1922" s="151" t="s">
        <v>2345</v>
      </c>
      <c r="C1922" s="95" t="s">
        <v>97</v>
      </c>
      <c r="D1922" s="95">
        <v>1.0</v>
      </c>
      <c r="E1922" s="101">
        <v>99.0</v>
      </c>
      <c r="F1922" s="101">
        <f t="shared" si="344"/>
        <v>99</v>
      </c>
      <c r="G1922" s="101">
        <f t="shared" si="345"/>
        <v>33</v>
      </c>
      <c r="H1922" s="95" t="s">
        <v>883</v>
      </c>
      <c r="J1922" s="120" t="s">
        <v>2344</v>
      </c>
      <c r="K1922" s="99"/>
      <c r="L1922" s="50"/>
      <c r="M1922" s="50"/>
      <c r="P1922" s="68"/>
    </row>
    <row r="1923">
      <c r="A1923" s="95">
        <v>1.94072037498E11</v>
      </c>
      <c r="B1923" s="151" t="s">
        <v>2346</v>
      </c>
      <c r="C1923" s="95" t="s">
        <v>97</v>
      </c>
      <c r="D1923" s="95">
        <v>1.0</v>
      </c>
      <c r="E1923" s="101">
        <v>99.0</v>
      </c>
      <c r="F1923" s="101">
        <f t="shared" si="344"/>
        <v>99</v>
      </c>
      <c r="G1923" s="101">
        <f t="shared" si="345"/>
        <v>33</v>
      </c>
      <c r="H1923" s="95" t="s">
        <v>883</v>
      </c>
      <c r="J1923" s="120" t="s">
        <v>2344</v>
      </c>
      <c r="K1923" s="99"/>
      <c r="L1923" s="50"/>
      <c r="M1923" s="50"/>
      <c r="P1923" s="68"/>
    </row>
    <row r="1924">
      <c r="A1924" s="95">
        <v>1.94072037696E11</v>
      </c>
      <c r="B1924" s="151" t="s">
        <v>2347</v>
      </c>
      <c r="C1924" s="95" t="s">
        <v>97</v>
      </c>
      <c r="D1924" s="95">
        <v>1.0</v>
      </c>
      <c r="E1924" s="101">
        <v>99.0</v>
      </c>
      <c r="F1924" s="101">
        <f t="shared" si="344"/>
        <v>99</v>
      </c>
      <c r="G1924" s="101">
        <f t="shared" si="345"/>
        <v>33</v>
      </c>
      <c r="H1924" s="95" t="s">
        <v>883</v>
      </c>
      <c r="J1924" s="120" t="s">
        <v>2344</v>
      </c>
      <c r="K1924" s="99"/>
      <c r="L1924" s="50"/>
      <c r="M1924" s="50"/>
      <c r="P1924" s="68"/>
    </row>
    <row r="1925">
      <c r="A1925" s="95">
        <v>1.94072037726E11</v>
      </c>
      <c r="B1925" s="151" t="s">
        <v>2348</v>
      </c>
      <c r="C1925" s="95" t="s">
        <v>97</v>
      </c>
      <c r="D1925" s="95">
        <v>1.0</v>
      </c>
      <c r="E1925" s="101">
        <v>99.0</v>
      </c>
      <c r="F1925" s="101">
        <f t="shared" si="344"/>
        <v>99</v>
      </c>
      <c r="G1925" s="101">
        <f t="shared" si="345"/>
        <v>33</v>
      </c>
      <c r="H1925" s="95" t="s">
        <v>883</v>
      </c>
      <c r="J1925" s="120" t="s">
        <v>2344</v>
      </c>
      <c r="K1925" s="99"/>
      <c r="L1925" s="50"/>
      <c r="M1925" s="50"/>
      <c r="P1925" s="68"/>
    </row>
    <row r="1926">
      <c r="A1926" s="95">
        <v>1.94072039072E11</v>
      </c>
      <c r="B1926" s="151" t="s">
        <v>2349</v>
      </c>
      <c r="C1926" s="95" t="s">
        <v>97</v>
      </c>
      <c r="D1926" s="95">
        <v>1.0</v>
      </c>
      <c r="E1926" s="101">
        <v>99.0</v>
      </c>
      <c r="F1926" s="101">
        <f t="shared" si="344"/>
        <v>99</v>
      </c>
      <c r="G1926" s="101">
        <f t="shared" si="345"/>
        <v>33</v>
      </c>
      <c r="H1926" s="95" t="s">
        <v>883</v>
      </c>
      <c r="J1926" s="120" t="s">
        <v>2344</v>
      </c>
      <c r="K1926" s="99"/>
      <c r="L1926" s="50"/>
      <c r="M1926" s="50"/>
      <c r="P1926" s="68"/>
    </row>
    <row r="1927">
      <c r="A1927" s="95">
        <v>8.25443866583E11</v>
      </c>
      <c r="B1927" s="151" t="s">
        <v>2350</v>
      </c>
      <c r="C1927" s="95" t="s">
        <v>97</v>
      </c>
      <c r="D1927" s="95">
        <v>1.0</v>
      </c>
      <c r="E1927" s="101">
        <v>75.65</v>
      </c>
      <c r="F1927" s="101">
        <f t="shared" si="344"/>
        <v>75.65</v>
      </c>
      <c r="G1927" s="101">
        <f t="shared" si="345"/>
        <v>25.21666667</v>
      </c>
      <c r="H1927" s="95" t="s">
        <v>2351</v>
      </c>
      <c r="J1927" s="120" t="s">
        <v>2344</v>
      </c>
      <c r="K1927" s="99"/>
      <c r="L1927" s="50"/>
      <c r="M1927" s="50"/>
      <c r="P1927" s="68"/>
    </row>
    <row r="1928">
      <c r="A1928" s="95">
        <v>8.25443866606E11</v>
      </c>
      <c r="B1928" s="151" t="s">
        <v>2352</v>
      </c>
      <c r="C1928" s="95" t="s">
        <v>97</v>
      </c>
      <c r="D1928" s="95">
        <v>1.0</v>
      </c>
      <c r="E1928" s="101">
        <v>79.0</v>
      </c>
      <c r="F1928" s="101">
        <f t="shared" si="344"/>
        <v>79</v>
      </c>
      <c r="G1928" s="101">
        <f t="shared" si="345"/>
        <v>26.33333333</v>
      </c>
      <c r="H1928" s="95" t="s">
        <v>2351</v>
      </c>
      <c r="J1928" s="120" t="s">
        <v>2344</v>
      </c>
      <c r="K1928" s="99"/>
      <c r="L1928" s="50"/>
      <c r="M1928" s="50"/>
      <c r="P1928" s="68"/>
    </row>
    <row r="1929">
      <c r="A1929" s="95">
        <v>8.25443866668E11</v>
      </c>
      <c r="B1929" s="151" t="s">
        <v>2353</v>
      </c>
      <c r="C1929" s="95" t="s">
        <v>97</v>
      </c>
      <c r="D1929" s="95">
        <v>2.0</v>
      </c>
      <c r="E1929" s="101">
        <v>64.99</v>
      </c>
      <c r="F1929" s="101">
        <f t="shared" si="344"/>
        <v>129.98</v>
      </c>
      <c r="G1929" s="101">
        <f t="shared" si="345"/>
        <v>43.32666667</v>
      </c>
      <c r="H1929" s="95" t="s">
        <v>2351</v>
      </c>
      <c r="J1929" s="120" t="s">
        <v>2344</v>
      </c>
      <c r="K1929" s="99"/>
      <c r="L1929" s="50"/>
      <c r="M1929" s="50"/>
      <c r="P1929" s="68"/>
    </row>
    <row r="1930">
      <c r="A1930" s="231" t="s">
        <v>153</v>
      </c>
      <c r="B1930" s="231" t="s">
        <v>2354</v>
      </c>
      <c r="C1930" s="234" t="str">
        <f>MID($B1930,6,8)</f>
        <v>MG18601 </v>
      </c>
      <c r="D1930" s="231"/>
      <c r="E1930" s="231"/>
      <c r="F1930" s="231"/>
      <c r="G1930" s="231"/>
      <c r="H1930" s="235">
        <v>44559.0</v>
      </c>
      <c r="J1930" s="108" t="str">
        <f>IF(LEFT(B1930,3)="Box","BOX","COUNT")</f>
        <v>BOX</v>
      </c>
      <c r="K1930" s="99">
        <f>SUMIF($J$4:$J$8712,$C1930,$D$4:$D$8712)</f>
        <v>10</v>
      </c>
      <c r="L1930" s="50">
        <f>SUMIF($J$4:$J$8712,$C1930,$F$4:$F$8712)</f>
        <v>878.63</v>
      </c>
      <c r="M1930" s="50">
        <f>SUMIF($J$4:$J$8712,$C1930,$G$4:$G$8712)</f>
        <v>292.8766667</v>
      </c>
      <c r="N1930" s="70" t="str">
        <f>C1930</f>
        <v>MG18601 </v>
      </c>
      <c r="O1930" s="70" t="str">
        <f>J1931</f>
        <v>NSHIP</v>
      </c>
      <c r="P1930" s="68">
        <f>M1930</f>
        <v>292.8766667</v>
      </c>
      <c r="Q1930" s="114">
        <v>44510.0</v>
      </c>
      <c r="R1930" s="37" t="s">
        <v>2291</v>
      </c>
      <c r="S1930" s="37" t="s">
        <v>2292</v>
      </c>
    </row>
    <row r="1931">
      <c r="A1931" s="211"/>
      <c r="B1931" s="231"/>
      <c r="C1931" s="109"/>
      <c r="D1931" s="109"/>
      <c r="E1931" s="116"/>
      <c r="F1931" s="116"/>
      <c r="G1931" s="116"/>
      <c r="H1931" s="109"/>
      <c r="J1931" s="108" t="str">
        <f>IF(B1931="","NSHIP","SHIP")</f>
        <v>NSHIP</v>
      </c>
      <c r="K1931" s="99">
        <f>IF($J1931="NSHIP",0,-SUMIF($J$4:$J$8712,$C1930,$D$4:$D$8712))</f>
        <v>0</v>
      </c>
      <c r="L1931" s="50">
        <f>IF($J1931="NSHIP",0,-SUMIF($J$4:$J$8710,$C1930,$F$4:$F$8710))</f>
        <v>0</v>
      </c>
      <c r="M1931" s="50">
        <f>IF($J1931="NSHIP",0,-SUMIF($J$4:$J$8710,$C1930,$G$4:$G$8710))</f>
        <v>0</v>
      </c>
      <c r="P1931" s="68"/>
    </row>
    <row r="1932">
      <c r="A1932" s="95">
        <v>1.94072016639E11</v>
      </c>
      <c r="B1932" s="151" t="s">
        <v>2355</v>
      </c>
      <c r="C1932" s="95" t="s">
        <v>97</v>
      </c>
      <c r="D1932" s="95">
        <v>1.0</v>
      </c>
      <c r="E1932" s="101">
        <v>109.0</v>
      </c>
      <c r="F1932" s="101">
        <f t="shared" ref="F1932:F1939" si="346">E1932*D1932</f>
        <v>109</v>
      </c>
      <c r="G1932" s="101">
        <f t="shared" ref="G1932:G1939" si="347">F1932/3</f>
        <v>36.33333333</v>
      </c>
      <c r="H1932" s="95" t="s">
        <v>883</v>
      </c>
      <c r="J1932" s="120" t="s">
        <v>2356</v>
      </c>
      <c r="K1932" s="99"/>
      <c r="L1932" s="50"/>
      <c r="M1932" s="50"/>
      <c r="P1932" s="68"/>
    </row>
    <row r="1933">
      <c r="A1933" s="95">
        <v>1.94072016646E11</v>
      </c>
      <c r="B1933" s="151" t="s">
        <v>2357</v>
      </c>
      <c r="C1933" s="95" t="s">
        <v>97</v>
      </c>
      <c r="D1933" s="95">
        <v>1.0</v>
      </c>
      <c r="E1933" s="101">
        <v>109.0</v>
      </c>
      <c r="F1933" s="101">
        <f t="shared" si="346"/>
        <v>109</v>
      </c>
      <c r="G1933" s="101">
        <f t="shared" si="347"/>
        <v>36.33333333</v>
      </c>
      <c r="H1933" s="95" t="s">
        <v>883</v>
      </c>
      <c r="J1933" s="120" t="s">
        <v>2356</v>
      </c>
      <c r="K1933" s="99"/>
      <c r="L1933" s="50"/>
      <c r="M1933" s="50"/>
      <c r="P1933" s="68"/>
    </row>
    <row r="1934">
      <c r="A1934" s="95">
        <v>1.94072016691E11</v>
      </c>
      <c r="B1934" s="151" t="s">
        <v>2358</v>
      </c>
      <c r="C1934" s="95" t="s">
        <v>97</v>
      </c>
      <c r="D1934" s="95">
        <v>1.0</v>
      </c>
      <c r="E1934" s="101">
        <v>109.0</v>
      </c>
      <c r="F1934" s="101">
        <f t="shared" si="346"/>
        <v>109</v>
      </c>
      <c r="G1934" s="101">
        <f t="shared" si="347"/>
        <v>36.33333333</v>
      </c>
      <c r="H1934" s="95" t="s">
        <v>883</v>
      </c>
      <c r="J1934" s="120" t="s">
        <v>2356</v>
      </c>
      <c r="K1934" s="99"/>
      <c r="L1934" s="50"/>
      <c r="M1934" s="50"/>
      <c r="P1934" s="68"/>
    </row>
    <row r="1935">
      <c r="A1935" s="95">
        <v>1.94072016707E11</v>
      </c>
      <c r="B1935" s="151" t="s">
        <v>2265</v>
      </c>
      <c r="C1935" s="95" t="s">
        <v>97</v>
      </c>
      <c r="D1935" s="95">
        <v>1.0</v>
      </c>
      <c r="E1935" s="101">
        <v>109.0</v>
      </c>
      <c r="F1935" s="101">
        <f t="shared" si="346"/>
        <v>109</v>
      </c>
      <c r="G1935" s="101">
        <f t="shared" si="347"/>
        <v>36.33333333</v>
      </c>
      <c r="H1935" s="95" t="s">
        <v>883</v>
      </c>
      <c r="J1935" s="120" t="s">
        <v>2356</v>
      </c>
      <c r="K1935" s="99"/>
      <c r="L1935" s="50"/>
      <c r="M1935" s="50"/>
      <c r="P1935" s="68"/>
    </row>
    <row r="1936">
      <c r="A1936" s="95">
        <v>1.94072037467E11</v>
      </c>
      <c r="B1936" s="151" t="s">
        <v>2359</v>
      </c>
      <c r="C1936" s="95" t="s">
        <v>97</v>
      </c>
      <c r="D1936" s="95">
        <v>1.0</v>
      </c>
      <c r="E1936" s="101">
        <v>99.0</v>
      </c>
      <c r="F1936" s="101">
        <f t="shared" si="346"/>
        <v>99</v>
      </c>
      <c r="G1936" s="101">
        <f t="shared" si="347"/>
        <v>33</v>
      </c>
      <c r="H1936" s="95" t="s">
        <v>883</v>
      </c>
      <c r="J1936" s="120" t="s">
        <v>2356</v>
      </c>
      <c r="K1936" s="99"/>
      <c r="L1936" s="50"/>
      <c r="M1936" s="50"/>
      <c r="P1936" s="68"/>
    </row>
    <row r="1937">
      <c r="A1937" s="95">
        <v>1.94072037474E11</v>
      </c>
      <c r="B1937" s="151" t="s">
        <v>2345</v>
      </c>
      <c r="C1937" s="95" t="s">
        <v>97</v>
      </c>
      <c r="D1937" s="95">
        <v>1.0</v>
      </c>
      <c r="E1937" s="101">
        <v>99.0</v>
      </c>
      <c r="F1937" s="101">
        <f t="shared" si="346"/>
        <v>99</v>
      </c>
      <c r="G1937" s="101">
        <f t="shared" si="347"/>
        <v>33</v>
      </c>
      <c r="H1937" s="95" t="s">
        <v>883</v>
      </c>
      <c r="J1937" s="120" t="s">
        <v>2356</v>
      </c>
      <c r="K1937" s="99"/>
      <c r="L1937" s="50"/>
      <c r="M1937" s="50"/>
      <c r="P1937" s="68"/>
    </row>
    <row r="1938">
      <c r="A1938" s="95">
        <v>1.94072037504E11</v>
      </c>
      <c r="B1938" s="151" t="s">
        <v>2360</v>
      </c>
      <c r="C1938" s="95" t="s">
        <v>97</v>
      </c>
      <c r="D1938" s="95">
        <v>2.0</v>
      </c>
      <c r="E1938" s="101">
        <v>99.0</v>
      </c>
      <c r="F1938" s="101">
        <f t="shared" si="346"/>
        <v>198</v>
      </c>
      <c r="G1938" s="101">
        <f t="shared" si="347"/>
        <v>66</v>
      </c>
      <c r="H1938" s="95" t="s">
        <v>883</v>
      </c>
      <c r="J1938" s="120" t="s">
        <v>2356</v>
      </c>
      <c r="K1938" s="99"/>
      <c r="L1938" s="50"/>
      <c r="M1938" s="50"/>
      <c r="P1938" s="68"/>
    </row>
    <row r="1939">
      <c r="A1939" s="95">
        <v>8.25443938211E11</v>
      </c>
      <c r="B1939" s="151" t="s">
        <v>2361</v>
      </c>
      <c r="C1939" s="95" t="s">
        <v>97</v>
      </c>
      <c r="D1939" s="95">
        <v>1.0</v>
      </c>
      <c r="E1939" s="101">
        <v>109.0</v>
      </c>
      <c r="F1939" s="101">
        <f t="shared" si="346"/>
        <v>109</v>
      </c>
      <c r="G1939" s="101">
        <f t="shared" si="347"/>
        <v>36.33333333</v>
      </c>
      <c r="H1939" s="95" t="s">
        <v>883</v>
      </c>
      <c r="J1939" s="120" t="s">
        <v>2356</v>
      </c>
      <c r="K1939" s="99"/>
      <c r="L1939" s="50"/>
      <c r="M1939" s="50"/>
      <c r="P1939" s="68"/>
    </row>
    <row r="1940">
      <c r="A1940" s="231" t="s">
        <v>224</v>
      </c>
      <c r="B1940" s="231" t="s">
        <v>2362</v>
      </c>
      <c r="C1940" s="234" t="str">
        <f>MID($B1940,6,8)</f>
        <v>MG18602 </v>
      </c>
      <c r="D1940" s="231"/>
      <c r="E1940" s="231"/>
      <c r="F1940" s="231"/>
      <c r="G1940" s="231"/>
      <c r="H1940" s="235">
        <v>44559.0</v>
      </c>
      <c r="J1940" s="108" t="str">
        <f>IF(LEFT(B1940,3)="Box","BOX","COUNT")</f>
        <v>BOX</v>
      </c>
      <c r="K1940" s="99">
        <f>SUMIF($J$4:$J$8712,$C1940,$D$4:$D$8712)</f>
        <v>9</v>
      </c>
      <c r="L1940" s="50">
        <f>SUMIF($J$4:$J$8712,$C1940,$F$4:$F$8712)</f>
        <v>941</v>
      </c>
      <c r="M1940" s="50">
        <f>SUMIF($J$4:$J$8712,$C1940,$G$4:$G$8712)</f>
        <v>313.6666667</v>
      </c>
      <c r="N1940" s="70" t="str">
        <f>C1940</f>
        <v>MG18602 </v>
      </c>
      <c r="O1940" s="70" t="str">
        <f>J1941</f>
        <v>NSHIP</v>
      </c>
      <c r="P1940" s="68">
        <f>M1940</f>
        <v>313.6666667</v>
      </c>
      <c r="Q1940" s="114">
        <v>44510.0</v>
      </c>
      <c r="R1940" s="37" t="s">
        <v>2291</v>
      </c>
      <c r="S1940" s="37" t="s">
        <v>2292</v>
      </c>
    </row>
    <row r="1941">
      <c r="A1941" s="211"/>
      <c r="B1941" s="231"/>
      <c r="C1941" s="109"/>
      <c r="D1941" s="109"/>
      <c r="E1941" s="116"/>
      <c r="F1941" s="116"/>
      <c r="G1941" s="116"/>
      <c r="H1941" s="109"/>
      <c r="J1941" s="108" t="str">
        <f>IF(B1941="","NSHIP","SHIP")</f>
        <v>NSHIP</v>
      </c>
      <c r="K1941" s="99">
        <f>IF($J1941="NSHIP",0,-SUMIF($J$4:$J$8712,$C1940,$D$4:$D$8712))</f>
        <v>0</v>
      </c>
      <c r="L1941" s="50">
        <f>IF($J1941="NSHIP",0,-SUMIF($J$4:$J$8710,$C1940,$F$4:$F$8710))</f>
        <v>0</v>
      </c>
      <c r="M1941" s="50">
        <f>IF($J1941="NSHIP",0,-SUMIF($J$4:$J$8710,$C1940,$G$4:$G$8710))</f>
        <v>0</v>
      </c>
      <c r="P1941" s="68"/>
    </row>
    <row r="1942">
      <c r="A1942" s="95">
        <v>1.94072037436E11</v>
      </c>
      <c r="B1942" s="151" t="s">
        <v>2343</v>
      </c>
      <c r="C1942" s="95" t="s">
        <v>97</v>
      </c>
      <c r="D1942" s="95">
        <v>1.0</v>
      </c>
      <c r="E1942" s="101">
        <v>99.0</v>
      </c>
      <c r="F1942" s="101">
        <f t="shared" ref="F1942:F1946" si="348">E1942*D1942</f>
        <v>99</v>
      </c>
      <c r="G1942" s="101">
        <f t="shared" ref="G1942:G1946" si="349">F1942/3</f>
        <v>33</v>
      </c>
      <c r="H1942" s="95" t="s">
        <v>883</v>
      </c>
      <c r="J1942" s="120" t="s">
        <v>2363</v>
      </c>
      <c r="K1942" s="99"/>
      <c r="L1942" s="50"/>
      <c r="M1942" s="50"/>
      <c r="P1942" s="68"/>
    </row>
    <row r="1943">
      <c r="A1943" s="95">
        <v>1.94072037467E11</v>
      </c>
      <c r="B1943" s="151" t="s">
        <v>2359</v>
      </c>
      <c r="C1943" s="95" t="s">
        <v>97</v>
      </c>
      <c r="D1943" s="95">
        <v>3.0</v>
      </c>
      <c r="E1943" s="101">
        <v>99.0</v>
      </c>
      <c r="F1943" s="101">
        <f t="shared" si="348"/>
        <v>297</v>
      </c>
      <c r="G1943" s="101">
        <f t="shared" si="349"/>
        <v>99</v>
      </c>
      <c r="H1943" s="95" t="s">
        <v>883</v>
      </c>
      <c r="J1943" s="120" t="s">
        <v>2363</v>
      </c>
      <c r="K1943" s="99"/>
      <c r="L1943" s="50"/>
      <c r="M1943" s="50"/>
      <c r="P1943" s="68"/>
    </row>
    <row r="1944">
      <c r="A1944" s="95">
        <v>1.94072037481E11</v>
      </c>
      <c r="B1944" s="151" t="s">
        <v>2364</v>
      </c>
      <c r="C1944" s="95" t="s">
        <v>97</v>
      </c>
      <c r="D1944" s="95">
        <v>1.0</v>
      </c>
      <c r="E1944" s="101">
        <v>99.0</v>
      </c>
      <c r="F1944" s="101">
        <f t="shared" si="348"/>
        <v>99</v>
      </c>
      <c r="G1944" s="101">
        <f t="shared" si="349"/>
        <v>33</v>
      </c>
      <c r="H1944" s="95" t="s">
        <v>883</v>
      </c>
      <c r="J1944" s="120" t="s">
        <v>2363</v>
      </c>
      <c r="K1944" s="99"/>
      <c r="L1944" s="50"/>
      <c r="M1944" s="50"/>
      <c r="P1944" s="68"/>
    </row>
    <row r="1945">
      <c r="A1945" s="95">
        <v>1.94072037771E11</v>
      </c>
      <c r="B1945" s="151" t="s">
        <v>2365</v>
      </c>
      <c r="C1945" s="95" t="s">
        <v>97</v>
      </c>
      <c r="D1945" s="95">
        <v>1.0</v>
      </c>
      <c r="E1945" s="101">
        <v>39.6</v>
      </c>
      <c r="F1945" s="101">
        <f t="shared" si="348"/>
        <v>39.6</v>
      </c>
      <c r="G1945" s="101">
        <f t="shared" si="349"/>
        <v>13.2</v>
      </c>
      <c r="H1945" s="95" t="s">
        <v>2351</v>
      </c>
      <c r="J1945" s="120" t="s">
        <v>2363</v>
      </c>
      <c r="K1945" s="99"/>
      <c r="L1945" s="50"/>
      <c r="M1945" s="50"/>
      <c r="P1945" s="68"/>
    </row>
    <row r="1946">
      <c r="A1946" s="95">
        <v>1.94072040276E11</v>
      </c>
      <c r="B1946" s="151" t="s">
        <v>2366</v>
      </c>
      <c r="C1946" s="95" t="s">
        <v>97</v>
      </c>
      <c r="D1946" s="95">
        <v>1.0</v>
      </c>
      <c r="E1946" s="101">
        <v>99.0</v>
      </c>
      <c r="F1946" s="101">
        <f t="shared" si="348"/>
        <v>99</v>
      </c>
      <c r="G1946" s="101">
        <f t="shared" si="349"/>
        <v>33</v>
      </c>
      <c r="H1946" s="95" t="s">
        <v>883</v>
      </c>
      <c r="J1946" s="120" t="s">
        <v>2363</v>
      </c>
      <c r="K1946" s="99"/>
      <c r="L1946" s="50"/>
      <c r="M1946" s="50"/>
      <c r="P1946" s="68"/>
    </row>
    <row r="1947">
      <c r="A1947" s="231" t="s">
        <v>267</v>
      </c>
      <c r="B1947" s="231" t="s">
        <v>2367</v>
      </c>
      <c r="C1947" s="234" t="str">
        <f>MID($B1947,6,8)</f>
        <v>MG18603 </v>
      </c>
      <c r="D1947" s="231"/>
      <c r="E1947" s="231"/>
      <c r="F1947" s="231"/>
      <c r="G1947" s="231"/>
      <c r="H1947" s="235">
        <v>44559.0</v>
      </c>
      <c r="J1947" s="108" t="str">
        <f>IF(LEFT(B1947,3)="Box","BOX","COUNT")</f>
        <v>BOX</v>
      </c>
      <c r="K1947" s="99">
        <f>SUMIF($J$4:$J$8712,$C1947,$D$4:$D$8712)</f>
        <v>7</v>
      </c>
      <c r="L1947" s="50">
        <f>SUMIF($J$4:$J$8712,$C1947,$F$4:$F$8712)</f>
        <v>633.6</v>
      </c>
      <c r="M1947" s="50">
        <f>SUMIF($J$4:$J$8712,$C1947,$G$4:$G$8712)</f>
        <v>211.2</v>
      </c>
      <c r="N1947" s="70" t="str">
        <f>C1947</f>
        <v>MG18603 </v>
      </c>
      <c r="O1947" s="70" t="str">
        <f>J1948</f>
        <v>NSHIP</v>
      </c>
      <c r="P1947" s="68">
        <f>M1947</f>
        <v>211.2</v>
      </c>
      <c r="Q1947" s="114">
        <v>44510.0</v>
      </c>
      <c r="R1947" s="37" t="s">
        <v>2291</v>
      </c>
      <c r="S1947" s="37" t="s">
        <v>2292</v>
      </c>
    </row>
    <row r="1948">
      <c r="A1948" s="211"/>
      <c r="B1948" s="231"/>
      <c r="C1948" s="109"/>
      <c r="D1948" s="109"/>
      <c r="E1948" s="116"/>
      <c r="F1948" s="116"/>
      <c r="G1948" s="116"/>
      <c r="H1948" s="109"/>
      <c r="J1948" s="108" t="str">
        <f>IF(B1948="","NSHIP","SHIP")</f>
        <v>NSHIP</v>
      </c>
      <c r="K1948" s="99">
        <f>IF($J1948="NSHIP",0,-SUMIF($J$4:$J$8712,$C1947,$D$4:$D$8712))</f>
        <v>0</v>
      </c>
      <c r="L1948" s="50">
        <f>IF($J1948="NSHIP",0,-SUMIF($J$4:$J$8710,$C1947,$F$4:$F$8710))</f>
        <v>0</v>
      </c>
      <c r="M1948" s="50">
        <f>IF($J1948="NSHIP",0,-SUMIF($J$4:$J$8710,$C1947,$G$4:$G$8710))</f>
        <v>0</v>
      </c>
      <c r="P1948" s="68"/>
    </row>
    <row r="1949">
      <c r="A1949" s="95">
        <v>1.7114491754E10</v>
      </c>
      <c r="B1949" s="164" t="s">
        <v>2368</v>
      </c>
      <c r="C1949" s="95" t="s">
        <v>97</v>
      </c>
      <c r="D1949" s="95">
        <v>1.0</v>
      </c>
      <c r="E1949" s="101">
        <v>89.0</v>
      </c>
      <c r="F1949" s="101">
        <f t="shared" ref="F1949:F1963" si="350">E1949*D1949</f>
        <v>89</v>
      </c>
      <c r="G1949" s="101">
        <f t="shared" ref="G1949:G1963" si="351">F1949/3</f>
        <v>29.66666667</v>
      </c>
      <c r="H1949" s="95" t="s">
        <v>2141</v>
      </c>
      <c r="J1949" s="120" t="s">
        <v>2369</v>
      </c>
      <c r="K1949" s="99"/>
      <c r="L1949" s="50"/>
      <c r="M1949" s="50"/>
      <c r="P1949" s="68"/>
    </row>
    <row r="1950">
      <c r="A1950" s="179">
        <v>1.7115141412E10</v>
      </c>
      <c r="B1950" s="131" t="s">
        <v>2370</v>
      </c>
      <c r="C1950" s="95" t="s">
        <v>97</v>
      </c>
      <c r="D1950" s="95">
        <v>1.0</v>
      </c>
      <c r="E1950" s="101">
        <v>79.0</v>
      </c>
      <c r="F1950" s="101">
        <f t="shared" si="350"/>
        <v>79</v>
      </c>
      <c r="G1950" s="101">
        <f t="shared" si="351"/>
        <v>26.33333333</v>
      </c>
      <c r="H1950" s="95" t="s">
        <v>2141</v>
      </c>
      <c r="I1950" s="246" t="s">
        <v>1168</v>
      </c>
      <c r="J1950" s="120" t="s">
        <v>2369</v>
      </c>
      <c r="K1950" s="99"/>
      <c r="L1950" s="50"/>
      <c r="M1950" s="50"/>
      <c r="P1950" s="68"/>
    </row>
    <row r="1951">
      <c r="A1951" s="95">
        <v>1.711529628E10</v>
      </c>
      <c r="B1951" s="131" t="s">
        <v>2371</v>
      </c>
      <c r="C1951" s="95" t="s">
        <v>97</v>
      </c>
      <c r="D1951" s="95">
        <v>1.0</v>
      </c>
      <c r="E1951" s="101">
        <v>89.0</v>
      </c>
      <c r="F1951" s="101">
        <f t="shared" si="350"/>
        <v>89</v>
      </c>
      <c r="G1951" s="101">
        <f t="shared" si="351"/>
        <v>29.66666667</v>
      </c>
      <c r="H1951" s="95" t="s">
        <v>2141</v>
      </c>
      <c r="J1951" s="120" t="s">
        <v>2369</v>
      </c>
      <c r="K1951" s="99"/>
      <c r="L1951" s="50"/>
      <c r="M1951" s="50"/>
      <c r="P1951" s="68"/>
    </row>
    <row r="1952">
      <c r="A1952" s="95">
        <v>7.27684540799E11</v>
      </c>
      <c r="B1952" s="131" t="s">
        <v>2372</v>
      </c>
      <c r="C1952" s="95" t="s">
        <v>97</v>
      </c>
      <c r="D1952" s="95">
        <v>1.0</v>
      </c>
      <c r="E1952" s="101">
        <v>69.0</v>
      </c>
      <c r="F1952" s="101">
        <f t="shared" si="350"/>
        <v>69</v>
      </c>
      <c r="G1952" s="101">
        <f t="shared" si="351"/>
        <v>23</v>
      </c>
      <c r="H1952" s="95" t="s">
        <v>2141</v>
      </c>
      <c r="J1952" s="120" t="s">
        <v>2369</v>
      </c>
      <c r="K1952" s="99"/>
      <c r="L1952" s="50"/>
      <c r="M1952" s="50"/>
      <c r="P1952" s="68"/>
    </row>
    <row r="1953">
      <c r="A1953" s="95">
        <v>7.27693067935E11</v>
      </c>
      <c r="B1953" s="131" t="s">
        <v>2373</v>
      </c>
      <c r="C1953" s="95" t="s">
        <v>97</v>
      </c>
      <c r="D1953" s="95">
        <v>1.0</v>
      </c>
      <c r="E1953" s="101">
        <v>30.5</v>
      </c>
      <c r="F1953" s="101">
        <f t="shared" si="350"/>
        <v>30.5</v>
      </c>
      <c r="G1953" s="101">
        <f t="shared" si="351"/>
        <v>10.16666667</v>
      </c>
      <c r="H1953" s="95" t="s">
        <v>2141</v>
      </c>
      <c r="J1953" s="120" t="s">
        <v>2369</v>
      </c>
      <c r="K1953" s="99"/>
      <c r="L1953" s="50"/>
      <c r="M1953" s="50"/>
      <c r="P1953" s="68"/>
    </row>
    <row r="1954">
      <c r="A1954" s="95">
        <v>7.27693106771E11</v>
      </c>
      <c r="B1954" s="131" t="s">
        <v>2374</v>
      </c>
      <c r="C1954" s="95" t="s">
        <v>97</v>
      </c>
      <c r="D1954" s="95">
        <v>1.0</v>
      </c>
      <c r="E1954" s="101">
        <v>89.0</v>
      </c>
      <c r="F1954" s="101">
        <f t="shared" si="350"/>
        <v>89</v>
      </c>
      <c r="G1954" s="101">
        <f t="shared" si="351"/>
        <v>29.66666667</v>
      </c>
      <c r="H1954" s="95" t="s">
        <v>2141</v>
      </c>
      <c r="J1954" s="120" t="s">
        <v>2369</v>
      </c>
      <c r="K1954" s="99"/>
      <c r="L1954" s="50"/>
      <c r="M1954" s="50"/>
      <c r="P1954" s="68"/>
    </row>
    <row r="1955">
      <c r="A1955" s="95">
        <v>7.276931069E11</v>
      </c>
      <c r="B1955" s="131" t="s">
        <v>2375</v>
      </c>
      <c r="C1955" s="95" t="s">
        <v>97</v>
      </c>
      <c r="D1955" s="95">
        <v>1.0</v>
      </c>
      <c r="E1955" s="101">
        <v>89.0</v>
      </c>
      <c r="F1955" s="101">
        <f t="shared" si="350"/>
        <v>89</v>
      </c>
      <c r="G1955" s="101">
        <f t="shared" si="351"/>
        <v>29.66666667</v>
      </c>
      <c r="H1955" s="95" t="s">
        <v>2141</v>
      </c>
      <c r="J1955" s="120" t="s">
        <v>2369</v>
      </c>
      <c r="K1955" s="99"/>
      <c r="L1955" s="50"/>
      <c r="M1955" s="50"/>
      <c r="P1955" s="68"/>
    </row>
    <row r="1956">
      <c r="A1956" s="95">
        <v>7.36703508405E11</v>
      </c>
      <c r="B1956" s="131" t="s">
        <v>2376</v>
      </c>
      <c r="C1956" s="95" t="s">
        <v>97</v>
      </c>
      <c r="D1956" s="95">
        <v>1.0</v>
      </c>
      <c r="E1956" s="101">
        <v>69.0</v>
      </c>
      <c r="F1956" s="101">
        <f t="shared" si="350"/>
        <v>69</v>
      </c>
      <c r="G1956" s="101">
        <f t="shared" si="351"/>
        <v>23</v>
      </c>
      <c r="H1956" s="95" t="s">
        <v>2141</v>
      </c>
      <c r="J1956" s="120" t="s">
        <v>2369</v>
      </c>
      <c r="K1956" s="99"/>
      <c r="L1956" s="50"/>
      <c r="M1956" s="50"/>
      <c r="P1956" s="68"/>
    </row>
    <row r="1957">
      <c r="A1957" s="95">
        <v>7.36703508559E11</v>
      </c>
      <c r="B1957" s="131" t="s">
        <v>2377</v>
      </c>
      <c r="C1957" s="95" t="s">
        <v>97</v>
      </c>
      <c r="D1957" s="95">
        <v>1.0</v>
      </c>
      <c r="E1957" s="101">
        <v>69.0</v>
      </c>
      <c r="F1957" s="101">
        <f t="shared" si="350"/>
        <v>69</v>
      </c>
      <c r="G1957" s="101">
        <f t="shared" si="351"/>
        <v>23</v>
      </c>
      <c r="H1957" s="95" t="s">
        <v>2141</v>
      </c>
      <c r="J1957" s="120" t="s">
        <v>2369</v>
      </c>
      <c r="K1957" s="99"/>
      <c r="L1957" s="50"/>
      <c r="M1957" s="50"/>
      <c r="P1957" s="68"/>
    </row>
    <row r="1958">
      <c r="A1958" s="95">
        <v>7.36709464224E11</v>
      </c>
      <c r="B1958" s="131" t="s">
        <v>2378</v>
      </c>
      <c r="C1958" s="95" t="s">
        <v>97</v>
      </c>
      <c r="D1958" s="95">
        <v>1.0</v>
      </c>
      <c r="E1958" s="101">
        <v>79.0</v>
      </c>
      <c r="F1958" s="101">
        <f t="shared" si="350"/>
        <v>79</v>
      </c>
      <c r="G1958" s="101">
        <f t="shared" si="351"/>
        <v>26.33333333</v>
      </c>
      <c r="H1958" s="95" t="s">
        <v>2141</v>
      </c>
      <c r="J1958" s="120" t="s">
        <v>2369</v>
      </c>
      <c r="K1958" s="99"/>
      <c r="L1958" s="50"/>
      <c r="M1958" s="50"/>
      <c r="P1958" s="68"/>
    </row>
    <row r="1959">
      <c r="A1959" s="95">
        <v>7.36712566939E11</v>
      </c>
      <c r="B1959" s="131" t="s">
        <v>2379</v>
      </c>
      <c r="C1959" s="95" t="s">
        <v>97</v>
      </c>
      <c r="D1959" s="95">
        <v>1.0</v>
      </c>
      <c r="E1959" s="101">
        <v>145.0</v>
      </c>
      <c r="F1959" s="101">
        <f t="shared" si="350"/>
        <v>145</v>
      </c>
      <c r="G1959" s="101">
        <f t="shared" si="351"/>
        <v>48.33333333</v>
      </c>
      <c r="H1959" s="95" t="s">
        <v>2141</v>
      </c>
      <c r="J1959" s="120" t="s">
        <v>2369</v>
      </c>
      <c r="K1959" s="99"/>
      <c r="L1959" s="50"/>
      <c r="M1959" s="50"/>
      <c r="P1959" s="68"/>
    </row>
    <row r="1960">
      <c r="A1960" s="95">
        <v>7.36713379033E11</v>
      </c>
      <c r="B1960" s="131" t="s">
        <v>2380</v>
      </c>
      <c r="C1960" s="95" t="s">
        <v>97</v>
      </c>
      <c r="D1960" s="95">
        <v>1.0</v>
      </c>
      <c r="E1960" s="101">
        <v>99.0</v>
      </c>
      <c r="F1960" s="101">
        <f t="shared" si="350"/>
        <v>99</v>
      </c>
      <c r="G1960" s="101">
        <f t="shared" si="351"/>
        <v>33</v>
      </c>
      <c r="H1960" s="95" t="s">
        <v>2141</v>
      </c>
      <c r="J1960" s="120" t="s">
        <v>2369</v>
      </c>
      <c r="K1960" s="99"/>
      <c r="L1960" s="50"/>
      <c r="M1960" s="50"/>
      <c r="P1960" s="68"/>
    </row>
    <row r="1961">
      <c r="A1961" s="95">
        <v>7.48149586497E11</v>
      </c>
      <c r="B1961" s="131" t="s">
        <v>2381</v>
      </c>
      <c r="C1961" s="95" t="s">
        <v>97</v>
      </c>
      <c r="D1961" s="95">
        <v>1.0</v>
      </c>
      <c r="E1961" s="101">
        <v>140.0</v>
      </c>
      <c r="F1961" s="101">
        <f t="shared" si="350"/>
        <v>140</v>
      </c>
      <c r="G1961" s="101">
        <f t="shared" si="351"/>
        <v>46.66666667</v>
      </c>
      <c r="H1961" s="95" t="s">
        <v>2141</v>
      </c>
      <c r="J1961" s="120" t="s">
        <v>2369</v>
      </c>
      <c r="K1961" s="99"/>
      <c r="L1961" s="50"/>
      <c r="M1961" s="50"/>
      <c r="P1961" s="68"/>
    </row>
    <row r="1962">
      <c r="A1962" s="95">
        <v>7.48149786132E11</v>
      </c>
      <c r="B1962" s="131" t="s">
        <v>2382</v>
      </c>
      <c r="C1962" s="95" t="s">
        <v>97</v>
      </c>
      <c r="D1962" s="95">
        <v>1.0</v>
      </c>
      <c r="E1962" s="101">
        <v>99.0</v>
      </c>
      <c r="F1962" s="101">
        <f t="shared" si="350"/>
        <v>99</v>
      </c>
      <c r="G1962" s="101">
        <f t="shared" si="351"/>
        <v>33</v>
      </c>
      <c r="H1962" s="95" t="s">
        <v>2141</v>
      </c>
      <c r="J1962" s="120" t="s">
        <v>2369</v>
      </c>
      <c r="K1962" s="99"/>
      <c r="L1962" s="50"/>
      <c r="M1962" s="50"/>
      <c r="P1962" s="68"/>
    </row>
    <row r="1963">
      <c r="A1963" s="95">
        <v>7.68363529841E11</v>
      </c>
      <c r="B1963" s="131" t="s">
        <v>2383</v>
      </c>
      <c r="C1963" s="95" t="s">
        <v>97</v>
      </c>
      <c r="D1963" s="95">
        <v>1.0</v>
      </c>
      <c r="E1963" s="101">
        <v>99.0</v>
      </c>
      <c r="F1963" s="101">
        <f t="shared" si="350"/>
        <v>99</v>
      </c>
      <c r="G1963" s="101">
        <f t="shared" si="351"/>
        <v>33</v>
      </c>
      <c r="H1963" s="95" t="s">
        <v>2141</v>
      </c>
      <c r="J1963" s="120" t="s">
        <v>2369</v>
      </c>
      <c r="K1963" s="99"/>
      <c r="L1963" s="50"/>
      <c r="M1963" s="50"/>
      <c r="P1963" s="68"/>
    </row>
    <row r="1964">
      <c r="A1964" s="102" t="s">
        <v>2384</v>
      </c>
      <c r="B1964" s="209" t="s">
        <v>2385</v>
      </c>
      <c r="C1964" s="104"/>
      <c r="D1964" s="104"/>
      <c r="E1964" s="105"/>
      <c r="F1964" s="106"/>
      <c r="G1964" s="106"/>
      <c r="H1964" s="107"/>
      <c r="J1964" s="108"/>
      <c r="K1964" s="99"/>
      <c r="L1964" s="50"/>
      <c r="M1964" s="50"/>
      <c r="P1964" s="68"/>
    </row>
    <row r="1965">
      <c r="A1965" s="95">
        <v>7.36712341819E11</v>
      </c>
      <c r="B1965" s="164" t="s">
        <v>2386</v>
      </c>
      <c r="C1965" s="95" t="s">
        <v>97</v>
      </c>
      <c r="D1965" s="95">
        <v>1.0</v>
      </c>
      <c r="E1965" s="101">
        <v>199.0</v>
      </c>
      <c r="F1965" s="101">
        <f t="shared" ref="F1965:F1966" si="352">E1965*D1965</f>
        <v>199</v>
      </c>
      <c r="G1965" s="101">
        <f t="shared" ref="G1965:G1966" si="353">F1965/3</f>
        <v>66.33333333</v>
      </c>
      <c r="H1965" s="95" t="s">
        <v>2141</v>
      </c>
      <c r="J1965" s="120" t="s">
        <v>2369</v>
      </c>
      <c r="K1965" s="99"/>
      <c r="L1965" s="50"/>
      <c r="M1965" s="50"/>
      <c r="P1965" s="68"/>
    </row>
    <row r="1966">
      <c r="A1966" s="95">
        <v>7.48149786132E11</v>
      </c>
      <c r="B1966" s="131" t="s">
        <v>2382</v>
      </c>
      <c r="C1966" s="95" t="s">
        <v>97</v>
      </c>
      <c r="D1966" s="95">
        <v>1.0</v>
      </c>
      <c r="E1966" s="101">
        <v>99.0</v>
      </c>
      <c r="F1966" s="101">
        <f t="shared" si="352"/>
        <v>99</v>
      </c>
      <c r="G1966" s="101">
        <f t="shared" si="353"/>
        <v>33</v>
      </c>
      <c r="H1966" s="95" t="s">
        <v>2141</v>
      </c>
      <c r="J1966" s="120" t="s">
        <v>2369</v>
      </c>
      <c r="K1966" s="99"/>
      <c r="L1966" s="50"/>
      <c r="M1966" s="50"/>
      <c r="P1966" s="68"/>
    </row>
    <row r="1967">
      <c r="A1967" s="102" t="s">
        <v>819</v>
      </c>
      <c r="B1967" s="209" t="s">
        <v>2387</v>
      </c>
      <c r="C1967" s="104"/>
      <c r="D1967" s="104"/>
      <c r="E1967" s="105"/>
      <c r="F1967" s="106"/>
      <c r="G1967" s="106"/>
      <c r="H1967" s="107"/>
      <c r="J1967" s="108"/>
      <c r="K1967" s="99"/>
      <c r="L1967" s="50"/>
      <c r="M1967" s="50"/>
      <c r="P1967" s="68"/>
    </row>
    <row r="1968">
      <c r="A1968" s="111" t="s">
        <v>115</v>
      </c>
      <c r="B1968" s="111" t="s">
        <v>2388</v>
      </c>
      <c r="C1968" s="112" t="str">
        <f>MID($B1968,6,8)</f>
        <v>MG18604 </v>
      </c>
      <c r="D1968" s="111"/>
      <c r="E1968" s="111"/>
      <c r="F1968" s="111"/>
      <c r="G1968" s="111"/>
      <c r="H1968" s="113">
        <v>44559.0</v>
      </c>
      <c r="J1968" s="108" t="str">
        <f>IF(LEFT(B1968,3)="Box","BOX","COUNT")</f>
        <v>BOX</v>
      </c>
      <c r="K1968" s="99">
        <f>SUMIF($J$4:$J$8712,$C1968,$D$4:$D$8712)</f>
        <v>17</v>
      </c>
      <c r="L1968" s="50">
        <f>SUMIF($J$4:$J$8712,$C1968,$F$4:$F$8712)</f>
        <v>1631.5</v>
      </c>
      <c r="M1968" s="50">
        <f>SUMIF($J$4:$J$8712,$C1968,$G$4:$G$8712)</f>
        <v>543.8333333</v>
      </c>
      <c r="N1968" s="70" t="str">
        <f>C1968</f>
        <v>MG18604 </v>
      </c>
      <c r="O1968" s="70" t="str">
        <f>J1969</f>
        <v>SHIP</v>
      </c>
      <c r="P1968" s="68">
        <f>M1968</f>
        <v>543.8333333</v>
      </c>
      <c r="Q1968" s="114">
        <v>44510.0</v>
      </c>
      <c r="R1968" s="37" t="s">
        <v>2291</v>
      </c>
      <c r="S1968" s="37" t="s">
        <v>2292</v>
      </c>
    </row>
    <row r="1969">
      <c r="A1969" s="211"/>
      <c r="B1969" s="111" t="s">
        <v>954</v>
      </c>
      <c r="C1969" s="109"/>
      <c r="D1969" s="109"/>
      <c r="E1969" s="116"/>
      <c r="F1969" s="116"/>
      <c r="G1969" s="116"/>
      <c r="H1969" s="109"/>
      <c r="J1969" s="108" t="str">
        <f>IF(B1969="","NSHIP","SHIP")</f>
        <v>SHIP</v>
      </c>
      <c r="K1969" s="99">
        <f>IF($J1969="NSHIP",0,-SUMIF($J$4:$J$8712,$C1968,$D$4:$D$8712))</f>
        <v>-17</v>
      </c>
      <c r="L1969" s="50">
        <f>IF($J1969="NSHIP",0,-SUMIF($J$4:$J$8710,$C1968,$F$4:$F$8710))</f>
        <v>-1631.5</v>
      </c>
      <c r="M1969" s="50">
        <f>IF($J1969="NSHIP",0,-SUMIF($J$4:$J$8710,$C1968,$G$4:$G$8710))</f>
        <v>-543.8333333</v>
      </c>
      <c r="P1969" s="68"/>
    </row>
    <row r="1970">
      <c r="A1970" s="95">
        <v>1.91010651525E11</v>
      </c>
      <c r="B1970" s="151" t="s">
        <v>2389</v>
      </c>
      <c r="C1970" s="95" t="s">
        <v>97</v>
      </c>
      <c r="D1970" s="95">
        <v>1.0</v>
      </c>
      <c r="E1970" s="101">
        <v>170.0</v>
      </c>
      <c r="F1970" s="101">
        <f t="shared" ref="F1970:F1981" si="354">E1970*D1970</f>
        <v>170</v>
      </c>
      <c r="G1970" s="101">
        <f t="shared" ref="G1970:G1981" si="355">F1970/3</f>
        <v>56.66666667</v>
      </c>
      <c r="H1970" s="95" t="s">
        <v>1788</v>
      </c>
      <c r="J1970" s="120" t="s">
        <v>2390</v>
      </c>
      <c r="K1970" s="99"/>
      <c r="L1970" s="50"/>
      <c r="M1970" s="50"/>
      <c r="P1970" s="68"/>
    </row>
    <row r="1971">
      <c r="A1971" s="95">
        <v>1.9101066556E11</v>
      </c>
      <c r="B1971" s="151" t="s">
        <v>2391</v>
      </c>
      <c r="C1971" s="95" t="s">
        <v>97</v>
      </c>
      <c r="D1971" s="95">
        <v>1.0</v>
      </c>
      <c r="E1971" s="101">
        <v>199.0</v>
      </c>
      <c r="F1971" s="101">
        <f t="shared" si="354"/>
        <v>199</v>
      </c>
      <c r="G1971" s="101">
        <f t="shared" si="355"/>
        <v>66.33333333</v>
      </c>
      <c r="H1971" s="95" t="s">
        <v>1788</v>
      </c>
      <c r="J1971" s="120" t="s">
        <v>2390</v>
      </c>
      <c r="K1971" s="99"/>
      <c r="L1971" s="50"/>
      <c r="M1971" s="50"/>
      <c r="P1971" s="68"/>
    </row>
    <row r="1972">
      <c r="A1972" s="95">
        <v>1.91010857934E11</v>
      </c>
      <c r="B1972" s="151" t="s">
        <v>2392</v>
      </c>
      <c r="C1972" s="95" t="s">
        <v>97</v>
      </c>
      <c r="D1972" s="95">
        <v>1.0</v>
      </c>
      <c r="E1972" s="101">
        <v>59.0</v>
      </c>
      <c r="F1972" s="101">
        <f t="shared" si="354"/>
        <v>59</v>
      </c>
      <c r="G1972" s="101">
        <f t="shared" si="355"/>
        <v>19.66666667</v>
      </c>
      <c r="H1972" s="95" t="s">
        <v>905</v>
      </c>
      <c r="J1972" s="120" t="s">
        <v>2390</v>
      </c>
      <c r="K1972" s="99"/>
      <c r="L1972" s="50"/>
      <c r="M1972" s="50"/>
      <c r="P1972" s="68"/>
    </row>
    <row r="1973">
      <c r="A1973" s="95">
        <v>1.91010857941E11</v>
      </c>
      <c r="B1973" s="151" t="s">
        <v>2393</v>
      </c>
      <c r="C1973" s="95" t="s">
        <v>97</v>
      </c>
      <c r="D1973" s="95">
        <v>1.0</v>
      </c>
      <c r="E1973" s="101">
        <v>59.0</v>
      </c>
      <c r="F1973" s="101">
        <f t="shared" si="354"/>
        <v>59</v>
      </c>
      <c r="G1973" s="101">
        <f t="shared" si="355"/>
        <v>19.66666667</v>
      </c>
      <c r="H1973" s="95" t="s">
        <v>905</v>
      </c>
      <c r="J1973" s="120" t="s">
        <v>2390</v>
      </c>
      <c r="K1973" s="99"/>
      <c r="L1973" s="50"/>
      <c r="M1973" s="50"/>
      <c r="P1973" s="68"/>
    </row>
    <row r="1974">
      <c r="A1974" s="95">
        <v>1.91010857965E11</v>
      </c>
      <c r="B1974" s="151" t="s">
        <v>2394</v>
      </c>
      <c r="C1974" s="95" t="s">
        <v>97</v>
      </c>
      <c r="D1974" s="95">
        <v>1.0</v>
      </c>
      <c r="E1974" s="101">
        <v>59.0</v>
      </c>
      <c r="F1974" s="101">
        <f t="shared" si="354"/>
        <v>59</v>
      </c>
      <c r="G1974" s="101">
        <f t="shared" si="355"/>
        <v>19.66666667</v>
      </c>
      <c r="H1974" s="95" t="s">
        <v>905</v>
      </c>
      <c r="J1974" s="120" t="s">
        <v>2390</v>
      </c>
      <c r="K1974" s="99"/>
      <c r="L1974" s="50"/>
      <c r="M1974" s="50"/>
      <c r="P1974" s="68"/>
    </row>
    <row r="1975">
      <c r="A1975" s="95">
        <v>1.91010857972E11</v>
      </c>
      <c r="B1975" s="151" t="s">
        <v>2395</v>
      </c>
      <c r="C1975" s="95" t="s">
        <v>97</v>
      </c>
      <c r="D1975" s="95">
        <v>1.0</v>
      </c>
      <c r="E1975" s="101">
        <v>59.0</v>
      </c>
      <c r="F1975" s="101">
        <f t="shared" si="354"/>
        <v>59</v>
      </c>
      <c r="G1975" s="101">
        <f t="shared" si="355"/>
        <v>19.66666667</v>
      </c>
      <c r="H1975" s="95" t="s">
        <v>905</v>
      </c>
      <c r="J1975" s="120" t="s">
        <v>2390</v>
      </c>
      <c r="K1975" s="99"/>
      <c r="L1975" s="50"/>
      <c r="M1975" s="50"/>
      <c r="P1975" s="68"/>
    </row>
    <row r="1976">
      <c r="A1976" s="95">
        <v>1.91010858108E11</v>
      </c>
      <c r="B1976" s="151" t="s">
        <v>2396</v>
      </c>
      <c r="C1976" s="95" t="s">
        <v>97</v>
      </c>
      <c r="D1976" s="95">
        <v>1.0</v>
      </c>
      <c r="E1976" s="101">
        <v>59.0</v>
      </c>
      <c r="F1976" s="101">
        <f t="shared" si="354"/>
        <v>59</v>
      </c>
      <c r="G1976" s="101">
        <f t="shared" si="355"/>
        <v>19.66666667</v>
      </c>
      <c r="H1976" s="95" t="s">
        <v>905</v>
      </c>
      <c r="J1976" s="120" t="s">
        <v>2390</v>
      </c>
      <c r="K1976" s="99"/>
      <c r="L1976" s="50"/>
      <c r="M1976" s="50"/>
      <c r="P1976" s="68"/>
    </row>
    <row r="1977">
      <c r="A1977" s="95">
        <v>1.93569140673E11</v>
      </c>
      <c r="B1977" s="151" t="s">
        <v>2397</v>
      </c>
      <c r="C1977" s="95" t="s">
        <v>97</v>
      </c>
      <c r="D1977" s="95">
        <v>1.0</v>
      </c>
      <c r="E1977" s="101">
        <v>120.0</v>
      </c>
      <c r="F1977" s="101">
        <f t="shared" si="354"/>
        <v>120</v>
      </c>
      <c r="G1977" s="101">
        <f t="shared" si="355"/>
        <v>40</v>
      </c>
      <c r="H1977" s="95" t="s">
        <v>1788</v>
      </c>
      <c r="J1977" s="120" t="s">
        <v>2390</v>
      </c>
      <c r="K1977" s="99"/>
      <c r="L1977" s="50"/>
      <c r="M1977" s="50"/>
      <c r="P1977" s="68"/>
    </row>
    <row r="1978">
      <c r="A1978" s="95">
        <v>8.83465118684E11</v>
      </c>
      <c r="B1978" s="151" t="s">
        <v>2398</v>
      </c>
      <c r="C1978" s="95" t="s">
        <v>97</v>
      </c>
      <c r="D1978" s="95">
        <v>1.0</v>
      </c>
      <c r="E1978" s="101">
        <v>129.0</v>
      </c>
      <c r="F1978" s="101">
        <f t="shared" si="354"/>
        <v>129</v>
      </c>
      <c r="G1978" s="101">
        <f t="shared" si="355"/>
        <v>43</v>
      </c>
      <c r="H1978" s="95" t="s">
        <v>905</v>
      </c>
      <c r="J1978" s="120" t="s">
        <v>2390</v>
      </c>
      <c r="K1978" s="99"/>
      <c r="L1978" s="50"/>
      <c r="M1978" s="50"/>
      <c r="P1978" s="68"/>
    </row>
    <row r="1979">
      <c r="A1979" s="95">
        <v>8.87059851681E11</v>
      </c>
      <c r="B1979" s="151" t="s">
        <v>2399</v>
      </c>
      <c r="C1979" s="95" t="s">
        <v>97</v>
      </c>
      <c r="D1979" s="95">
        <v>1.0</v>
      </c>
      <c r="E1979" s="101">
        <v>160.0</v>
      </c>
      <c r="F1979" s="101">
        <f t="shared" si="354"/>
        <v>160</v>
      </c>
      <c r="G1979" s="101">
        <f t="shared" si="355"/>
        <v>53.33333333</v>
      </c>
      <c r="H1979" s="95" t="s">
        <v>1788</v>
      </c>
      <c r="J1979" s="120" t="s">
        <v>2390</v>
      </c>
      <c r="K1979" s="99"/>
      <c r="L1979" s="50"/>
      <c r="M1979" s="50"/>
      <c r="P1979" s="68"/>
    </row>
    <row r="1980">
      <c r="A1980" s="95">
        <v>8.88452804472E11</v>
      </c>
      <c r="B1980" s="151" t="s">
        <v>2400</v>
      </c>
      <c r="C1980" s="95" t="s">
        <v>97</v>
      </c>
      <c r="D1980" s="95">
        <v>1.0</v>
      </c>
      <c r="E1980" s="101">
        <v>199.0</v>
      </c>
      <c r="F1980" s="101">
        <f t="shared" si="354"/>
        <v>199</v>
      </c>
      <c r="G1980" s="101">
        <f t="shared" si="355"/>
        <v>66.33333333</v>
      </c>
      <c r="H1980" s="95" t="s">
        <v>1788</v>
      </c>
      <c r="J1980" s="120" t="s">
        <v>2390</v>
      </c>
      <c r="K1980" s="99"/>
      <c r="L1980" s="50"/>
      <c r="M1980" s="50"/>
      <c r="P1980" s="68"/>
    </row>
    <row r="1981">
      <c r="A1981" s="95">
        <v>8.88452804502E11</v>
      </c>
      <c r="B1981" s="151" t="s">
        <v>2400</v>
      </c>
      <c r="C1981" s="95" t="s">
        <v>97</v>
      </c>
      <c r="D1981" s="95">
        <v>1.0</v>
      </c>
      <c r="E1981" s="101">
        <v>199.0</v>
      </c>
      <c r="F1981" s="101">
        <f t="shared" si="354"/>
        <v>199</v>
      </c>
      <c r="G1981" s="101">
        <f t="shared" si="355"/>
        <v>66.33333333</v>
      </c>
      <c r="H1981" s="95" t="s">
        <v>1788</v>
      </c>
      <c r="J1981" s="120" t="s">
        <v>2390</v>
      </c>
      <c r="K1981" s="99"/>
      <c r="L1981" s="50"/>
      <c r="M1981" s="50"/>
      <c r="P1981" s="68"/>
    </row>
    <row r="1982">
      <c r="A1982" s="231" t="s">
        <v>132</v>
      </c>
      <c r="B1982" s="231" t="s">
        <v>2401</v>
      </c>
      <c r="C1982" s="234" t="str">
        <f>MID($B1982,6,8)</f>
        <v>MG18605 </v>
      </c>
      <c r="D1982" s="231"/>
      <c r="E1982" s="231"/>
      <c r="F1982" s="231"/>
      <c r="G1982" s="231"/>
      <c r="H1982" s="235">
        <v>44559.0</v>
      </c>
      <c r="J1982" s="108" t="str">
        <f>IF(LEFT(B1982,3)="Box","BOX","COUNT")</f>
        <v>BOX</v>
      </c>
      <c r="K1982" s="99">
        <f>SUMIF($J$4:$J$8712,$C1982,$D$4:$D$8712)</f>
        <v>12</v>
      </c>
      <c r="L1982" s="50">
        <f>SUMIF($J$4:$J$8712,$C1982,$F$4:$F$8712)</f>
        <v>1471</v>
      </c>
      <c r="M1982" s="50">
        <f>SUMIF($J$4:$J$8712,$C1982,$G$4:$G$8712)</f>
        <v>490.3333333</v>
      </c>
      <c r="N1982" s="70" t="str">
        <f>C1982</f>
        <v>MG18605 </v>
      </c>
      <c r="O1982" s="70" t="str">
        <f>J1983</f>
        <v>NSHIP</v>
      </c>
      <c r="P1982" s="68">
        <f>M1982</f>
        <v>490.3333333</v>
      </c>
      <c r="Q1982" s="114">
        <v>44510.0</v>
      </c>
      <c r="R1982" s="37" t="s">
        <v>2291</v>
      </c>
      <c r="S1982" s="37" t="s">
        <v>2292</v>
      </c>
    </row>
    <row r="1983">
      <c r="A1983" s="211"/>
      <c r="B1983" s="231"/>
      <c r="C1983" s="109"/>
      <c r="D1983" s="109"/>
      <c r="E1983" s="116"/>
      <c r="F1983" s="116"/>
      <c r="G1983" s="116"/>
      <c r="H1983" s="109"/>
      <c r="J1983" s="108" t="str">
        <f>IF(B1983="","NSHIP","SHIP")</f>
        <v>NSHIP</v>
      </c>
      <c r="K1983" s="99">
        <f>IF($J1983="NSHIP",0,-SUMIF($J$4:$J$8712,$C1982,$D$4:$D$8712))</f>
        <v>0</v>
      </c>
      <c r="L1983" s="50">
        <f>IF($J1983="NSHIP",0,-SUMIF($J$4:$J$8710,$C1982,$F$4:$F$8710))</f>
        <v>0</v>
      </c>
      <c r="M1983" s="50">
        <f>IF($J1983="NSHIP",0,-SUMIF($J$4:$J$8710,$C1982,$G$4:$G$8710))</f>
        <v>0</v>
      </c>
      <c r="P1983" s="68"/>
    </row>
    <row r="1984">
      <c r="A1984" s="95">
        <v>1.9847466535E10</v>
      </c>
      <c r="B1984" s="151" t="s">
        <v>2402</v>
      </c>
      <c r="C1984" s="95" t="s">
        <v>97</v>
      </c>
      <c r="D1984" s="95">
        <v>1.0</v>
      </c>
      <c r="E1984" s="101">
        <v>149.0</v>
      </c>
      <c r="F1984" s="101">
        <f t="shared" ref="F1984:F1990" si="356">E1984*D1984</f>
        <v>149</v>
      </c>
      <c r="G1984" s="101">
        <f t="shared" ref="G1984:G1990" si="357">F1984/3</f>
        <v>49.66666667</v>
      </c>
      <c r="H1984" s="95" t="s">
        <v>1839</v>
      </c>
      <c r="J1984" s="120" t="s">
        <v>2403</v>
      </c>
      <c r="K1984" s="99"/>
      <c r="L1984" s="50"/>
      <c r="M1984" s="50"/>
      <c r="P1984" s="68"/>
    </row>
    <row r="1985">
      <c r="A1985" s="95">
        <v>1.93289885427E11</v>
      </c>
      <c r="B1985" s="151" t="s">
        <v>2404</v>
      </c>
      <c r="C1985" s="95" t="s">
        <v>97</v>
      </c>
      <c r="D1985" s="95">
        <v>1.0</v>
      </c>
      <c r="E1985" s="101">
        <v>69.0</v>
      </c>
      <c r="F1985" s="101">
        <f t="shared" si="356"/>
        <v>69</v>
      </c>
      <c r="G1985" s="101">
        <f t="shared" si="357"/>
        <v>23</v>
      </c>
      <c r="H1985" s="95" t="s">
        <v>1839</v>
      </c>
      <c r="J1985" s="120" t="s">
        <v>2403</v>
      </c>
      <c r="K1985" s="99"/>
      <c r="L1985" s="50"/>
      <c r="M1985" s="50"/>
      <c r="P1985" s="68"/>
    </row>
    <row r="1986">
      <c r="A1986" s="95">
        <v>7.40372393675E11</v>
      </c>
      <c r="B1986" s="151" t="s">
        <v>2405</v>
      </c>
      <c r="C1986" s="95" t="s">
        <v>97</v>
      </c>
      <c r="D1986" s="95">
        <v>1.0</v>
      </c>
      <c r="E1986" s="101">
        <v>59.0</v>
      </c>
      <c r="F1986" s="101">
        <f t="shared" si="356"/>
        <v>59</v>
      </c>
      <c r="G1986" s="101">
        <f t="shared" si="357"/>
        <v>19.66666667</v>
      </c>
      <c r="H1986" s="95" t="s">
        <v>1839</v>
      </c>
      <c r="J1986" s="120" t="s">
        <v>2403</v>
      </c>
      <c r="K1986" s="99"/>
      <c r="L1986" s="50"/>
      <c r="M1986" s="50"/>
      <c r="P1986" s="68"/>
    </row>
    <row r="1987">
      <c r="A1987" s="95">
        <v>8.86063612875E11</v>
      </c>
      <c r="B1987" s="151" t="s">
        <v>2406</v>
      </c>
      <c r="C1987" s="95" t="s">
        <v>97</v>
      </c>
      <c r="D1987" s="95">
        <v>1.0</v>
      </c>
      <c r="E1987" s="101">
        <v>159.0</v>
      </c>
      <c r="F1987" s="101">
        <f t="shared" si="356"/>
        <v>159</v>
      </c>
      <c r="G1987" s="101">
        <f t="shared" si="357"/>
        <v>53</v>
      </c>
      <c r="H1987" s="95" t="s">
        <v>1839</v>
      </c>
      <c r="J1987" s="120" t="s">
        <v>2403</v>
      </c>
      <c r="K1987" s="99"/>
      <c r="L1987" s="50"/>
      <c r="M1987" s="50"/>
      <c r="P1987" s="68"/>
    </row>
    <row r="1988">
      <c r="A1988" s="95">
        <v>8.86063612882E11</v>
      </c>
      <c r="B1988" s="151" t="s">
        <v>2406</v>
      </c>
      <c r="C1988" s="95" t="s">
        <v>97</v>
      </c>
      <c r="D1988" s="95">
        <v>2.0</v>
      </c>
      <c r="E1988" s="101">
        <v>159.0</v>
      </c>
      <c r="F1988" s="101">
        <f t="shared" si="356"/>
        <v>318</v>
      </c>
      <c r="G1988" s="101">
        <f t="shared" si="357"/>
        <v>106</v>
      </c>
      <c r="H1988" s="95" t="s">
        <v>1839</v>
      </c>
      <c r="J1988" s="120" t="s">
        <v>2403</v>
      </c>
      <c r="K1988" s="99"/>
      <c r="L1988" s="50"/>
      <c r="M1988" s="50"/>
      <c r="P1988" s="68"/>
    </row>
    <row r="1989">
      <c r="A1989" s="95">
        <v>8.86063612899E11</v>
      </c>
      <c r="B1989" s="151" t="s">
        <v>2406</v>
      </c>
      <c r="C1989" s="95" t="s">
        <v>97</v>
      </c>
      <c r="D1989" s="95">
        <v>1.0</v>
      </c>
      <c r="E1989" s="101">
        <v>159.0</v>
      </c>
      <c r="F1989" s="101">
        <f t="shared" si="356"/>
        <v>159</v>
      </c>
      <c r="G1989" s="101">
        <f t="shared" si="357"/>
        <v>53</v>
      </c>
      <c r="H1989" s="95" t="s">
        <v>1839</v>
      </c>
      <c r="J1989" s="120" t="s">
        <v>2403</v>
      </c>
      <c r="K1989" s="99"/>
      <c r="L1989" s="50"/>
      <c r="M1989" s="50"/>
      <c r="P1989" s="68"/>
    </row>
    <row r="1990">
      <c r="A1990" s="95">
        <v>8.86063612905E11</v>
      </c>
      <c r="B1990" s="151" t="s">
        <v>2406</v>
      </c>
      <c r="C1990" s="95" t="s">
        <v>97</v>
      </c>
      <c r="D1990" s="95">
        <v>2.0</v>
      </c>
      <c r="E1990" s="101">
        <v>159.0</v>
      </c>
      <c r="F1990" s="101">
        <f t="shared" si="356"/>
        <v>318</v>
      </c>
      <c r="G1990" s="101">
        <f t="shared" si="357"/>
        <v>106</v>
      </c>
      <c r="H1990" s="95" t="s">
        <v>1839</v>
      </c>
      <c r="J1990" s="120" t="s">
        <v>2403</v>
      </c>
      <c r="K1990" s="99"/>
      <c r="L1990" s="50"/>
      <c r="M1990" s="50"/>
      <c r="P1990" s="68"/>
    </row>
    <row r="1991">
      <c r="A1991" s="231" t="s">
        <v>153</v>
      </c>
      <c r="B1991" s="231" t="s">
        <v>2407</v>
      </c>
      <c r="C1991" s="234" t="str">
        <f>MID($B1991,6,8)</f>
        <v>MG18606 </v>
      </c>
      <c r="D1991" s="231"/>
      <c r="E1991" s="231"/>
      <c r="F1991" s="231"/>
      <c r="G1991" s="231"/>
      <c r="H1991" s="235">
        <v>44559.0</v>
      </c>
      <c r="J1991" s="108" t="str">
        <f>IF(LEFT(B1991,3)="Box","BOX","COUNT")</f>
        <v>BOX</v>
      </c>
      <c r="K1991" s="99">
        <f>SUMIF($J$4:$J$8712,$C1991,$D$4:$D$8712)</f>
        <v>9</v>
      </c>
      <c r="L1991" s="50">
        <f>SUMIF($J$4:$J$8712,$C1991,$F$4:$F$8712)</f>
        <v>1231</v>
      </c>
      <c r="M1991" s="50">
        <f>SUMIF($J$4:$J$8712,$C1991,$G$4:$G$8712)</f>
        <v>410.3333333</v>
      </c>
      <c r="N1991" s="70" t="str">
        <f>C1991</f>
        <v>MG18606 </v>
      </c>
      <c r="O1991" s="70" t="str">
        <f>J1992</f>
        <v>NSHIP</v>
      </c>
      <c r="P1991" s="68">
        <f>M1991</f>
        <v>410.3333333</v>
      </c>
      <c r="Q1991" s="114">
        <v>44510.0</v>
      </c>
      <c r="R1991" s="37" t="s">
        <v>2291</v>
      </c>
      <c r="S1991" s="37" t="s">
        <v>2292</v>
      </c>
    </row>
    <row r="1992">
      <c r="A1992" s="211"/>
      <c r="B1992" s="231"/>
      <c r="C1992" s="109"/>
      <c r="D1992" s="109"/>
      <c r="E1992" s="116"/>
      <c r="F1992" s="116"/>
      <c r="G1992" s="116"/>
      <c r="H1992" s="109"/>
      <c r="J1992" s="108" t="str">
        <f>IF(B1992="","NSHIP","SHIP")</f>
        <v>NSHIP</v>
      </c>
      <c r="K1992" s="99">
        <f>IF($J1992="NSHIP",0,-SUMIF($J$4:$J$8712,$C1991,$D$4:$D$8712))</f>
        <v>0</v>
      </c>
      <c r="L1992" s="50">
        <f>IF($J1992="NSHIP",0,-SUMIF($J$4:$J$8710,$C1991,$F$4:$F$8710))</f>
        <v>0</v>
      </c>
      <c r="M1992" s="50">
        <f>IF($J1992="NSHIP",0,-SUMIF($J$4:$J$8710,$C1991,$G$4:$G$8710))</f>
        <v>0</v>
      </c>
      <c r="P1992" s="68"/>
    </row>
    <row r="1993">
      <c r="A1993" s="95">
        <v>8.86063612875E11</v>
      </c>
      <c r="B1993" s="151" t="s">
        <v>2406</v>
      </c>
      <c r="C1993" s="95" t="s">
        <v>97</v>
      </c>
      <c r="D1993" s="95">
        <v>1.0</v>
      </c>
      <c r="E1993" s="101">
        <v>159.0</v>
      </c>
      <c r="F1993" s="101">
        <f t="shared" ref="F1993:F1997" si="358">E1993*D1993</f>
        <v>159</v>
      </c>
      <c r="G1993" s="101">
        <f t="shared" ref="G1993:G1997" si="359">F1993/3</f>
        <v>53</v>
      </c>
      <c r="H1993" s="95" t="s">
        <v>1839</v>
      </c>
      <c r="J1993" s="120" t="s">
        <v>2408</v>
      </c>
      <c r="K1993" s="99"/>
      <c r="L1993" s="50"/>
      <c r="M1993" s="50"/>
      <c r="P1993" s="68"/>
    </row>
    <row r="1994">
      <c r="A1994" s="95">
        <v>8.86063612882E11</v>
      </c>
      <c r="B1994" s="151" t="s">
        <v>2406</v>
      </c>
      <c r="C1994" s="95" t="s">
        <v>97</v>
      </c>
      <c r="D1994" s="95">
        <v>1.0</v>
      </c>
      <c r="E1994" s="101">
        <v>159.0</v>
      </c>
      <c r="F1994" s="101">
        <f t="shared" si="358"/>
        <v>159</v>
      </c>
      <c r="G1994" s="101">
        <f t="shared" si="359"/>
        <v>53</v>
      </c>
      <c r="H1994" s="95" t="s">
        <v>1839</v>
      </c>
      <c r="J1994" s="120" t="s">
        <v>2408</v>
      </c>
      <c r="K1994" s="99"/>
      <c r="L1994" s="50"/>
      <c r="M1994" s="50"/>
      <c r="P1994" s="68"/>
    </row>
    <row r="1995">
      <c r="A1995" s="95">
        <v>8.86063612899E11</v>
      </c>
      <c r="B1995" s="151" t="s">
        <v>2406</v>
      </c>
      <c r="C1995" s="95" t="s">
        <v>97</v>
      </c>
      <c r="D1995" s="95">
        <v>1.0</v>
      </c>
      <c r="E1995" s="101">
        <v>159.0</v>
      </c>
      <c r="F1995" s="101">
        <f t="shared" si="358"/>
        <v>159</v>
      </c>
      <c r="G1995" s="101">
        <f t="shared" si="359"/>
        <v>53</v>
      </c>
      <c r="H1995" s="95" t="s">
        <v>1839</v>
      </c>
      <c r="J1995" s="120" t="s">
        <v>2408</v>
      </c>
      <c r="K1995" s="99"/>
      <c r="L1995" s="50"/>
      <c r="M1995" s="50"/>
      <c r="P1995" s="68"/>
    </row>
    <row r="1996">
      <c r="A1996" s="95">
        <v>8.86063612905E11</v>
      </c>
      <c r="B1996" s="151" t="s">
        <v>2406</v>
      </c>
      <c r="C1996" s="95" t="s">
        <v>97</v>
      </c>
      <c r="D1996" s="95">
        <v>1.0</v>
      </c>
      <c r="E1996" s="101">
        <v>159.0</v>
      </c>
      <c r="F1996" s="101">
        <f t="shared" si="358"/>
        <v>159</v>
      </c>
      <c r="G1996" s="101">
        <f t="shared" si="359"/>
        <v>53</v>
      </c>
      <c r="H1996" s="95" t="s">
        <v>1839</v>
      </c>
      <c r="J1996" s="120" t="s">
        <v>2408</v>
      </c>
      <c r="K1996" s="99"/>
      <c r="L1996" s="50"/>
      <c r="M1996" s="50"/>
      <c r="P1996" s="68"/>
    </row>
    <row r="1997">
      <c r="A1997" s="95">
        <v>8.86063612929E11</v>
      </c>
      <c r="B1997" s="151" t="s">
        <v>2406</v>
      </c>
      <c r="C1997" s="95" t="s">
        <v>97</v>
      </c>
      <c r="D1997" s="95">
        <v>1.0</v>
      </c>
      <c r="E1997" s="101">
        <v>159.0</v>
      </c>
      <c r="F1997" s="101">
        <f t="shared" si="358"/>
        <v>159</v>
      </c>
      <c r="G1997" s="101">
        <f t="shared" si="359"/>
        <v>53</v>
      </c>
      <c r="H1997" s="95" t="s">
        <v>1839</v>
      </c>
      <c r="J1997" s="120" t="s">
        <v>2408</v>
      </c>
      <c r="K1997" s="99"/>
      <c r="L1997" s="50"/>
      <c r="M1997" s="50"/>
      <c r="P1997" s="68"/>
    </row>
    <row r="1998">
      <c r="A1998" s="231" t="s">
        <v>224</v>
      </c>
      <c r="B1998" s="231" t="s">
        <v>2409</v>
      </c>
      <c r="C1998" s="234" t="str">
        <f>MID($B1998,6,8)</f>
        <v>MG18607 </v>
      </c>
      <c r="D1998" s="231"/>
      <c r="E1998" s="231"/>
      <c r="F1998" s="231"/>
      <c r="G1998" s="231"/>
      <c r="H1998" s="235">
        <v>44559.0</v>
      </c>
      <c r="J1998" s="108" t="str">
        <f>IF(LEFT(B1998,3)="Box","BOX","COUNT")</f>
        <v>BOX</v>
      </c>
      <c r="K1998" s="99">
        <f>SUMIF($J$4:$J$8712,$C1998,$D$4:$D$8712)</f>
        <v>5</v>
      </c>
      <c r="L1998" s="50">
        <f>SUMIF($J$4:$J$8712,$C1998,$F$4:$F$8712)</f>
        <v>795</v>
      </c>
      <c r="M1998" s="50">
        <f>SUMIF($J$4:$J$8712,$C1998,$G$4:$G$8712)</f>
        <v>265</v>
      </c>
      <c r="N1998" s="70" t="str">
        <f>C1998</f>
        <v>MG18607 </v>
      </c>
      <c r="O1998" s="70" t="str">
        <f>J1999</f>
        <v>NSHIP</v>
      </c>
      <c r="P1998" s="68">
        <f>M1998</f>
        <v>265</v>
      </c>
      <c r="Q1998" s="114">
        <v>44510.0</v>
      </c>
      <c r="R1998" s="37" t="s">
        <v>2291</v>
      </c>
      <c r="S1998" s="37" t="s">
        <v>2292</v>
      </c>
    </row>
    <row r="1999">
      <c r="A1999" s="211"/>
      <c r="B1999" s="231"/>
      <c r="C1999" s="109"/>
      <c r="D1999" s="109"/>
      <c r="E1999" s="116"/>
      <c r="F1999" s="116"/>
      <c r="G1999" s="116"/>
      <c r="H1999" s="109"/>
      <c r="J1999" s="108" t="str">
        <f>IF(B1999="","NSHIP","SHIP")</f>
        <v>NSHIP</v>
      </c>
      <c r="K1999" s="99">
        <f>IF($J1999="NSHIP",0,-SUMIF($J$4:$J$8712,$C1998,$D$4:$D$8712))</f>
        <v>0</v>
      </c>
      <c r="L1999" s="50">
        <f>IF($J1999="NSHIP",0,-SUMIF($J$4:$J$8710,$C1998,$F$4:$F$8710))</f>
        <v>0</v>
      </c>
      <c r="M1999" s="50">
        <f>IF($J1999="NSHIP",0,-SUMIF($J$4:$J$8710,$C1998,$G$4:$G$8710))</f>
        <v>0</v>
      </c>
      <c r="P1999" s="68"/>
    </row>
    <row r="2000">
      <c r="A2000" s="95">
        <v>1.92734268976E11</v>
      </c>
      <c r="B2000" s="151" t="s">
        <v>2410</v>
      </c>
      <c r="C2000" s="95" t="s">
        <v>97</v>
      </c>
      <c r="D2000" s="95">
        <v>2.0</v>
      </c>
      <c r="E2000" s="101">
        <v>49.5</v>
      </c>
      <c r="F2000" s="101">
        <f t="shared" ref="F2000:F2007" si="360">E2000*D2000</f>
        <v>99</v>
      </c>
      <c r="G2000" s="101">
        <f t="shared" ref="G2000:G2007" si="361">F2000/3</f>
        <v>33</v>
      </c>
      <c r="H2000" s="95" t="s">
        <v>345</v>
      </c>
      <c r="J2000" s="120" t="s">
        <v>2411</v>
      </c>
      <c r="K2000" s="99"/>
      <c r="L2000" s="50"/>
      <c r="M2000" s="50"/>
      <c r="P2000" s="68"/>
    </row>
    <row r="2001">
      <c r="A2001" s="95">
        <v>1.9400948476E11</v>
      </c>
      <c r="B2001" s="151" t="s">
        <v>2412</v>
      </c>
      <c r="C2001" s="95" t="s">
        <v>97</v>
      </c>
      <c r="D2001" s="95">
        <v>1.0</v>
      </c>
      <c r="E2001" s="101">
        <v>129.0</v>
      </c>
      <c r="F2001" s="101">
        <f t="shared" si="360"/>
        <v>129</v>
      </c>
      <c r="G2001" s="101">
        <f t="shared" si="361"/>
        <v>43</v>
      </c>
      <c r="H2001" s="95" t="s">
        <v>1255</v>
      </c>
      <c r="J2001" s="120" t="s">
        <v>2411</v>
      </c>
      <c r="K2001" s="99"/>
      <c r="L2001" s="50"/>
      <c r="M2001" s="50"/>
      <c r="P2001" s="68"/>
    </row>
    <row r="2002">
      <c r="A2002" s="95">
        <v>1.94009484784E11</v>
      </c>
      <c r="B2002" s="151" t="s">
        <v>2412</v>
      </c>
      <c r="C2002" s="95" t="s">
        <v>97</v>
      </c>
      <c r="D2002" s="95">
        <v>1.0</v>
      </c>
      <c r="E2002" s="101">
        <v>129.0</v>
      </c>
      <c r="F2002" s="101">
        <f t="shared" si="360"/>
        <v>129</v>
      </c>
      <c r="G2002" s="101">
        <f t="shared" si="361"/>
        <v>43</v>
      </c>
      <c r="H2002" s="95" t="s">
        <v>1255</v>
      </c>
      <c r="J2002" s="120" t="s">
        <v>2411</v>
      </c>
      <c r="K2002" s="99"/>
      <c r="L2002" s="50"/>
      <c r="M2002" s="50"/>
      <c r="P2002" s="68"/>
    </row>
    <row r="2003">
      <c r="A2003" s="95">
        <v>1.94009484791E11</v>
      </c>
      <c r="B2003" s="151" t="s">
        <v>2412</v>
      </c>
      <c r="C2003" s="95" t="s">
        <v>97</v>
      </c>
      <c r="D2003" s="95">
        <v>1.0</v>
      </c>
      <c r="E2003" s="101">
        <v>129.0</v>
      </c>
      <c r="F2003" s="101">
        <f t="shared" si="360"/>
        <v>129</v>
      </c>
      <c r="G2003" s="101">
        <f t="shared" si="361"/>
        <v>43</v>
      </c>
      <c r="H2003" s="95" t="s">
        <v>1255</v>
      </c>
      <c r="J2003" s="120" t="s">
        <v>2411</v>
      </c>
      <c r="K2003" s="99"/>
      <c r="L2003" s="50"/>
      <c r="M2003" s="50"/>
      <c r="P2003" s="68"/>
    </row>
    <row r="2004">
      <c r="A2004" s="95">
        <v>1.94009484807E11</v>
      </c>
      <c r="B2004" s="151" t="s">
        <v>2412</v>
      </c>
      <c r="C2004" s="95" t="s">
        <v>97</v>
      </c>
      <c r="D2004" s="95">
        <v>1.0</v>
      </c>
      <c r="E2004" s="101">
        <v>129.0</v>
      </c>
      <c r="F2004" s="101">
        <f t="shared" si="360"/>
        <v>129</v>
      </c>
      <c r="G2004" s="101">
        <f t="shared" si="361"/>
        <v>43</v>
      </c>
      <c r="H2004" s="95" t="s">
        <v>1255</v>
      </c>
      <c r="J2004" s="120" t="s">
        <v>2411</v>
      </c>
      <c r="K2004" s="99"/>
      <c r="L2004" s="50"/>
      <c r="M2004" s="50"/>
      <c r="P2004" s="68"/>
    </row>
    <row r="2005">
      <c r="A2005" s="95">
        <v>1.94009484838E11</v>
      </c>
      <c r="B2005" s="151" t="s">
        <v>2412</v>
      </c>
      <c r="C2005" s="95" t="s">
        <v>97</v>
      </c>
      <c r="D2005" s="95">
        <v>1.0</v>
      </c>
      <c r="E2005" s="101">
        <v>129.0</v>
      </c>
      <c r="F2005" s="101">
        <f t="shared" si="360"/>
        <v>129</v>
      </c>
      <c r="G2005" s="101">
        <f t="shared" si="361"/>
        <v>43</v>
      </c>
      <c r="H2005" s="95" t="s">
        <v>1255</v>
      </c>
      <c r="J2005" s="120" t="s">
        <v>2411</v>
      </c>
      <c r="K2005" s="99"/>
      <c r="L2005" s="50"/>
      <c r="M2005" s="50"/>
      <c r="P2005" s="68"/>
    </row>
    <row r="2006">
      <c r="A2006" s="95">
        <v>1.94009517499E11</v>
      </c>
      <c r="B2006" s="151" t="s">
        <v>2413</v>
      </c>
      <c r="C2006" s="95" t="s">
        <v>97</v>
      </c>
      <c r="D2006" s="95">
        <v>1.0</v>
      </c>
      <c r="E2006" s="101">
        <v>129.0</v>
      </c>
      <c r="F2006" s="101">
        <f t="shared" si="360"/>
        <v>129</v>
      </c>
      <c r="G2006" s="101">
        <f t="shared" si="361"/>
        <v>43</v>
      </c>
      <c r="H2006" s="95" t="s">
        <v>1255</v>
      </c>
      <c r="J2006" s="120" t="s">
        <v>2411</v>
      </c>
      <c r="K2006" s="99"/>
      <c r="L2006" s="50"/>
      <c r="M2006" s="50"/>
      <c r="P2006" s="68"/>
    </row>
    <row r="2007">
      <c r="A2007" s="95">
        <v>1.94009517505E11</v>
      </c>
      <c r="B2007" s="151" t="s">
        <v>2414</v>
      </c>
      <c r="C2007" s="95" t="s">
        <v>97</v>
      </c>
      <c r="D2007" s="95">
        <v>1.0</v>
      </c>
      <c r="E2007" s="101">
        <v>129.0</v>
      </c>
      <c r="F2007" s="101">
        <f t="shared" si="360"/>
        <v>129</v>
      </c>
      <c r="G2007" s="101">
        <f t="shared" si="361"/>
        <v>43</v>
      </c>
      <c r="H2007" s="95" t="s">
        <v>1255</v>
      </c>
      <c r="J2007" s="120" t="s">
        <v>2411</v>
      </c>
      <c r="K2007" s="99"/>
      <c r="L2007" s="50"/>
      <c r="M2007" s="50"/>
      <c r="P2007" s="68"/>
    </row>
    <row r="2008">
      <c r="A2008" s="231" t="s">
        <v>267</v>
      </c>
      <c r="B2008" s="231" t="s">
        <v>2415</v>
      </c>
      <c r="C2008" s="234" t="str">
        <f>MID($B2008,6,8)</f>
        <v>MG18608 </v>
      </c>
      <c r="D2008" s="231"/>
      <c r="E2008" s="231"/>
      <c r="F2008" s="231"/>
      <c r="G2008" s="231"/>
      <c r="H2008" s="235">
        <v>44559.0</v>
      </c>
      <c r="J2008" s="108" t="str">
        <f>IF(LEFT(B2008,3)="Box","BOX","COUNT")</f>
        <v>BOX</v>
      </c>
      <c r="K2008" s="99">
        <f>SUMIF($J$4:$J$8712,$C2008,$D$4:$D$8712)</f>
        <v>9</v>
      </c>
      <c r="L2008" s="50">
        <f>SUMIF($J$4:$J$8712,$C2008,$F$4:$F$8712)</f>
        <v>1002</v>
      </c>
      <c r="M2008" s="50">
        <f>SUMIF($J$4:$J$8712,$C2008,$G$4:$G$8712)</f>
        <v>334</v>
      </c>
      <c r="N2008" s="70" t="str">
        <f>C2008</f>
        <v>MG18608 </v>
      </c>
      <c r="O2008" s="70" t="str">
        <f>J2009</f>
        <v>NSHIP</v>
      </c>
      <c r="P2008" s="68">
        <f>M2008</f>
        <v>334</v>
      </c>
      <c r="Q2008" s="114">
        <v>44559.0</v>
      </c>
      <c r="R2008" s="37" t="s">
        <v>1400</v>
      </c>
      <c r="S2008" s="37" t="s">
        <v>1325</v>
      </c>
    </row>
    <row r="2009">
      <c r="A2009" s="211"/>
      <c r="B2009" s="231"/>
      <c r="C2009" s="109"/>
      <c r="D2009" s="109"/>
      <c r="E2009" s="116"/>
      <c r="F2009" s="116"/>
      <c r="G2009" s="116"/>
      <c r="H2009" s="109"/>
      <c r="J2009" s="108" t="str">
        <f>IF(B2009="","NSHIP","SHIP")</f>
        <v>NSHIP</v>
      </c>
      <c r="K2009" s="99">
        <f>IF($J2009="NSHIP",0,-SUMIF($J$4:$J$8712,$C2008,$D$4:$D$8712))</f>
        <v>0</v>
      </c>
      <c r="L2009" s="50">
        <f>IF($J2009="NSHIP",0,-SUMIF($J$4:$J$8710,$C2008,$F$4:$F$8710))</f>
        <v>0</v>
      </c>
      <c r="M2009" s="50">
        <f>IF($J2009="NSHIP",0,-SUMIF($J$4:$J$8710,$C2008,$G$4:$G$8710))</f>
        <v>0</v>
      </c>
      <c r="P2009" s="68"/>
    </row>
    <row r="2010">
      <c r="A2010" s="95">
        <v>7.36716002662E11</v>
      </c>
      <c r="B2010" s="164" t="s">
        <v>2416</v>
      </c>
      <c r="C2010" s="95" t="s">
        <v>97</v>
      </c>
      <c r="D2010" s="95">
        <v>1.0</v>
      </c>
      <c r="E2010" s="101">
        <v>149.0</v>
      </c>
      <c r="F2010" s="101">
        <f t="shared" ref="F2010:F2011" si="362">E2010*D2010</f>
        <v>149</v>
      </c>
      <c r="G2010" s="101">
        <f t="shared" ref="G2010:G2011" si="363">F2010/3</f>
        <v>49.66666667</v>
      </c>
      <c r="H2010" s="95" t="s">
        <v>1849</v>
      </c>
      <c r="J2010" s="120" t="s">
        <v>2417</v>
      </c>
      <c r="K2010" s="99"/>
      <c r="L2010" s="50"/>
      <c r="M2010" s="50"/>
      <c r="P2010" s="68"/>
    </row>
    <row r="2011">
      <c r="A2011" s="95">
        <v>7.36716163851E11</v>
      </c>
      <c r="B2011" s="131" t="s">
        <v>2418</v>
      </c>
      <c r="C2011" s="95" t="s">
        <v>97</v>
      </c>
      <c r="D2011" s="95">
        <v>1.0</v>
      </c>
      <c r="E2011" s="101">
        <v>229.0</v>
      </c>
      <c r="F2011" s="101">
        <f t="shared" si="362"/>
        <v>229</v>
      </c>
      <c r="G2011" s="101">
        <f t="shared" si="363"/>
        <v>76.33333333</v>
      </c>
      <c r="H2011" s="95" t="s">
        <v>1849</v>
      </c>
      <c r="J2011" s="120" t="s">
        <v>2417</v>
      </c>
      <c r="K2011" s="99"/>
      <c r="L2011" s="50"/>
      <c r="M2011" s="50"/>
      <c r="P2011" s="68"/>
    </row>
    <row r="2012">
      <c r="A2012" s="102" t="s">
        <v>819</v>
      </c>
      <c r="B2012" s="209" t="s">
        <v>2419</v>
      </c>
      <c r="C2012" s="104"/>
      <c r="D2012" s="104"/>
      <c r="E2012" s="105"/>
      <c r="F2012" s="106"/>
      <c r="G2012" s="106"/>
      <c r="H2012" s="107"/>
      <c r="J2012" s="108"/>
      <c r="K2012" s="99"/>
      <c r="L2012" s="50"/>
      <c r="M2012" s="50"/>
      <c r="P2012" s="68"/>
    </row>
    <row r="2013">
      <c r="A2013" s="95">
        <v>7.36716159304E11</v>
      </c>
      <c r="B2013" s="164" t="s">
        <v>2420</v>
      </c>
      <c r="C2013" s="95" t="s">
        <v>97</v>
      </c>
      <c r="D2013" s="95">
        <v>1.0</v>
      </c>
      <c r="E2013" s="101">
        <v>229.0</v>
      </c>
      <c r="F2013" s="101">
        <f t="shared" ref="F2013:F2014" si="364">E2013*D2013</f>
        <v>229</v>
      </c>
      <c r="G2013" s="101">
        <f t="shared" ref="G2013:G2014" si="365">F2013/3</f>
        <v>76.33333333</v>
      </c>
      <c r="H2013" s="95" t="s">
        <v>1849</v>
      </c>
      <c r="J2013" s="120" t="s">
        <v>2417</v>
      </c>
      <c r="K2013" s="99"/>
      <c r="L2013" s="50"/>
      <c r="M2013" s="50"/>
      <c r="P2013" s="68"/>
    </row>
    <row r="2014">
      <c r="A2014" s="95">
        <v>7.36716163851E11</v>
      </c>
      <c r="B2014" s="131" t="s">
        <v>2418</v>
      </c>
      <c r="C2014" s="95" t="s">
        <v>97</v>
      </c>
      <c r="D2014" s="95">
        <v>1.0</v>
      </c>
      <c r="E2014" s="101">
        <v>229.0</v>
      </c>
      <c r="F2014" s="101">
        <f t="shared" si="364"/>
        <v>229</v>
      </c>
      <c r="G2014" s="101">
        <f t="shared" si="365"/>
        <v>76.33333333</v>
      </c>
      <c r="H2014" s="95" t="s">
        <v>1849</v>
      </c>
      <c r="J2014" s="120" t="s">
        <v>2417</v>
      </c>
      <c r="K2014" s="99"/>
      <c r="L2014" s="50"/>
      <c r="M2014" s="50"/>
      <c r="P2014" s="68"/>
    </row>
    <row r="2015">
      <c r="A2015" s="102" t="s">
        <v>819</v>
      </c>
      <c r="B2015" s="209" t="s">
        <v>2421</v>
      </c>
      <c r="C2015" s="104"/>
      <c r="D2015" s="104"/>
      <c r="E2015" s="105"/>
      <c r="F2015" s="106"/>
      <c r="G2015" s="106"/>
      <c r="H2015" s="107"/>
      <c r="J2015" s="108"/>
      <c r="K2015" s="99"/>
      <c r="L2015" s="50"/>
      <c r="M2015" s="50"/>
      <c r="P2015" s="68"/>
    </row>
    <row r="2016">
      <c r="A2016" s="111" t="s">
        <v>115</v>
      </c>
      <c r="B2016" s="111" t="s">
        <v>2422</v>
      </c>
      <c r="C2016" s="112" t="str">
        <f>MID($B2016,6,8)</f>
        <v>MG18609 </v>
      </c>
      <c r="D2016" s="111"/>
      <c r="E2016" s="111"/>
      <c r="F2016" s="111"/>
      <c r="G2016" s="111"/>
      <c r="H2016" s="113">
        <v>44559.0</v>
      </c>
      <c r="J2016" s="108" t="str">
        <f>IF(LEFT(B2016,3)="Box","BOX","COUNT")</f>
        <v>BOX</v>
      </c>
      <c r="K2016" s="99">
        <f>SUMIF($J$4:$J$8712,$C2016,$D$4:$D$8712)</f>
        <v>4</v>
      </c>
      <c r="L2016" s="50">
        <f>SUMIF($J$4:$J$8712,$C2016,$F$4:$F$8712)</f>
        <v>836</v>
      </c>
      <c r="M2016" s="50">
        <f>SUMIF($J$4:$J$8712,$C2016,$G$4:$G$8712)</f>
        <v>278.6666667</v>
      </c>
      <c r="N2016" s="70" t="str">
        <f>C2016</f>
        <v>MG18609 </v>
      </c>
      <c r="O2016" s="70" t="str">
        <f>J2017</f>
        <v>SHIP</v>
      </c>
      <c r="P2016" s="68">
        <f>M2016</f>
        <v>278.6666667</v>
      </c>
      <c r="Q2016" s="114">
        <v>44510.0</v>
      </c>
      <c r="R2016" s="37" t="s">
        <v>2291</v>
      </c>
      <c r="S2016" s="37" t="s">
        <v>2292</v>
      </c>
    </row>
    <row r="2017">
      <c r="A2017" s="211"/>
      <c r="B2017" s="111" t="s">
        <v>2310</v>
      </c>
      <c r="C2017" s="109"/>
      <c r="D2017" s="109"/>
      <c r="E2017" s="116"/>
      <c r="F2017" s="116"/>
      <c r="G2017" s="116"/>
      <c r="H2017" s="109"/>
      <c r="J2017" s="108" t="str">
        <f>IF(B2017="","NSHIP","SHIP")</f>
        <v>SHIP</v>
      </c>
      <c r="K2017" s="99">
        <f>IF($J2017="NSHIP",0,-SUMIF($J$4:$J$8712,$C2016,$D$4:$D$8712))</f>
        <v>-4</v>
      </c>
      <c r="L2017" s="50">
        <f>IF($J2017="NSHIP",0,-SUMIF($J$4:$J$8710,$C2016,$F$4:$F$8710))</f>
        <v>-836</v>
      </c>
      <c r="M2017" s="50">
        <f>IF($J2017="NSHIP",0,-SUMIF($J$4:$J$8710,$C2016,$G$4:$G$8710))</f>
        <v>-278.6666667</v>
      </c>
      <c r="P2017" s="68"/>
    </row>
    <row r="2018">
      <c r="A2018" s="95">
        <v>1.92733573095E11</v>
      </c>
      <c r="B2018" s="151" t="s">
        <v>2423</v>
      </c>
      <c r="C2018" s="95" t="s">
        <v>97</v>
      </c>
      <c r="D2018" s="95">
        <v>1.0</v>
      </c>
      <c r="E2018" s="101">
        <v>69.0</v>
      </c>
      <c r="F2018" s="101">
        <f t="shared" ref="F2018:F2027" si="366">E2018*D2018</f>
        <v>69</v>
      </c>
      <c r="G2018" s="101">
        <f t="shared" ref="G2018:G2027" si="367">F2018/3</f>
        <v>23</v>
      </c>
      <c r="H2018" s="95" t="s">
        <v>2105</v>
      </c>
      <c r="J2018" s="120" t="s">
        <v>2424</v>
      </c>
      <c r="K2018" s="99"/>
      <c r="L2018" s="50"/>
      <c r="M2018" s="50"/>
      <c r="P2018" s="68"/>
    </row>
    <row r="2019">
      <c r="A2019" s="95">
        <v>1.92733744051E11</v>
      </c>
      <c r="B2019" s="151" t="s">
        <v>2425</v>
      </c>
      <c r="C2019" s="95" t="s">
        <v>97</v>
      </c>
      <c r="D2019" s="95">
        <v>1.0</v>
      </c>
      <c r="E2019" s="101">
        <v>69.0</v>
      </c>
      <c r="F2019" s="101">
        <f t="shared" si="366"/>
        <v>69</v>
      </c>
      <c r="G2019" s="101">
        <f t="shared" si="367"/>
        <v>23</v>
      </c>
      <c r="H2019" s="95" t="s">
        <v>2105</v>
      </c>
      <c r="J2019" s="120" t="s">
        <v>2424</v>
      </c>
      <c r="K2019" s="99"/>
      <c r="L2019" s="50"/>
      <c r="M2019" s="50"/>
      <c r="P2019" s="68"/>
    </row>
    <row r="2020">
      <c r="A2020" s="95">
        <v>1.93073142743E11</v>
      </c>
      <c r="B2020" s="151" t="s">
        <v>2426</v>
      </c>
      <c r="C2020" s="95" t="s">
        <v>97</v>
      </c>
      <c r="D2020" s="95">
        <v>1.0</v>
      </c>
      <c r="E2020" s="101">
        <v>60.0</v>
      </c>
      <c r="F2020" s="101">
        <f t="shared" si="366"/>
        <v>60</v>
      </c>
      <c r="G2020" s="101">
        <f t="shared" si="367"/>
        <v>20</v>
      </c>
      <c r="H2020" s="95" t="s">
        <v>1736</v>
      </c>
      <c r="J2020" s="120" t="s">
        <v>2424</v>
      </c>
      <c r="K2020" s="99"/>
      <c r="L2020" s="50"/>
      <c r="M2020" s="50"/>
      <c r="P2020" s="68"/>
    </row>
    <row r="2021">
      <c r="A2021" s="95">
        <v>1.93073178223E11</v>
      </c>
      <c r="B2021" s="151" t="s">
        <v>2427</v>
      </c>
      <c r="C2021" s="95" t="s">
        <v>97</v>
      </c>
      <c r="D2021" s="95">
        <v>1.0</v>
      </c>
      <c r="E2021" s="101">
        <v>60.0</v>
      </c>
      <c r="F2021" s="101">
        <f t="shared" si="366"/>
        <v>60</v>
      </c>
      <c r="G2021" s="101">
        <f t="shared" si="367"/>
        <v>20</v>
      </c>
      <c r="H2021" s="95" t="s">
        <v>1736</v>
      </c>
      <c r="J2021" s="120" t="s">
        <v>2424</v>
      </c>
      <c r="K2021" s="99"/>
      <c r="L2021" s="50"/>
      <c r="M2021" s="50"/>
      <c r="P2021" s="68"/>
    </row>
    <row r="2022">
      <c r="A2022" s="95">
        <v>1.9458432679E11</v>
      </c>
      <c r="B2022" s="151" t="s">
        <v>2428</v>
      </c>
      <c r="C2022" s="95" t="s">
        <v>97</v>
      </c>
      <c r="D2022" s="95">
        <v>1.0</v>
      </c>
      <c r="E2022" s="101">
        <v>99.0</v>
      </c>
      <c r="F2022" s="101">
        <f t="shared" si="366"/>
        <v>99</v>
      </c>
      <c r="G2022" s="101">
        <f t="shared" si="367"/>
        <v>33</v>
      </c>
      <c r="H2022" s="95" t="s">
        <v>2105</v>
      </c>
      <c r="J2022" s="120" t="s">
        <v>2424</v>
      </c>
      <c r="K2022" s="99"/>
      <c r="L2022" s="50"/>
      <c r="M2022" s="50"/>
      <c r="P2022" s="68"/>
    </row>
    <row r="2023">
      <c r="A2023" s="95">
        <v>7.40363228122E11</v>
      </c>
      <c r="B2023" s="151" t="s">
        <v>2429</v>
      </c>
      <c r="C2023" s="95" t="s">
        <v>97</v>
      </c>
      <c r="D2023" s="95">
        <v>1.0</v>
      </c>
      <c r="E2023" s="101">
        <v>69.0</v>
      </c>
      <c r="F2023" s="101">
        <f t="shared" si="366"/>
        <v>69</v>
      </c>
      <c r="G2023" s="101">
        <f t="shared" si="367"/>
        <v>23</v>
      </c>
      <c r="H2023" s="95" t="s">
        <v>2105</v>
      </c>
      <c r="J2023" s="120" t="s">
        <v>2424</v>
      </c>
      <c r="K2023" s="99"/>
      <c r="L2023" s="50"/>
      <c r="M2023" s="50"/>
      <c r="P2023" s="68"/>
    </row>
    <row r="2024">
      <c r="A2024" s="95">
        <v>8.85660474435E11</v>
      </c>
      <c r="B2024" s="151" t="s">
        <v>2430</v>
      </c>
      <c r="C2024" s="95" t="s">
        <v>97</v>
      </c>
      <c r="D2024" s="95">
        <v>1.0</v>
      </c>
      <c r="E2024" s="101">
        <v>55.0</v>
      </c>
      <c r="F2024" s="101">
        <f t="shared" si="366"/>
        <v>55</v>
      </c>
      <c r="G2024" s="101">
        <f t="shared" si="367"/>
        <v>18.33333333</v>
      </c>
      <c r="H2024" s="95" t="s">
        <v>1736</v>
      </c>
      <c r="J2024" s="120" t="s">
        <v>2424</v>
      </c>
      <c r="K2024" s="99"/>
      <c r="L2024" s="50"/>
      <c r="M2024" s="50"/>
      <c r="P2024" s="68"/>
    </row>
    <row r="2025">
      <c r="A2025" s="95">
        <v>8.8988552744E11</v>
      </c>
      <c r="B2025" s="151" t="s">
        <v>2431</v>
      </c>
      <c r="C2025" s="95" t="s">
        <v>97</v>
      </c>
      <c r="D2025" s="95">
        <v>1.0</v>
      </c>
      <c r="E2025" s="101">
        <v>40.0</v>
      </c>
      <c r="F2025" s="101">
        <f t="shared" si="366"/>
        <v>40</v>
      </c>
      <c r="G2025" s="101">
        <f t="shared" si="367"/>
        <v>13.33333333</v>
      </c>
      <c r="H2025" s="95" t="s">
        <v>1736</v>
      </c>
      <c r="J2025" s="120" t="s">
        <v>2424</v>
      </c>
      <c r="K2025" s="99"/>
      <c r="L2025" s="50"/>
      <c r="M2025" s="50"/>
      <c r="P2025" s="68"/>
    </row>
    <row r="2026">
      <c r="A2026" s="95">
        <v>8.89885527754E11</v>
      </c>
      <c r="B2026" s="151" t="s">
        <v>2432</v>
      </c>
      <c r="C2026" s="95" t="s">
        <v>97</v>
      </c>
      <c r="D2026" s="95">
        <v>1.0</v>
      </c>
      <c r="E2026" s="101">
        <v>35.0</v>
      </c>
      <c r="F2026" s="101">
        <f t="shared" si="366"/>
        <v>35</v>
      </c>
      <c r="G2026" s="101">
        <f t="shared" si="367"/>
        <v>11.66666667</v>
      </c>
      <c r="H2026" s="95" t="s">
        <v>1736</v>
      </c>
      <c r="J2026" s="120" t="s">
        <v>2424</v>
      </c>
      <c r="K2026" s="99"/>
      <c r="L2026" s="50"/>
      <c r="M2026" s="50"/>
      <c r="P2026" s="68"/>
    </row>
    <row r="2027">
      <c r="A2027" s="95">
        <v>8.8988579066E11</v>
      </c>
      <c r="B2027" s="151" t="s">
        <v>2433</v>
      </c>
      <c r="C2027" s="95" t="s">
        <v>97</v>
      </c>
      <c r="D2027" s="95">
        <v>1.0</v>
      </c>
      <c r="E2027" s="101">
        <v>60.0</v>
      </c>
      <c r="F2027" s="101">
        <f t="shared" si="366"/>
        <v>60</v>
      </c>
      <c r="G2027" s="101">
        <f t="shared" si="367"/>
        <v>20</v>
      </c>
      <c r="H2027" s="95" t="s">
        <v>1736</v>
      </c>
      <c r="J2027" s="120" t="s">
        <v>2424</v>
      </c>
      <c r="K2027" s="99"/>
      <c r="L2027" s="50"/>
      <c r="M2027" s="50"/>
      <c r="P2027" s="68"/>
    </row>
    <row r="2028">
      <c r="A2028" s="231" t="s">
        <v>132</v>
      </c>
      <c r="B2028" s="231" t="s">
        <v>2434</v>
      </c>
      <c r="C2028" s="234" t="str">
        <f>MID($B2028,6,8)</f>
        <v>MG18610 </v>
      </c>
      <c r="D2028" s="231"/>
      <c r="E2028" s="231"/>
      <c r="F2028" s="231"/>
      <c r="G2028" s="231"/>
      <c r="H2028" s="235">
        <v>44559.0</v>
      </c>
      <c r="J2028" s="108" t="str">
        <f>IF(LEFT(B2028,3)="Box","BOX","COUNT")</f>
        <v>BOX</v>
      </c>
      <c r="K2028" s="99">
        <f>SUMIF($J$4:$J$8712,$C2028,$D$4:$D$8712)</f>
        <v>10</v>
      </c>
      <c r="L2028" s="50">
        <f>SUMIF($J$4:$J$8712,$C2028,$F$4:$F$8712)</f>
        <v>616</v>
      </c>
      <c r="M2028" s="50">
        <f>SUMIF($J$4:$J$8712,$C2028,$G$4:$G$8712)</f>
        <v>205.3333333</v>
      </c>
      <c r="N2028" s="70" t="str">
        <f>C2028</f>
        <v>MG18610 </v>
      </c>
      <c r="O2028" s="70" t="str">
        <f>J2029</f>
        <v>NSHIP</v>
      </c>
      <c r="P2028" s="68">
        <f>M2028</f>
        <v>205.3333333</v>
      </c>
      <c r="Q2028" s="114">
        <v>44510.0</v>
      </c>
      <c r="R2028" s="37" t="s">
        <v>2291</v>
      </c>
      <c r="S2028" s="37" t="s">
        <v>2292</v>
      </c>
    </row>
    <row r="2029">
      <c r="A2029" s="211"/>
      <c r="B2029" s="231"/>
      <c r="C2029" s="109"/>
      <c r="D2029" s="109"/>
      <c r="E2029" s="116"/>
      <c r="F2029" s="116"/>
      <c r="G2029" s="116"/>
      <c r="H2029" s="109"/>
      <c r="J2029" s="108" t="str">
        <f>IF(B2029="","NSHIP","SHIP")</f>
        <v>NSHIP</v>
      </c>
      <c r="K2029" s="99">
        <f>IF($J2029="NSHIP",0,-SUMIF($J$4:$J$8712,$C2028,$D$4:$D$8712))</f>
        <v>0</v>
      </c>
      <c r="L2029" s="50">
        <f>IF($J2029="NSHIP",0,-SUMIF($J$4:$J$8710,$C2028,$F$4:$F$8710))</f>
        <v>0</v>
      </c>
      <c r="M2029" s="50">
        <f>IF($J2029="NSHIP",0,-SUMIF($J$4:$J$8710,$C2028,$G$4:$G$8710))</f>
        <v>0</v>
      </c>
      <c r="P2029" s="68"/>
    </row>
    <row r="2030">
      <c r="A2030" s="95">
        <v>1.92814164648E11</v>
      </c>
      <c r="B2030" s="151" t="s">
        <v>2435</v>
      </c>
      <c r="C2030" s="95" t="s">
        <v>97</v>
      </c>
      <c r="D2030" s="95">
        <v>1.0</v>
      </c>
      <c r="E2030" s="101">
        <v>85.0</v>
      </c>
      <c r="F2030" s="101">
        <f t="shared" ref="F2030:F2033" si="368">E2030*D2030</f>
        <v>85</v>
      </c>
      <c r="G2030" s="101">
        <f t="shared" ref="G2030:G2033" si="369">F2030/3</f>
        <v>28.33333333</v>
      </c>
      <c r="H2030" s="95" t="s">
        <v>2174</v>
      </c>
      <c r="J2030" s="120" t="s">
        <v>2436</v>
      </c>
      <c r="K2030" s="99"/>
      <c r="L2030" s="50"/>
      <c r="M2030" s="50"/>
      <c r="P2030" s="68"/>
    </row>
    <row r="2031">
      <c r="A2031" s="95">
        <v>1.92814283493E11</v>
      </c>
      <c r="B2031" s="151" t="s">
        <v>2437</v>
      </c>
      <c r="C2031" s="95" t="s">
        <v>97</v>
      </c>
      <c r="D2031" s="95">
        <v>1.0</v>
      </c>
      <c r="E2031" s="101">
        <v>140.0</v>
      </c>
      <c r="F2031" s="101">
        <f t="shared" si="368"/>
        <v>140</v>
      </c>
      <c r="G2031" s="101">
        <f t="shared" si="369"/>
        <v>46.66666667</v>
      </c>
      <c r="H2031" s="95" t="s">
        <v>2174</v>
      </c>
      <c r="J2031" s="120" t="s">
        <v>2436</v>
      </c>
      <c r="K2031" s="99"/>
      <c r="L2031" s="50"/>
      <c r="M2031" s="50"/>
      <c r="P2031" s="68"/>
    </row>
    <row r="2032">
      <c r="A2032" s="95">
        <v>1.92814283738E11</v>
      </c>
      <c r="B2032" s="151" t="s">
        <v>2438</v>
      </c>
      <c r="C2032" s="95" t="s">
        <v>97</v>
      </c>
      <c r="D2032" s="95">
        <v>2.0</v>
      </c>
      <c r="E2032" s="101">
        <v>140.0</v>
      </c>
      <c r="F2032" s="101">
        <f t="shared" si="368"/>
        <v>280</v>
      </c>
      <c r="G2032" s="101">
        <f t="shared" si="369"/>
        <v>93.33333333</v>
      </c>
      <c r="H2032" s="95" t="s">
        <v>2174</v>
      </c>
      <c r="J2032" s="120" t="s">
        <v>2436</v>
      </c>
      <c r="K2032" s="99"/>
      <c r="L2032" s="50"/>
      <c r="M2032" s="50"/>
      <c r="P2032" s="68"/>
    </row>
    <row r="2033">
      <c r="A2033" s="95">
        <v>1.92814578469E11</v>
      </c>
      <c r="B2033" s="151" t="s">
        <v>2439</v>
      </c>
      <c r="C2033" s="95" t="s">
        <v>97</v>
      </c>
      <c r="D2033" s="95">
        <v>1.0</v>
      </c>
      <c r="E2033" s="101">
        <v>79.0</v>
      </c>
      <c r="F2033" s="101">
        <f t="shared" si="368"/>
        <v>79</v>
      </c>
      <c r="G2033" s="101">
        <f t="shared" si="369"/>
        <v>26.33333333</v>
      </c>
      <c r="H2033" s="95" t="s">
        <v>2174</v>
      </c>
      <c r="J2033" s="120" t="s">
        <v>2436</v>
      </c>
      <c r="K2033" s="99"/>
      <c r="L2033" s="50"/>
      <c r="M2033" s="50"/>
      <c r="P2033" s="68"/>
    </row>
    <row r="2034">
      <c r="A2034" s="231" t="s">
        <v>153</v>
      </c>
      <c r="B2034" s="231" t="s">
        <v>2440</v>
      </c>
      <c r="C2034" s="234" t="str">
        <f>MID($B2034,6,8)</f>
        <v>MG18611 </v>
      </c>
      <c r="D2034" s="231"/>
      <c r="E2034" s="231"/>
      <c r="F2034" s="231"/>
      <c r="G2034" s="231"/>
      <c r="H2034" s="235">
        <v>44559.0</v>
      </c>
      <c r="J2034" s="108" t="str">
        <f>IF(LEFT(B2034,3)="Box","BOX","COUNT")</f>
        <v>BOX</v>
      </c>
      <c r="K2034" s="99">
        <f>SUMIF($J$4:$J$8712,$C2034,$D$4:$D$8712)</f>
        <v>5</v>
      </c>
      <c r="L2034" s="50">
        <f>SUMIF($J$4:$J$8712,$C2034,$F$4:$F$8712)</f>
        <v>584</v>
      </c>
      <c r="M2034" s="50">
        <f>SUMIF($J$4:$J$8712,$C2034,$G$4:$G$8712)</f>
        <v>194.6666667</v>
      </c>
      <c r="N2034" s="70" t="str">
        <f>C2034</f>
        <v>MG18611 </v>
      </c>
      <c r="O2034" s="70" t="str">
        <f>J2035</f>
        <v>NSHIP</v>
      </c>
      <c r="P2034" s="68">
        <f>M2034</f>
        <v>194.6666667</v>
      </c>
      <c r="Q2034" s="114">
        <v>44510.0</v>
      </c>
      <c r="R2034" s="37" t="s">
        <v>2291</v>
      </c>
      <c r="S2034" s="37" t="s">
        <v>2292</v>
      </c>
    </row>
    <row r="2035">
      <c r="A2035" s="211"/>
      <c r="B2035" s="231"/>
      <c r="C2035" s="109"/>
      <c r="D2035" s="109"/>
      <c r="E2035" s="116"/>
      <c r="F2035" s="116"/>
      <c r="G2035" s="116"/>
      <c r="H2035" s="109"/>
      <c r="J2035" s="108" t="str">
        <f>IF(B2035="","NSHIP","SHIP")</f>
        <v>NSHIP</v>
      </c>
      <c r="K2035" s="99">
        <f>IF($J2035="NSHIP",0,-SUMIF($J$4:$J$8712,$C2034,$D$4:$D$8712))</f>
        <v>0</v>
      </c>
      <c r="L2035" s="50">
        <f>IF($J2035="NSHIP",0,-SUMIF($J$4:$J$8710,$C2034,$F$4:$F$8710))</f>
        <v>0</v>
      </c>
      <c r="M2035" s="50">
        <f>IF($J2035="NSHIP",0,-SUMIF($J$4:$J$8710,$C2034,$G$4:$G$8710))</f>
        <v>0</v>
      </c>
      <c r="P2035" s="68"/>
    </row>
    <row r="2036">
      <c r="A2036" s="95">
        <v>7.95240168701E11</v>
      </c>
      <c r="B2036" s="151" t="s">
        <v>2441</v>
      </c>
      <c r="C2036" s="95" t="s">
        <v>97</v>
      </c>
      <c r="D2036" s="95">
        <v>1.0</v>
      </c>
      <c r="E2036" s="101">
        <v>229.0</v>
      </c>
      <c r="F2036" s="101">
        <f t="shared" ref="F2036:F2039" si="370">E2036*D2036</f>
        <v>229</v>
      </c>
      <c r="G2036" s="101">
        <f t="shared" ref="G2036:G2039" si="371">F2036/3</f>
        <v>76.33333333</v>
      </c>
      <c r="H2036" s="95" t="s">
        <v>2442</v>
      </c>
      <c r="J2036" s="120" t="s">
        <v>2443</v>
      </c>
      <c r="K2036" s="99"/>
      <c r="L2036" s="50"/>
      <c r="M2036" s="50"/>
      <c r="P2036" s="68"/>
    </row>
    <row r="2037">
      <c r="A2037" s="95">
        <v>8.89918165427E11</v>
      </c>
      <c r="B2037" s="151" t="s">
        <v>2444</v>
      </c>
      <c r="C2037" s="95" t="s">
        <v>97</v>
      </c>
      <c r="D2037" s="95">
        <v>1.0</v>
      </c>
      <c r="E2037" s="101">
        <v>89.0</v>
      </c>
      <c r="F2037" s="101">
        <f t="shared" si="370"/>
        <v>89</v>
      </c>
      <c r="G2037" s="101">
        <f t="shared" si="371"/>
        <v>29.66666667</v>
      </c>
      <c r="H2037" s="95" t="s">
        <v>2442</v>
      </c>
      <c r="J2037" s="120" t="s">
        <v>2443</v>
      </c>
      <c r="K2037" s="99"/>
      <c r="L2037" s="50"/>
      <c r="M2037" s="50"/>
      <c r="P2037" s="68"/>
    </row>
    <row r="2038">
      <c r="A2038" s="95">
        <v>8.89918308169E11</v>
      </c>
      <c r="B2038" s="151" t="s">
        <v>2445</v>
      </c>
      <c r="C2038" s="95" t="s">
        <v>97</v>
      </c>
      <c r="D2038" s="95">
        <v>1.0</v>
      </c>
      <c r="E2038" s="101">
        <v>59.0</v>
      </c>
      <c r="F2038" s="101">
        <f t="shared" si="370"/>
        <v>59</v>
      </c>
      <c r="G2038" s="101">
        <f t="shared" si="371"/>
        <v>19.66666667</v>
      </c>
      <c r="H2038" s="95" t="s">
        <v>2442</v>
      </c>
      <c r="J2038" s="120" t="s">
        <v>2443</v>
      </c>
      <c r="K2038" s="99"/>
      <c r="L2038" s="50"/>
      <c r="M2038" s="50"/>
      <c r="P2038" s="68"/>
    </row>
    <row r="2039">
      <c r="A2039" s="95">
        <v>8.89918312333E11</v>
      </c>
      <c r="B2039" s="151" t="s">
        <v>2446</v>
      </c>
      <c r="C2039" s="95" t="s">
        <v>97</v>
      </c>
      <c r="D2039" s="95">
        <v>1.0</v>
      </c>
      <c r="E2039" s="101">
        <v>49.0</v>
      </c>
      <c r="F2039" s="101">
        <f t="shared" si="370"/>
        <v>49</v>
      </c>
      <c r="G2039" s="101">
        <f t="shared" si="371"/>
        <v>16.33333333</v>
      </c>
      <c r="H2039" s="95" t="s">
        <v>2442</v>
      </c>
      <c r="J2039" s="120" t="s">
        <v>2443</v>
      </c>
      <c r="K2039" s="99"/>
      <c r="L2039" s="50"/>
      <c r="M2039" s="50"/>
      <c r="P2039" s="68"/>
    </row>
    <row r="2040">
      <c r="A2040" s="228"/>
      <c r="B2040" s="228" t="s">
        <v>2447</v>
      </c>
      <c r="C2040" s="229" t="str">
        <f>MID($B2040,6,8)</f>
        <v>MG18612 </v>
      </c>
      <c r="D2040" s="228"/>
      <c r="E2040" s="228"/>
      <c r="F2040" s="228"/>
      <c r="G2040" s="228"/>
      <c r="H2040" s="230">
        <v>44559.0</v>
      </c>
      <c r="J2040" s="108" t="str">
        <f>IF(LEFT(B2040,3)="Box","BOX","COUNT")</f>
        <v>BOX</v>
      </c>
      <c r="K2040" s="99">
        <f>SUMIF($J$4:$J$8712,$C2040,$D$4:$D$8712)</f>
        <v>4</v>
      </c>
      <c r="L2040" s="50">
        <f>SUMIF($J$4:$J$8712,$C2040,$F$4:$F$8712)</f>
        <v>426</v>
      </c>
      <c r="M2040" s="50">
        <f>SUMIF($J$4:$J$8712,$C2040,$G$4:$G$8712)</f>
        <v>142</v>
      </c>
      <c r="N2040" s="70" t="str">
        <f>C2040</f>
        <v>MG18612 </v>
      </c>
      <c r="O2040" s="70" t="str">
        <f>J2041</f>
        <v>NSHIP</v>
      </c>
      <c r="P2040" s="68">
        <f>M2040</f>
        <v>142</v>
      </c>
      <c r="T2040" s="37" t="s">
        <v>1734</v>
      </c>
    </row>
    <row r="2041">
      <c r="A2041" s="211"/>
      <c r="B2041" s="231"/>
      <c r="C2041" s="109"/>
      <c r="D2041" s="109"/>
      <c r="E2041" s="116"/>
      <c r="F2041" s="116"/>
      <c r="G2041" s="116"/>
      <c r="H2041" s="109"/>
      <c r="J2041" s="108" t="str">
        <f>IF(B2041="","NSHIP","SHIP")</f>
        <v>NSHIP</v>
      </c>
      <c r="K2041" s="99">
        <f>IF($J2041="NSHIP",0,-SUMIF($J$4:$J$8712,$C2040,$D$4:$D$8712))</f>
        <v>0</v>
      </c>
      <c r="L2041" s="50">
        <f>IF($J2041="NSHIP",0,-SUMIF($J$4:$J$8710,$C2040,$F$4:$F$8710))</f>
        <v>0</v>
      </c>
      <c r="M2041" s="50">
        <f>IF($J2041="NSHIP",0,-SUMIF($J$4:$J$8710,$C2040,$G$4:$G$8710))</f>
        <v>0</v>
      </c>
      <c r="P2041" s="68"/>
    </row>
    <row r="2042">
      <c r="A2042" s="95">
        <v>5.257442696E9</v>
      </c>
      <c r="B2042" s="151" t="s">
        <v>2448</v>
      </c>
      <c r="C2042" s="95" t="s">
        <v>97</v>
      </c>
      <c r="D2042" s="95">
        <v>1.0</v>
      </c>
      <c r="E2042" s="101">
        <v>99.0</v>
      </c>
      <c r="F2042" s="101">
        <f t="shared" ref="F2042:F2050" si="372">E2042*D2042</f>
        <v>99</v>
      </c>
      <c r="G2042" s="101">
        <f t="shared" ref="G2042:G2050" si="373">F2042/3</f>
        <v>33</v>
      </c>
      <c r="H2042" s="95" t="s">
        <v>1195</v>
      </c>
      <c r="J2042" s="120" t="s">
        <v>2449</v>
      </c>
      <c r="K2042" s="99"/>
      <c r="L2042" s="50"/>
      <c r="M2042" s="50"/>
      <c r="P2042" s="68"/>
    </row>
    <row r="2043">
      <c r="A2043" s="95">
        <v>5.257445772E9</v>
      </c>
      <c r="B2043" s="151" t="s">
        <v>2450</v>
      </c>
      <c r="C2043" s="95" t="s">
        <v>97</v>
      </c>
      <c r="D2043" s="95">
        <v>1.0</v>
      </c>
      <c r="E2043" s="101">
        <v>72.0</v>
      </c>
      <c r="F2043" s="101">
        <f t="shared" si="372"/>
        <v>72</v>
      </c>
      <c r="G2043" s="101">
        <f t="shared" si="373"/>
        <v>24</v>
      </c>
      <c r="H2043" s="95" t="s">
        <v>1164</v>
      </c>
      <c r="J2043" s="120" t="s">
        <v>2449</v>
      </c>
      <c r="K2043" s="99"/>
      <c r="L2043" s="50"/>
      <c r="M2043" s="50"/>
      <c r="P2043" s="68"/>
    </row>
    <row r="2044">
      <c r="A2044" s="95">
        <v>5.2574693799E10</v>
      </c>
      <c r="B2044" s="151" t="s">
        <v>2451</v>
      </c>
      <c r="C2044" s="95" t="s">
        <v>97</v>
      </c>
      <c r="D2044" s="95">
        <v>1.0</v>
      </c>
      <c r="E2044" s="101">
        <v>85.0</v>
      </c>
      <c r="F2044" s="101">
        <f t="shared" si="372"/>
        <v>85</v>
      </c>
      <c r="G2044" s="101">
        <f t="shared" si="373"/>
        <v>28.33333333</v>
      </c>
      <c r="H2044" s="95" t="s">
        <v>1195</v>
      </c>
      <c r="J2044" s="120" t="s">
        <v>2449</v>
      </c>
      <c r="K2044" s="99"/>
      <c r="L2044" s="50"/>
      <c r="M2044" s="50"/>
      <c r="P2044" s="68"/>
    </row>
    <row r="2045">
      <c r="A2045" s="95">
        <v>5.2574694628E10</v>
      </c>
      <c r="B2045" s="151" t="s">
        <v>2452</v>
      </c>
      <c r="C2045" s="95" t="s">
        <v>97</v>
      </c>
      <c r="D2045" s="95">
        <v>1.0</v>
      </c>
      <c r="E2045" s="101">
        <v>80.0</v>
      </c>
      <c r="F2045" s="101">
        <f t="shared" si="372"/>
        <v>80</v>
      </c>
      <c r="G2045" s="101">
        <f t="shared" si="373"/>
        <v>26.66666667</v>
      </c>
      <c r="H2045" s="95" t="s">
        <v>1195</v>
      </c>
      <c r="J2045" s="120" t="s">
        <v>2449</v>
      </c>
      <c r="K2045" s="99"/>
      <c r="L2045" s="50"/>
      <c r="M2045" s="50"/>
      <c r="P2045" s="68"/>
    </row>
    <row r="2046">
      <c r="A2046" s="95">
        <v>5.2574694635E10</v>
      </c>
      <c r="B2046" s="151" t="s">
        <v>2453</v>
      </c>
      <c r="C2046" s="95" t="s">
        <v>97</v>
      </c>
      <c r="D2046" s="95">
        <v>1.0</v>
      </c>
      <c r="E2046" s="101">
        <v>80.0</v>
      </c>
      <c r="F2046" s="101">
        <f t="shared" si="372"/>
        <v>80</v>
      </c>
      <c r="G2046" s="101">
        <f t="shared" si="373"/>
        <v>26.66666667</v>
      </c>
      <c r="H2046" s="95" t="s">
        <v>1195</v>
      </c>
      <c r="J2046" s="120" t="s">
        <v>2449</v>
      </c>
      <c r="K2046" s="99"/>
      <c r="L2046" s="50"/>
      <c r="M2046" s="50"/>
      <c r="P2046" s="68"/>
    </row>
    <row r="2047">
      <c r="A2047" s="95">
        <v>5.2574699142E10</v>
      </c>
      <c r="B2047" s="151" t="s">
        <v>2454</v>
      </c>
      <c r="C2047" s="95" t="s">
        <v>97</v>
      </c>
      <c r="D2047" s="95">
        <v>1.0</v>
      </c>
      <c r="E2047" s="101">
        <v>80.0</v>
      </c>
      <c r="F2047" s="101">
        <f t="shared" si="372"/>
        <v>80</v>
      </c>
      <c r="G2047" s="101">
        <f t="shared" si="373"/>
        <v>26.66666667</v>
      </c>
      <c r="H2047" s="95" t="s">
        <v>1195</v>
      </c>
      <c r="J2047" s="120" t="s">
        <v>2449</v>
      </c>
      <c r="K2047" s="99"/>
      <c r="L2047" s="50"/>
      <c r="M2047" s="50"/>
      <c r="P2047" s="68"/>
    </row>
    <row r="2048">
      <c r="A2048" s="95">
        <v>5.2574703764E10</v>
      </c>
      <c r="B2048" s="151" t="s">
        <v>2455</v>
      </c>
      <c r="C2048" s="95" t="s">
        <v>97</v>
      </c>
      <c r="D2048" s="95">
        <v>1.0</v>
      </c>
      <c r="E2048" s="101">
        <v>85.0</v>
      </c>
      <c r="F2048" s="101">
        <f t="shared" si="372"/>
        <v>85</v>
      </c>
      <c r="G2048" s="101">
        <f t="shared" si="373"/>
        <v>28.33333333</v>
      </c>
      <c r="H2048" s="95" t="s">
        <v>1195</v>
      </c>
      <c r="J2048" s="120" t="s">
        <v>2449</v>
      </c>
      <c r="K2048" s="99"/>
      <c r="L2048" s="50"/>
      <c r="M2048" s="50"/>
      <c r="P2048" s="68"/>
    </row>
    <row r="2049">
      <c r="A2049" s="95">
        <v>5.2574705584E10</v>
      </c>
      <c r="B2049" s="151" t="s">
        <v>2456</v>
      </c>
      <c r="C2049" s="95" t="s">
        <v>97</v>
      </c>
      <c r="D2049" s="95">
        <v>1.0</v>
      </c>
      <c r="E2049" s="101">
        <v>99.99</v>
      </c>
      <c r="F2049" s="101">
        <f t="shared" si="372"/>
        <v>99.99</v>
      </c>
      <c r="G2049" s="101">
        <f t="shared" si="373"/>
        <v>33.33</v>
      </c>
      <c r="H2049" s="95" t="s">
        <v>1195</v>
      </c>
      <c r="J2049" s="120" t="s">
        <v>2449</v>
      </c>
      <c r="K2049" s="99"/>
      <c r="L2049" s="50"/>
      <c r="M2049" s="50"/>
      <c r="P2049" s="68"/>
    </row>
    <row r="2050">
      <c r="A2050" s="95">
        <v>5.2574705591E10</v>
      </c>
      <c r="B2050" s="151" t="s">
        <v>2457</v>
      </c>
      <c r="C2050" s="95" t="s">
        <v>97</v>
      </c>
      <c r="D2050" s="95">
        <v>1.0</v>
      </c>
      <c r="E2050" s="101">
        <v>99.99</v>
      </c>
      <c r="F2050" s="101">
        <f t="shared" si="372"/>
        <v>99.99</v>
      </c>
      <c r="G2050" s="101">
        <f t="shared" si="373"/>
        <v>33.33</v>
      </c>
      <c r="H2050" s="95" t="s">
        <v>1195</v>
      </c>
      <c r="J2050" s="120" t="s">
        <v>2449</v>
      </c>
      <c r="K2050" s="99"/>
      <c r="L2050" s="50"/>
      <c r="M2050" s="50"/>
      <c r="P2050" s="68"/>
    </row>
    <row r="2051">
      <c r="A2051" s="231" t="s">
        <v>224</v>
      </c>
      <c r="B2051" s="231" t="s">
        <v>2458</v>
      </c>
      <c r="C2051" s="234" t="str">
        <f>MID($B2051,6,8)</f>
        <v>MG18613 </v>
      </c>
      <c r="D2051" s="231"/>
      <c r="E2051" s="231"/>
      <c r="F2051" s="231"/>
      <c r="G2051" s="231"/>
      <c r="H2051" s="235">
        <v>44559.0</v>
      </c>
      <c r="J2051" s="108" t="str">
        <f>IF(LEFT(B2051,3)="Box","BOX","COUNT")</f>
        <v>BOX</v>
      </c>
      <c r="K2051" s="99">
        <f>SUMIF($J$4:$J$8712,$C2051,$D$4:$D$8712)</f>
        <v>9</v>
      </c>
      <c r="L2051" s="50">
        <f>SUMIF($J$4:$J$8712,$C2051,$F$4:$F$8712)</f>
        <v>780.98</v>
      </c>
      <c r="M2051" s="50">
        <f>SUMIF($J$4:$J$8712,$C2051,$G$4:$G$8712)</f>
        <v>260.3266667</v>
      </c>
      <c r="N2051" s="70" t="str">
        <f>C2051</f>
        <v>MG18613 </v>
      </c>
      <c r="O2051" s="70" t="str">
        <f>J2052</f>
        <v>NSHIP</v>
      </c>
      <c r="P2051" s="68">
        <f>M2051</f>
        <v>260.3266667</v>
      </c>
      <c r="Q2051" s="114">
        <v>44510.0</v>
      </c>
      <c r="R2051" s="37" t="s">
        <v>2291</v>
      </c>
      <c r="S2051" s="37" t="s">
        <v>2292</v>
      </c>
    </row>
    <row r="2052">
      <c r="A2052" s="211"/>
      <c r="B2052" s="231"/>
      <c r="C2052" s="109"/>
      <c r="D2052" s="109"/>
      <c r="E2052" s="116"/>
      <c r="F2052" s="116"/>
      <c r="G2052" s="116"/>
      <c r="H2052" s="109"/>
      <c r="J2052" s="108" t="str">
        <f>IF(B2052="","NSHIP","SHIP")</f>
        <v>NSHIP</v>
      </c>
      <c r="K2052" s="99">
        <f>IF($J2052="NSHIP",0,-SUMIF($J$4:$J$8712,$C2051,$D$4:$D$8712))</f>
        <v>0</v>
      </c>
      <c r="L2052" s="50">
        <f>IF($J2052="NSHIP",0,-SUMIF($J$4:$J$8710,$C2051,$F$4:$F$8710))</f>
        <v>0</v>
      </c>
      <c r="M2052" s="50">
        <f>IF($J2052="NSHIP",0,-SUMIF($J$4:$J$8710,$C2051,$G$4:$G$8710))</f>
        <v>0</v>
      </c>
      <c r="P2052" s="68"/>
    </row>
    <row r="2053">
      <c r="A2053" s="95">
        <v>1.9074809992E11</v>
      </c>
      <c r="B2053" s="151" t="s">
        <v>2459</v>
      </c>
      <c r="C2053" s="95" t="s">
        <v>97</v>
      </c>
      <c r="D2053" s="95">
        <v>1.0</v>
      </c>
      <c r="E2053" s="101">
        <v>79.0</v>
      </c>
      <c r="F2053" s="101">
        <f t="shared" ref="F2053:F2054" si="374">E2053*D2053</f>
        <v>79</v>
      </c>
      <c r="G2053" s="101">
        <f t="shared" ref="G2053:G2054" si="375">F2053/3</f>
        <v>26.33333333</v>
      </c>
      <c r="H2053" s="95" t="s">
        <v>771</v>
      </c>
      <c r="J2053" s="120" t="s">
        <v>2460</v>
      </c>
      <c r="K2053" s="99"/>
      <c r="L2053" s="50"/>
      <c r="M2053" s="50"/>
      <c r="P2053" s="68"/>
    </row>
    <row r="2054">
      <c r="A2054" s="95">
        <v>1.90748594104E11</v>
      </c>
      <c r="B2054" s="151" t="s">
        <v>2461</v>
      </c>
      <c r="C2054" s="95" t="s">
        <v>97</v>
      </c>
      <c r="D2054" s="95">
        <v>1.0</v>
      </c>
      <c r="E2054" s="101">
        <v>49.0</v>
      </c>
      <c r="F2054" s="101">
        <f t="shared" si="374"/>
        <v>49</v>
      </c>
      <c r="G2054" s="101">
        <f t="shared" si="375"/>
        <v>16.33333333</v>
      </c>
      <c r="H2054" s="95" t="s">
        <v>771</v>
      </c>
      <c r="J2054" s="120" t="s">
        <v>2460</v>
      </c>
      <c r="K2054" s="99"/>
      <c r="L2054" s="50"/>
      <c r="M2054" s="50"/>
      <c r="P2054" s="68"/>
    </row>
    <row r="2055">
      <c r="A2055" s="231" t="s">
        <v>267</v>
      </c>
      <c r="B2055" s="231" t="s">
        <v>2462</v>
      </c>
      <c r="C2055" s="234" t="str">
        <f>MID($B2055,6,8)</f>
        <v>MG18614 </v>
      </c>
      <c r="D2055" s="231"/>
      <c r="E2055" s="231"/>
      <c r="F2055" s="231"/>
      <c r="G2055" s="231"/>
      <c r="H2055" s="235">
        <v>44559.0</v>
      </c>
      <c r="J2055" s="108" t="str">
        <f>IF(LEFT(B2055,3)="Box","BOX","COUNT")</f>
        <v>BOX</v>
      </c>
      <c r="K2055" s="99">
        <f>SUMIF($J$4:$J$8712,$C2055,$D$4:$D$8712)</f>
        <v>2</v>
      </c>
      <c r="L2055" s="50">
        <f>SUMIF($J$4:$J$8712,$C2055,$F$4:$F$8712)</f>
        <v>128</v>
      </c>
      <c r="M2055" s="50">
        <f>SUMIF($J$4:$J$8712,$C2055,$G$4:$G$8712)</f>
        <v>42.66666667</v>
      </c>
      <c r="N2055" s="70" t="str">
        <f>C2055</f>
        <v>MG18614 </v>
      </c>
      <c r="O2055" s="70" t="str">
        <f>J2056</f>
        <v>NSHIP</v>
      </c>
      <c r="P2055" s="68">
        <f>M2055</f>
        <v>42.66666667</v>
      </c>
      <c r="Q2055" s="114">
        <v>44510.0</v>
      </c>
      <c r="R2055" s="37" t="s">
        <v>2291</v>
      </c>
      <c r="S2055" s="37" t="s">
        <v>2292</v>
      </c>
    </row>
    <row r="2056">
      <c r="A2056" s="211"/>
      <c r="B2056" s="231"/>
      <c r="C2056" s="109"/>
      <c r="D2056" s="109"/>
      <c r="E2056" s="116"/>
      <c r="F2056" s="116"/>
      <c r="G2056" s="116"/>
      <c r="H2056" s="109"/>
      <c r="J2056" s="108" t="str">
        <f>IF(B2056="","NSHIP","SHIP")</f>
        <v>NSHIP</v>
      </c>
      <c r="K2056" s="99">
        <f>IF($J2056="NSHIP",0,-SUMIF($J$4:$J$8712,$C2055,$D$4:$D$8712))</f>
        <v>0</v>
      </c>
      <c r="L2056" s="50">
        <f>IF($J2056="NSHIP",0,-SUMIF($J$4:$J$8710,$C2055,$F$4:$F$8710))</f>
        <v>0</v>
      </c>
      <c r="M2056" s="50">
        <f>IF($J2056="NSHIP",0,-SUMIF($J$4:$J$8710,$C2055,$G$4:$G$8710))</f>
        <v>0</v>
      </c>
      <c r="P2056" s="68"/>
    </row>
    <row r="2057">
      <c r="A2057" s="95">
        <v>1.94072037474E11</v>
      </c>
      <c r="B2057" s="164" t="s">
        <v>2463</v>
      </c>
      <c r="C2057" s="95" t="s">
        <v>97</v>
      </c>
      <c r="D2057" s="95">
        <v>1.0</v>
      </c>
      <c r="E2057" s="101">
        <v>99.0</v>
      </c>
      <c r="F2057" s="101">
        <f t="shared" ref="F2057:F2058" si="376">E2057*D2057</f>
        <v>99</v>
      </c>
      <c r="G2057" s="101">
        <f t="shared" ref="G2057:G2058" si="377">F2057/3</f>
        <v>33</v>
      </c>
      <c r="H2057" s="95" t="s">
        <v>883</v>
      </c>
      <c r="J2057" s="120" t="s">
        <v>2464</v>
      </c>
      <c r="K2057" s="99"/>
      <c r="L2057" s="50"/>
      <c r="M2057" s="50"/>
      <c r="P2057" s="68"/>
    </row>
    <row r="2058">
      <c r="A2058" s="95">
        <v>1.94072037481E11</v>
      </c>
      <c r="B2058" s="131" t="s">
        <v>2465</v>
      </c>
      <c r="C2058" s="95" t="s">
        <v>97</v>
      </c>
      <c r="D2058" s="95">
        <v>1.0</v>
      </c>
      <c r="E2058" s="101">
        <v>99.0</v>
      </c>
      <c r="F2058" s="101">
        <f t="shared" si="376"/>
        <v>99</v>
      </c>
      <c r="G2058" s="101">
        <f t="shared" si="377"/>
        <v>33</v>
      </c>
      <c r="H2058" s="95" t="s">
        <v>883</v>
      </c>
      <c r="J2058" s="120" t="s">
        <v>2464</v>
      </c>
      <c r="K2058" s="99"/>
      <c r="L2058" s="50"/>
      <c r="M2058" s="50"/>
      <c r="P2058" s="68"/>
    </row>
    <row r="2059">
      <c r="A2059" s="102" t="s">
        <v>819</v>
      </c>
      <c r="B2059" s="209" t="s">
        <v>2466</v>
      </c>
      <c r="C2059" s="104"/>
      <c r="D2059" s="104"/>
      <c r="E2059" s="105"/>
      <c r="F2059" s="106"/>
      <c r="G2059" s="106"/>
      <c r="H2059" s="107"/>
      <c r="J2059" s="108"/>
      <c r="K2059" s="99"/>
      <c r="L2059" s="50"/>
      <c r="M2059" s="50"/>
      <c r="P2059" s="68"/>
    </row>
    <row r="2060">
      <c r="A2060" s="111" t="s">
        <v>115</v>
      </c>
      <c r="B2060" s="111" t="s">
        <v>2467</v>
      </c>
      <c r="C2060" s="112" t="str">
        <f>MID($B2060,6,8)</f>
        <v>MG18615 </v>
      </c>
      <c r="D2060" s="111"/>
      <c r="E2060" s="111"/>
      <c r="F2060" s="111"/>
      <c r="G2060" s="111"/>
      <c r="H2060" s="113">
        <v>44559.0</v>
      </c>
      <c r="J2060" s="108" t="str">
        <f>IF(LEFT(B2060,3)="Box","BOX","COUNT")</f>
        <v>BOX</v>
      </c>
      <c r="K2060" s="99">
        <f>SUMIF($J$4:$J$8712,$C2060,$D$4:$D$8712)</f>
        <v>2</v>
      </c>
      <c r="L2060" s="50">
        <f>SUMIF($J$4:$J$8712,$C2060,$F$4:$F$8712)</f>
        <v>198</v>
      </c>
      <c r="M2060" s="50">
        <f>SUMIF($J$4:$J$8712,$C2060,$G$4:$G$8712)</f>
        <v>66</v>
      </c>
      <c r="N2060" s="70" t="str">
        <f>C2060</f>
        <v>MG18615 </v>
      </c>
      <c r="O2060" s="70" t="str">
        <f>J2061</f>
        <v>SHIP</v>
      </c>
      <c r="P2060" s="68">
        <f>M2060</f>
        <v>66</v>
      </c>
      <c r="Q2060" s="114">
        <v>44510.0</v>
      </c>
      <c r="R2060" s="37" t="s">
        <v>2291</v>
      </c>
      <c r="S2060" s="37" t="s">
        <v>2292</v>
      </c>
    </row>
    <row r="2061">
      <c r="A2061" s="211"/>
      <c r="B2061" s="111" t="s">
        <v>2468</v>
      </c>
      <c r="C2061" s="109"/>
      <c r="D2061" s="109"/>
      <c r="E2061" s="116"/>
      <c r="F2061" s="116"/>
      <c r="G2061" s="116"/>
      <c r="H2061" s="109"/>
      <c r="J2061" s="108" t="str">
        <f>IF(B2061="","NSHIP","SHIP")</f>
        <v>SHIP</v>
      </c>
      <c r="K2061" s="99">
        <f>IF($J2061="NSHIP",0,-SUMIF($J$4:$J$8712,$C2060,$D$4:$D$8712))</f>
        <v>-2</v>
      </c>
      <c r="L2061" s="50">
        <f>IF($J2061="NSHIP",0,-SUMIF($J$4:$J$8710,$C2060,$F$4:$F$8710))</f>
        <v>-198</v>
      </c>
      <c r="M2061" s="50">
        <f>IF($J2061="NSHIP",0,-SUMIF($J$4:$J$8710,$C2060,$G$4:$G$8710))</f>
        <v>-66</v>
      </c>
      <c r="P2061" s="68"/>
    </row>
    <row r="2062">
      <c r="A2062" s="95">
        <v>1.92734268976E11</v>
      </c>
      <c r="B2062" s="151" t="s">
        <v>2410</v>
      </c>
      <c r="C2062" s="95" t="s">
        <v>97</v>
      </c>
      <c r="D2062" s="95">
        <v>1.0</v>
      </c>
      <c r="E2062" s="101">
        <v>49.5</v>
      </c>
      <c r="F2062" s="101">
        <f t="shared" ref="F2062:F2063" si="378">E2062*D2062</f>
        <v>49.5</v>
      </c>
      <c r="G2062" s="101">
        <f t="shared" ref="G2062:G2063" si="379">F2062/3</f>
        <v>16.5</v>
      </c>
      <c r="H2062" s="95" t="s">
        <v>345</v>
      </c>
      <c r="J2062" s="120" t="s">
        <v>2469</v>
      </c>
      <c r="K2062" s="99"/>
      <c r="L2062" s="50"/>
      <c r="M2062" s="50"/>
      <c r="P2062" s="68"/>
    </row>
    <row r="2063">
      <c r="A2063" s="95">
        <v>1.92734333261E11</v>
      </c>
      <c r="B2063" s="151" t="s">
        <v>2470</v>
      </c>
      <c r="C2063" s="95" t="s">
        <v>97</v>
      </c>
      <c r="D2063" s="95">
        <v>1.0</v>
      </c>
      <c r="E2063" s="101">
        <v>99.0</v>
      </c>
      <c r="F2063" s="101">
        <f t="shared" si="378"/>
        <v>99</v>
      </c>
      <c r="G2063" s="101">
        <f t="shared" si="379"/>
        <v>33</v>
      </c>
      <c r="H2063" s="95" t="s">
        <v>1255</v>
      </c>
      <c r="J2063" s="120" t="s">
        <v>2469</v>
      </c>
      <c r="K2063" s="99"/>
      <c r="L2063" s="50"/>
      <c r="M2063" s="50"/>
      <c r="P2063" s="68"/>
    </row>
    <row r="2064">
      <c r="A2064" s="102" t="s">
        <v>819</v>
      </c>
      <c r="B2064" s="209" t="s">
        <v>2471</v>
      </c>
      <c r="C2064" s="104"/>
      <c r="D2064" s="104"/>
      <c r="E2064" s="105"/>
      <c r="F2064" s="106"/>
      <c r="G2064" s="106"/>
      <c r="H2064" s="107"/>
      <c r="J2064" s="108"/>
      <c r="K2064" s="99"/>
      <c r="L2064" s="50"/>
      <c r="M2064" s="50"/>
      <c r="P2064" s="68"/>
    </row>
    <row r="2065">
      <c r="A2065" s="111" t="s">
        <v>115</v>
      </c>
      <c r="B2065" s="111" t="s">
        <v>2472</v>
      </c>
      <c r="C2065" s="112" t="str">
        <f>MID($B2065,6,8)</f>
        <v>MG18616 </v>
      </c>
      <c r="D2065" s="111"/>
      <c r="E2065" s="111"/>
      <c r="F2065" s="111"/>
      <c r="G2065" s="111"/>
      <c r="H2065" s="113">
        <v>44559.0</v>
      </c>
      <c r="J2065" s="108" t="str">
        <f>IF(LEFT(B2065,3)="Box","BOX","COUNT")</f>
        <v>BOX</v>
      </c>
      <c r="K2065" s="99">
        <f>SUMIF($J$4:$J$8712,$C2065,$D$4:$D$8712)</f>
        <v>2</v>
      </c>
      <c r="L2065" s="50">
        <f>SUMIF($J$4:$J$8712,$C2065,$F$4:$F$8712)</f>
        <v>148.5</v>
      </c>
      <c r="M2065" s="50">
        <f>SUMIF($J$4:$J$8712,$C2065,$G$4:$G$8712)</f>
        <v>49.5</v>
      </c>
      <c r="N2065" s="70" t="str">
        <f>C2065</f>
        <v>MG18616 </v>
      </c>
      <c r="O2065" s="70" t="str">
        <f>J2066</f>
        <v>SHIP</v>
      </c>
      <c r="P2065" s="68">
        <f>M2065</f>
        <v>49.5</v>
      </c>
      <c r="Q2065" s="114">
        <v>44559.0</v>
      </c>
      <c r="R2065" s="37" t="s">
        <v>1400</v>
      </c>
      <c r="S2065" s="37" t="s">
        <v>1325</v>
      </c>
    </row>
    <row r="2066">
      <c r="A2066" s="211"/>
      <c r="B2066" s="111" t="s">
        <v>2468</v>
      </c>
      <c r="C2066" s="109"/>
      <c r="D2066" s="109"/>
      <c r="E2066" s="116"/>
      <c r="F2066" s="116"/>
      <c r="G2066" s="116"/>
      <c r="H2066" s="109"/>
      <c r="J2066" s="108" t="str">
        <f>IF(B2066="","NSHIP","SHIP")</f>
        <v>SHIP</v>
      </c>
      <c r="K2066" s="99">
        <f>IF($J2066="NSHIP",0,-SUMIF($J$4:$J$8712,$C2065,$D$4:$D$8712))</f>
        <v>-2</v>
      </c>
      <c r="L2066" s="50">
        <f>IF($J2066="NSHIP",0,-SUMIF($J$4:$J$8710,$C2065,$F$4:$F$8710))</f>
        <v>-148.5</v>
      </c>
      <c r="M2066" s="50">
        <f>IF($J2066="NSHIP",0,-SUMIF($J$4:$J$8710,$C2065,$G$4:$G$8710))</f>
        <v>-49.5</v>
      </c>
      <c r="P2066" s="68"/>
    </row>
    <row r="2067">
      <c r="A2067" s="95">
        <v>8.889174386E9</v>
      </c>
      <c r="B2067" s="151" t="s">
        <v>2473</v>
      </c>
      <c r="C2067" s="95" t="s">
        <v>97</v>
      </c>
      <c r="D2067" s="95">
        <v>2.0</v>
      </c>
      <c r="E2067" s="101">
        <v>27.99</v>
      </c>
      <c r="F2067" s="101">
        <f t="shared" ref="F2067:F2073" si="380">E2067*D2067</f>
        <v>55.98</v>
      </c>
      <c r="G2067" s="101">
        <f t="shared" ref="G2067:G2073" si="381">F2067/4</f>
        <v>13.995</v>
      </c>
      <c r="H2067" s="95" t="s">
        <v>2474</v>
      </c>
      <c r="J2067" s="247" t="s">
        <v>2475</v>
      </c>
      <c r="K2067" s="89"/>
      <c r="L2067" s="90"/>
      <c r="M2067" s="90"/>
      <c r="P2067" s="68"/>
    </row>
    <row r="2068">
      <c r="A2068" s="95">
        <v>2.9927479935E10</v>
      </c>
      <c r="B2068" s="151" t="s">
        <v>2476</v>
      </c>
      <c r="C2068" s="95" t="s">
        <v>97</v>
      </c>
      <c r="D2068" s="95">
        <v>4.0</v>
      </c>
      <c r="E2068" s="101">
        <v>17.99</v>
      </c>
      <c r="F2068" s="101">
        <f t="shared" si="380"/>
        <v>71.96</v>
      </c>
      <c r="G2068" s="101">
        <f t="shared" si="381"/>
        <v>17.99</v>
      </c>
      <c r="H2068" s="95" t="s">
        <v>2477</v>
      </c>
      <c r="J2068" s="247" t="s">
        <v>2475</v>
      </c>
      <c r="K2068" s="89"/>
      <c r="L2068" s="90"/>
      <c r="M2068" s="90"/>
      <c r="P2068" s="68"/>
    </row>
    <row r="2069">
      <c r="A2069" s="95">
        <v>2.9927480788E10</v>
      </c>
      <c r="B2069" s="151" t="s">
        <v>2478</v>
      </c>
      <c r="C2069" s="95" t="s">
        <v>97</v>
      </c>
      <c r="D2069" s="95">
        <v>3.0</v>
      </c>
      <c r="E2069" s="101">
        <v>14.99</v>
      </c>
      <c r="F2069" s="101">
        <f t="shared" si="380"/>
        <v>44.97</v>
      </c>
      <c r="G2069" s="101">
        <f t="shared" si="381"/>
        <v>11.2425</v>
      </c>
      <c r="H2069" s="95" t="s">
        <v>2479</v>
      </c>
      <c r="J2069" s="247" t="s">
        <v>2475</v>
      </c>
      <c r="K2069" s="89"/>
      <c r="L2069" s="90"/>
      <c r="M2069" s="90"/>
      <c r="P2069" s="68"/>
    </row>
    <row r="2070">
      <c r="A2070" s="95">
        <v>1.90945005519E11</v>
      </c>
      <c r="B2070" s="151" t="s">
        <v>2480</v>
      </c>
      <c r="C2070" s="95" t="s">
        <v>97</v>
      </c>
      <c r="D2070" s="95">
        <v>1.0</v>
      </c>
      <c r="E2070" s="101">
        <v>74.15</v>
      </c>
      <c r="F2070" s="101">
        <f t="shared" si="380"/>
        <v>74.15</v>
      </c>
      <c r="G2070" s="101">
        <f t="shared" si="381"/>
        <v>18.5375</v>
      </c>
      <c r="H2070" s="95" t="s">
        <v>2481</v>
      </c>
      <c r="J2070" s="247" t="s">
        <v>2475</v>
      </c>
      <c r="K2070" s="89"/>
      <c r="L2070" s="90"/>
      <c r="M2070" s="90"/>
      <c r="P2070" s="68"/>
    </row>
    <row r="2071">
      <c r="A2071" s="95">
        <v>6.75716412203E11</v>
      </c>
      <c r="B2071" s="151" t="s">
        <v>2482</v>
      </c>
      <c r="C2071" s="95" t="s">
        <v>97</v>
      </c>
      <c r="D2071" s="95">
        <v>1.0</v>
      </c>
      <c r="E2071" s="101">
        <v>229.99</v>
      </c>
      <c r="F2071" s="101">
        <f t="shared" si="380"/>
        <v>229.99</v>
      </c>
      <c r="G2071" s="101">
        <f t="shared" si="381"/>
        <v>57.4975</v>
      </c>
      <c r="H2071" s="95" t="s">
        <v>2483</v>
      </c>
      <c r="J2071" s="247" t="s">
        <v>2475</v>
      </c>
      <c r="K2071" s="89"/>
      <c r="L2071" s="90"/>
      <c r="M2071" s="90"/>
      <c r="P2071" s="68"/>
    </row>
    <row r="2072">
      <c r="A2072" s="95">
        <v>6.75716550752E11</v>
      </c>
      <c r="B2072" s="151" t="s">
        <v>2484</v>
      </c>
      <c r="C2072" s="95" t="s">
        <v>97</v>
      </c>
      <c r="D2072" s="95">
        <v>1.0</v>
      </c>
      <c r="E2072" s="101">
        <v>34.99</v>
      </c>
      <c r="F2072" s="101">
        <f t="shared" si="380"/>
        <v>34.99</v>
      </c>
      <c r="G2072" s="101">
        <f t="shared" si="381"/>
        <v>8.7475</v>
      </c>
      <c r="H2072" s="95" t="s">
        <v>2483</v>
      </c>
      <c r="J2072" s="247" t="s">
        <v>2475</v>
      </c>
      <c r="K2072" s="89"/>
      <c r="L2072" s="90"/>
      <c r="M2072" s="90"/>
      <c r="P2072" s="68"/>
    </row>
    <row r="2073">
      <c r="A2073" s="95">
        <v>8.46339082177E11</v>
      </c>
      <c r="B2073" s="151" t="s">
        <v>2485</v>
      </c>
      <c r="C2073" s="95" t="s">
        <v>97</v>
      </c>
      <c r="D2073" s="95">
        <v>1.0</v>
      </c>
      <c r="E2073" s="101">
        <v>379.99</v>
      </c>
      <c r="F2073" s="101">
        <f t="shared" si="380"/>
        <v>379.99</v>
      </c>
      <c r="G2073" s="101">
        <f t="shared" si="381"/>
        <v>94.9975</v>
      </c>
      <c r="H2073" s="95" t="s">
        <v>2486</v>
      </c>
      <c r="J2073" s="247" t="s">
        <v>2475</v>
      </c>
      <c r="K2073" s="89"/>
      <c r="L2073" s="90"/>
      <c r="M2073" s="90"/>
      <c r="P2073" s="68"/>
    </row>
    <row r="2074">
      <c r="A2074" s="211"/>
      <c r="B2074" s="231" t="s">
        <v>2487</v>
      </c>
      <c r="C2074" s="234" t="str">
        <f>MID($B2074,6,7)</f>
        <v>GR18294</v>
      </c>
      <c r="D2074" s="231"/>
      <c r="E2074" s="231"/>
      <c r="F2074" s="231"/>
      <c r="G2074" s="231"/>
      <c r="H2074" s="235">
        <v>44560.0</v>
      </c>
      <c r="J2074" s="108" t="str">
        <f>IF(LEFT(B2074,3)="Box","BOX","COUNT")</f>
        <v>BOX</v>
      </c>
      <c r="K2074" s="99">
        <f>SUMIF($J$4:$J$8712,$C2074,$D$4:$D$8712)</f>
        <v>13</v>
      </c>
      <c r="L2074" s="50">
        <f>SUMIF($J$4:$J$8712,$C2074,$F$4:$F$8712)</f>
        <v>892.03</v>
      </c>
      <c r="M2074" s="50">
        <f>SUMIF($J$4:$J$8712,$C2074,$G$4:$G$8712)</f>
        <v>223.0075</v>
      </c>
      <c r="N2074" s="70" t="str">
        <f>C2074</f>
        <v>GR18294</v>
      </c>
      <c r="O2074" s="70" t="str">
        <f>J2075</f>
        <v>NSHIP</v>
      </c>
      <c r="P2074" s="68">
        <f>M2074</f>
        <v>223.0075</v>
      </c>
    </row>
    <row r="2075">
      <c r="A2075" s="211"/>
      <c r="B2075" s="231"/>
      <c r="C2075" s="109"/>
      <c r="D2075" s="109"/>
      <c r="E2075" s="116"/>
      <c r="F2075" s="116"/>
      <c r="G2075" s="116"/>
      <c r="H2075" s="109"/>
      <c r="J2075" s="108" t="str">
        <f>IF(B2075="","NSHIP","SHIP")</f>
        <v>NSHIP</v>
      </c>
      <c r="K2075" s="99">
        <f>IF($J2075="NSHIP",0,-SUMIF($J$4:$J$8712,$C2074,$D$4:$D$8712))</f>
        <v>0</v>
      </c>
      <c r="L2075" s="50">
        <f>IF($J2075="NSHIP",0,-SUMIF($J$4:$J$8710,$C2074,$F$4:$F$8710))</f>
        <v>0</v>
      </c>
      <c r="M2075" s="50">
        <f>IF($J2075="NSHIP",0,-SUMIF($J$4:$J$8710,$C2074,$G$4:$G$8710))</f>
        <v>0</v>
      </c>
      <c r="P2075" s="68"/>
    </row>
    <row r="2076">
      <c r="A2076" s="95">
        <v>2.9927440485E10</v>
      </c>
      <c r="B2076" s="151" t="s">
        <v>2488</v>
      </c>
      <c r="C2076" s="95" t="s">
        <v>97</v>
      </c>
      <c r="D2076" s="95">
        <v>2.0</v>
      </c>
      <c r="E2076" s="101">
        <v>14.99</v>
      </c>
      <c r="F2076" s="101">
        <f t="shared" ref="F2076:F2082" si="382">E2076*D2076</f>
        <v>29.98</v>
      </c>
      <c r="G2076" s="101">
        <f t="shared" ref="G2076:G2082" si="383">F2076/4</f>
        <v>7.495</v>
      </c>
      <c r="H2076" s="95" t="s">
        <v>2479</v>
      </c>
      <c r="J2076" s="247" t="s">
        <v>2489</v>
      </c>
      <c r="K2076" s="89"/>
      <c r="L2076" s="90"/>
      <c r="M2076" s="90"/>
      <c r="P2076" s="68"/>
    </row>
    <row r="2077">
      <c r="A2077" s="95">
        <v>4.7293451263E10</v>
      </c>
      <c r="B2077" s="151" t="s">
        <v>2490</v>
      </c>
      <c r="C2077" s="95" t="s">
        <v>97</v>
      </c>
      <c r="D2077" s="95">
        <v>1.0</v>
      </c>
      <c r="E2077" s="101">
        <v>23.99</v>
      </c>
      <c r="F2077" s="101">
        <f t="shared" si="382"/>
        <v>23.99</v>
      </c>
      <c r="G2077" s="101">
        <f t="shared" si="383"/>
        <v>5.9975</v>
      </c>
      <c r="H2077" s="95" t="s">
        <v>2491</v>
      </c>
      <c r="J2077" s="247" t="s">
        <v>2489</v>
      </c>
      <c r="K2077" s="89"/>
      <c r="L2077" s="90"/>
      <c r="M2077" s="90"/>
      <c r="P2077" s="68"/>
    </row>
    <row r="2078">
      <c r="A2078" s="95">
        <v>7.638901246E10</v>
      </c>
      <c r="B2078" s="151" t="s">
        <v>2492</v>
      </c>
      <c r="C2078" s="95" t="s">
        <v>97</v>
      </c>
      <c r="D2078" s="95">
        <v>1.0</v>
      </c>
      <c r="E2078" s="101">
        <v>28.99</v>
      </c>
      <c r="F2078" s="101">
        <f t="shared" si="382"/>
        <v>28.99</v>
      </c>
      <c r="G2078" s="101">
        <f t="shared" si="383"/>
        <v>7.2475</v>
      </c>
      <c r="H2078" s="95" t="s">
        <v>2493</v>
      </c>
      <c r="J2078" s="247" t="s">
        <v>2489</v>
      </c>
      <c r="K2078" s="89"/>
      <c r="L2078" s="90"/>
      <c r="M2078" s="90"/>
      <c r="P2078" s="68"/>
    </row>
    <row r="2079">
      <c r="A2079" s="95">
        <v>8.6569925053E10</v>
      </c>
      <c r="B2079" s="151" t="s">
        <v>2494</v>
      </c>
      <c r="C2079" s="95" t="s">
        <v>97</v>
      </c>
      <c r="D2079" s="95">
        <v>1.0</v>
      </c>
      <c r="E2079" s="101">
        <v>119.99</v>
      </c>
      <c r="F2079" s="101">
        <f t="shared" si="382"/>
        <v>119.99</v>
      </c>
      <c r="G2079" s="101">
        <f t="shared" si="383"/>
        <v>29.9975</v>
      </c>
      <c r="H2079" s="95" t="s">
        <v>2483</v>
      </c>
      <c r="J2079" s="247" t="s">
        <v>2489</v>
      </c>
      <c r="K2079" s="89"/>
      <c r="L2079" s="90"/>
      <c r="M2079" s="90"/>
      <c r="P2079" s="68"/>
    </row>
    <row r="2080">
      <c r="A2080" s="95">
        <v>6.75716715755E11</v>
      </c>
      <c r="B2080" s="151" t="s">
        <v>2495</v>
      </c>
      <c r="C2080" s="95" t="s">
        <v>97</v>
      </c>
      <c r="D2080" s="95">
        <v>1.0</v>
      </c>
      <c r="E2080" s="101">
        <v>179.99</v>
      </c>
      <c r="F2080" s="101">
        <f t="shared" si="382"/>
        <v>179.99</v>
      </c>
      <c r="G2080" s="101">
        <f t="shared" si="383"/>
        <v>44.9975</v>
      </c>
      <c r="H2080" s="95" t="s">
        <v>2483</v>
      </c>
      <c r="J2080" s="247" t="s">
        <v>2489</v>
      </c>
      <c r="K2080" s="89"/>
      <c r="L2080" s="90"/>
      <c r="M2080" s="90"/>
      <c r="P2080" s="68"/>
    </row>
    <row r="2081">
      <c r="A2081" s="95">
        <v>6.93614011465E11</v>
      </c>
      <c r="B2081" s="151" t="s">
        <v>2496</v>
      </c>
      <c r="C2081" s="95" t="s">
        <v>97</v>
      </c>
      <c r="D2081" s="95">
        <v>1.0</v>
      </c>
      <c r="E2081" s="101">
        <v>29.99</v>
      </c>
      <c r="F2081" s="101">
        <f t="shared" si="382"/>
        <v>29.99</v>
      </c>
      <c r="G2081" s="101">
        <f t="shared" si="383"/>
        <v>7.4975</v>
      </c>
      <c r="H2081" s="95" t="s">
        <v>2497</v>
      </c>
      <c r="J2081" s="247" t="s">
        <v>2489</v>
      </c>
      <c r="K2081" s="89"/>
      <c r="L2081" s="90"/>
      <c r="M2081" s="90"/>
      <c r="P2081" s="68"/>
    </row>
    <row r="2082">
      <c r="A2082" s="95">
        <v>7.89323307606E11</v>
      </c>
      <c r="B2082" s="151" t="s">
        <v>2498</v>
      </c>
      <c r="C2082" s="95" t="s">
        <v>97</v>
      </c>
      <c r="D2082" s="95">
        <v>1.0</v>
      </c>
      <c r="E2082" s="101">
        <v>137.99</v>
      </c>
      <c r="F2082" s="101">
        <f t="shared" si="382"/>
        <v>137.99</v>
      </c>
      <c r="G2082" s="101">
        <f t="shared" si="383"/>
        <v>34.4975</v>
      </c>
      <c r="H2082" s="95" t="s">
        <v>2499</v>
      </c>
      <c r="J2082" s="247" t="s">
        <v>2489</v>
      </c>
      <c r="K2082" s="89"/>
      <c r="L2082" s="90"/>
      <c r="M2082" s="90"/>
      <c r="P2082" s="68"/>
    </row>
    <row r="2083">
      <c r="A2083" s="211"/>
      <c r="B2083" s="231" t="s">
        <v>2500</v>
      </c>
      <c r="C2083" s="234" t="str">
        <f>MID($B2083,6,7)</f>
        <v>GR18295</v>
      </c>
      <c r="D2083" s="231"/>
      <c r="E2083" s="231"/>
      <c r="F2083" s="231"/>
      <c r="G2083" s="231"/>
      <c r="H2083" s="235">
        <v>44560.0</v>
      </c>
      <c r="J2083" s="108" t="str">
        <f>IF(LEFT(B2083,3)="Box","BOX","COUNT")</f>
        <v>BOX</v>
      </c>
      <c r="K2083" s="99">
        <f>SUMIF($J$4:$J$8712,$C2083,$D$4:$D$8712)</f>
        <v>8</v>
      </c>
      <c r="L2083" s="50">
        <f>SUMIF($J$4:$J$8712,$C2083,$F$4:$F$8712)</f>
        <v>550.92</v>
      </c>
      <c r="M2083" s="50">
        <f>SUMIF($J$4:$J$8712,$C2083,$G$4:$G$8712)</f>
        <v>137.73</v>
      </c>
      <c r="N2083" s="70" t="str">
        <f>C2083</f>
        <v>GR18295</v>
      </c>
      <c r="O2083" s="70" t="str">
        <f>J2084</f>
        <v>NSHIP</v>
      </c>
      <c r="P2083" s="68">
        <f>M2083</f>
        <v>137.73</v>
      </c>
    </row>
    <row r="2084">
      <c r="A2084" s="211"/>
      <c r="B2084" s="231"/>
      <c r="C2084" s="109"/>
      <c r="D2084" s="109"/>
      <c r="E2084" s="116"/>
      <c r="F2084" s="116"/>
      <c r="G2084" s="116"/>
      <c r="H2084" s="109"/>
      <c r="J2084" s="108" t="str">
        <f>IF(B2084="","NSHIP","SHIP")</f>
        <v>NSHIP</v>
      </c>
      <c r="K2084" s="99">
        <f>IF($J2084="NSHIP",0,-SUMIF($J$4:$J$8712,$C2083,$D$4:$D$8712))</f>
        <v>0</v>
      </c>
      <c r="L2084" s="50">
        <f>IF($J2084="NSHIP",0,-SUMIF($J$4:$J$8710,$C2083,$F$4:$F$8710))</f>
        <v>0</v>
      </c>
      <c r="M2084" s="50">
        <f>IF($J2084="NSHIP",0,-SUMIF($J$4:$J$8710,$C2083,$G$4:$G$8710))</f>
        <v>0</v>
      </c>
      <c r="P2084" s="68"/>
    </row>
    <row r="2085">
      <c r="A2085" s="95">
        <v>4.7293459153E10</v>
      </c>
      <c r="B2085" s="151" t="s">
        <v>2501</v>
      </c>
      <c r="C2085" s="95" t="s">
        <v>97</v>
      </c>
      <c r="D2085" s="95">
        <v>1.0</v>
      </c>
      <c r="E2085" s="101">
        <v>26.99</v>
      </c>
      <c r="F2085" s="101">
        <f t="shared" ref="F2085:F2093" si="384">E2085*D2085</f>
        <v>26.99</v>
      </c>
      <c r="G2085" s="101">
        <f t="shared" ref="G2085:G2093" si="385">F2085/4</f>
        <v>6.7475</v>
      </c>
      <c r="H2085" s="95" t="s">
        <v>2491</v>
      </c>
      <c r="J2085" s="247" t="s">
        <v>2502</v>
      </c>
      <c r="K2085" s="89"/>
      <c r="L2085" s="90"/>
      <c r="M2085" s="90"/>
      <c r="P2085" s="68"/>
    </row>
    <row r="2086">
      <c r="A2086" s="95">
        <v>5.4006616895E10</v>
      </c>
      <c r="B2086" s="151" t="s">
        <v>2503</v>
      </c>
      <c r="C2086" s="95" t="s">
        <v>97</v>
      </c>
      <c r="D2086" s="95">
        <v>3.0</v>
      </c>
      <c r="E2086" s="101">
        <v>24.99</v>
      </c>
      <c r="F2086" s="101">
        <f t="shared" si="384"/>
        <v>74.97</v>
      </c>
      <c r="G2086" s="101">
        <f t="shared" si="385"/>
        <v>18.7425</v>
      </c>
      <c r="H2086" s="95" t="s">
        <v>2504</v>
      </c>
      <c r="J2086" s="247" t="s">
        <v>2502</v>
      </c>
      <c r="K2086" s="89"/>
      <c r="L2086" s="90"/>
      <c r="M2086" s="90"/>
      <c r="P2086" s="68"/>
    </row>
    <row r="2087">
      <c r="A2087" s="95">
        <v>1.90945066824E11</v>
      </c>
      <c r="B2087" s="151" t="s">
        <v>2505</v>
      </c>
      <c r="C2087" s="95" t="s">
        <v>97</v>
      </c>
      <c r="D2087" s="95">
        <v>1.0</v>
      </c>
      <c r="E2087" s="101">
        <v>32.0</v>
      </c>
      <c r="F2087" s="101">
        <f t="shared" si="384"/>
        <v>32</v>
      </c>
      <c r="G2087" s="101">
        <f t="shared" si="385"/>
        <v>8</v>
      </c>
      <c r="H2087" s="95" t="s">
        <v>2506</v>
      </c>
      <c r="J2087" s="247" t="s">
        <v>2502</v>
      </c>
      <c r="K2087" s="89"/>
      <c r="L2087" s="90"/>
      <c r="M2087" s="90"/>
      <c r="P2087" s="68"/>
    </row>
    <row r="2088">
      <c r="A2088" s="95">
        <v>6.75716556983E11</v>
      </c>
      <c r="B2088" s="151" t="s">
        <v>2507</v>
      </c>
      <c r="C2088" s="95" t="s">
        <v>97</v>
      </c>
      <c r="D2088" s="95">
        <v>1.0</v>
      </c>
      <c r="E2088" s="101">
        <v>49.99</v>
      </c>
      <c r="F2088" s="101">
        <f t="shared" si="384"/>
        <v>49.99</v>
      </c>
      <c r="G2088" s="101">
        <f t="shared" si="385"/>
        <v>12.4975</v>
      </c>
      <c r="H2088" s="95" t="s">
        <v>2483</v>
      </c>
      <c r="J2088" s="247" t="s">
        <v>2502</v>
      </c>
      <c r="K2088" s="89"/>
      <c r="L2088" s="90"/>
      <c r="M2088" s="90"/>
      <c r="P2088" s="68"/>
    </row>
    <row r="2089">
      <c r="A2089" s="95">
        <v>6.75716770099E11</v>
      </c>
      <c r="B2089" s="151" t="s">
        <v>2508</v>
      </c>
      <c r="C2089" s="95" t="s">
        <v>97</v>
      </c>
      <c r="D2089" s="95">
        <v>1.0</v>
      </c>
      <c r="E2089" s="101">
        <v>39.99</v>
      </c>
      <c r="F2089" s="101">
        <f t="shared" si="384"/>
        <v>39.99</v>
      </c>
      <c r="G2089" s="101">
        <f t="shared" si="385"/>
        <v>9.9975</v>
      </c>
      <c r="H2089" s="95" t="s">
        <v>2483</v>
      </c>
      <c r="J2089" s="247" t="s">
        <v>2502</v>
      </c>
      <c r="K2089" s="89"/>
      <c r="L2089" s="90"/>
      <c r="M2089" s="90"/>
      <c r="P2089" s="68"/>
    </row>
    <row r="2090">
      <c r="A2090" s="95">
        <v>6.75716986353E11</v>
      </c>
      <c r="B2090" s="151" t="s">
        <v>2509</v>
      </c>
      <c r="C2090" s="95" t="s">
        <v>97</v>
      </c>
      <c r="D2090" s="95">
        <v>1.0</v>
      </c>
      <c r="E2090" s="101">
        <v>133.1</v>
      </c>
      <c r="F2090" s="101">
        <f t="shared" si="384"/>
        <v>133.1</v>
      </c>
      <c r="G2090" s="101">
        <f t="shared" si="385"/>
        <v>33.275</v>
      </c>
      <c r="H2090" s="95" t="s">
        <v>2510</v>
      </c>
      <c r="J2090" s="247" t="s">
        <v>2502</v>
      </c>
      <c r="K2090" s="89"/>
      <c r="L2090" s="90"/>
      <c r="M2090" s="90"/>
      <c r="P2090" s="68"/>
    </row>
    <row r="2091">
      <c r="A2091" s="95">
        <v>7.35732106484E11</v>
      </c>
      <c r="B2091" s="151" t="s">
        <v>2511</v>
      </c>
      <c r="C2091" s="95" t="s">
        <v>97</v>
      </c>
      <c r="D2091" s="95">
        <v>1.0</v>
      </c>
      <c r="E2091" s="101">
        <v>24.99</v>
      </c>
      <c r="F2091" s="101">
        <f t="shared" si="384"/>
        <v>24.99</v>
      </c>
      <c r="G2091" s="101">
        <f t="shared" si="385"/>
        <v>6.2475</v>
      </c>
      <c r="H2091" s="95" t="s">
        <v>2512</v>
      </c>
      <c r="J2091" s="247" t="s">
        <v>2502</v>
      </c>
      <c r="K2091" s="89"/>
      <c r="L2091" s="90"/>
      <c r="M2091" s="90"/>
      <c r="P2091" s="68"/>
    </row>
    <row r="2092">
      <c r="A2092" s="95">
        <v>7.83048107824E11</v>
      </c>
      <c r="B2092" s="151" t="s">
        <v>2513</v>
      </c>
      <c r="C2092" s="95" t="s">
        <v>97</v>
      </c>
      <c r="D2092" s="95">
        <v>1.0</v>
      </c>
      <c r="E2092" s="101">
        <v>88.99</v>
      </c>
      <c r="F2092" s="101">
        <f t="shared" si="384"/>
        <v>88.99</v>
      </c>
      <c r="G2092" s="101">
        <f t="shared" si="385"/>
        <v>22.2475</v>
      </c>
      <c r="H2092" s="95" t="s">
        <v>2514</v>
      </c>
      <c r="J2092" s="247" t="s">
        <v>2502</v>
      </c>
      <c r="K2092" s="89"/>
      <c r="L2092" s="90"/>
      <c r="M2092" s="90"/>
      <c r="P2092" s="68"/>
    </row>
    <row r="2093">
      <c r="A2093" s="95">
        <v>7.89323307606E11</v>
      </c>
      <c r="B2093" s="151" t="s">
        <v>2498</v>
      </c>
      <c r="C2093" s="95" t="s">
        <v>97</v>
      </c>
      <c r="D2093" s="95">
        <v>1.0</v>
      </c>
      <c r="E2093" s="101">
        <v>137.99</v>
      </c>
      <c r="F2093" s="101">
        <f t="shared" si="384"/>
        <v>137.99</v>
      </c>
      <c r="G2093" s="101">
        <f t="shared" si="385"/>
        <v>34.4975</v>
      </c>
      <c r="H2093" s="95" t="s">
        <v>2499</v>
      </c>
      <c r="J2093" s="247" t="s">
        <v>2502</v>
      </c>
      <c r="K2093" s="89"/>
      <c r="L2093" s="90"/>
      <c r="M2093" s="90"/>
      <c r="P2093" s="68"/>
    </row>
    <row r="2094">
      <c r="A2094" s="211"/>
      <c r="B2094" s="231" t="s">
        <v>2515</v>
      </c>
      <c r="C2094" s="234" t="str">
        <f>MID($B2094,6,7)</f>
        <v>GR18296</v>
      </c>
      <c r="D2094" s="231"/>
      <c r="E2094" s="231"/>
      <c r="F2094" s="231"/>
      <c r="G2094" s="231"/>
      <c r="H2094" s="235">
        <v>44560.0</v>
      </c>
      <c r="J2094" s="108" t="str">
        <f>IF(LEFT(B2094,3)="Box","BOX","COUNT")</f>
        <v>BOX</v>
      </c>
      <c r="K2094" s="99">
        <f>SUMIF($J$4:$J$8712,$C2094,$D$4:$D$8712)</f>
        <v>11</v>
      </c>
      <c r="L2094" s="50">
        <f>SUMIF($J$4:$J$8712,$C2094,$F$4:$F$8712)</f>
        <v>609.01</v>
      </c>
      <c r="M2094" s="50">
        <f>SUMIF($J$4:$J$8712,$C2094,$G$4:$G$8712)</f>
        <v>152.2525</v>
      </c>
      <c r="N2094" s="70" t="str">
        <f>C2094</f>
        <v>GR18296</v>
      </c>
      <c r="O2094" s="70" t="str">
        <f>J2095</f>
        <v>NSHIP</v>
      </c>
      <c r="P2094" s="68">
        <f>M2094</f>
        <v>152.2525</v>
      </c>
    </row>
    <row r="2095">
      <c r="A2095" s="211"/>
      <c r="B2095" s="231"/>
      <c r="C2095" s="109"/>
      <c r="D2095" s="109"/>
      <c r="E2095" s="116"/>
      <c r="F2095" s="116"/>
      <c r="G2095" s="116"/>
      <c r="H2095" s="109"/>
      <c r="J2095" s="108" t="str">
        <f>IF(B2095="","NSHIP","SHIP")</f>
        <v>NSHIP</v>
      </c>
      <c r="K2095" s="99">
        <f>IF($J2095="NSHIP",0,-SUMIF($J$4:$J$8712,$C2094,$D$4:$D$8712))</f>
        <v>0</v>
      </c>
      <c r="L2095" s="50">
        <f>IF($J2095="NSHIP",0,-SUMIF($J$4:$J$8710,$C2094,$F$4:$F$8710))</f>
        <v>0</v>
      </c>
      <c r="M2095" s="50">
        <f>IF($J2095="NSHIP",0,-SUMIF($J$4:$J$8710,$C2094,$G$4:$G$8710))</f>
        <v>0</v>
      </c>
      <c r="P2095" s="68"/>
    </row>
    <row r="2096">
      <c r="A2096" s="95">
        <v>8.6569209184E10</v>
      </c>
      <c r="B2096" s="151" t="s">
        <v>2516</v>
      </c>
      <c r="C2096" s="95" t="s">
        <v>97</v>
      </c>
      <c r="D2096" s="95">
        <v>1.0</v>
      </c>
      <c r="E2096" s="101">
        <v>57.99</v>
      </c>
      <c r="F2096" s="101">
        <f t="shared" ref="F2096:F2130" si="386">E2096*D2096</f>
        <v>57.99</v>
      </c>
      <c r="G2096" s="101">
        <f t="shared" ref="G2096:G2130" si="387">F2096/4</f>
        <v>14.4975</v>
      </c>
      <c r="H2096" s="95" t="s">
        <v>2483</v>
      </c>
      <c r="J2096" s="247" t="s">
        <v>2517</v>
      </c>
      <c r="K2096" s="89"/>
      <c r="L2096" s="90"/>
      <c r="M2096" s="90"/>
      <c r="P2096" s="68"/>
    </row>
    <row r="2097">
      <c r="A2097" s="95">
        <v>6.75716438821E11</v>
      </c>
      <c r="B2097" s="151" t="s">
        <v>2518</v>
      </c>
      <c r="C2097" s="95" t="s">
        <v>97</v>
      </c>
      <c r="D2097" s="95">
        <v>1.0</v>
      </c>
      <c r="E2097" s="101">
        <v>77.99</v>
      </c>
      <c r="F2097" s="101">
        <f t="shared" si="386"/>
        <v>77.99</v>
      </c>
      <c r="G2097" s="101">
        <f t="shared" si="387"/>
        <v>19.4975</v>
      </c>
      <c r="H2097" s="95" t="s">
        <v>2483</v>
      </c>
      <c r="J2097" s="247" t="s">
        <v>2517</v>
      </c>
      <c r="K2097" s="89"/>
      <c r="L2097" s="90"/>
      <c r="M2097" s="90"/>
      <c r="P2097" s="68"/>
    </row>
    <row r="2098">
      <c r="A2098" s="95">
        <v>6.75716639877E11</v>
      </c>
      <c r="B2098" s="151" t="s">
        <v>2519</v>
      </c>
      <c r="C2098" s="95" t="s">
        <v>97</v>
      </c>
      <c r="D2098" s="95">
        <v>1.0</v>
      </c>
      <c r="E2098" s="101">
        <v>24.99</v>
      </c>
      <c r="F2098" s="101">
        <f t="shared" si="386"/>
        <v>24.99</v>
      </c>
      <c r="G2098" s="101">
        <f t="shared" si="387"/>
        <v>6.2475</v>
      </c>
      <c r="H2098" s="95" t="s">
        <v>2483</v>
      </c>
      <c r="J2098" s="247" t="s">
        <v>2517</v>
      </c>
      <c r="K2098" s="89"/>
      <c r="L2098" s="90"/>
      <c r="M2098" s="90"/>
      <c r="P2098" s="68"/>
    </row>
    <row r="2099">
      <c r="A2099" s="95">
        <v>6.75716674885E11</v>
      </c>
      <c r="B2099" s="151" t="s">
        <v>2520</v>
      </c>
      <c r="C2099" s="95" t="s">
        <v>97</v>
      </c>
      <c r="D2099" s="95">
        <v>1.0</v>
      </c>
      <c r="E2099" s="101">
        <v>200.0</v>
      </c>
      <c r="F2099" s="101">
        <f t="shared" si="386"/>
        <v>200</v>
      </c>
      <c r="G2099" s="101">
        <f t="shared" si="387"/>
        <v>50</v>
      </c>
      <c r="H2099" s="95" t="s">
        <v>2483</v>
      </c>
      <c r="J2099" s="247" t="s">
        <v>2517</v>
      </c>
      <c r="K2099" s="89"/>
      <c r="L2099" s="90"/>
      <c r="M2099" s="90"/>
      <c r="P2099" s="68"/>
    </row>
    <row r="2100">
      <c r="A2100" s="95">
        <v>6.75716810023E11</v>
      </c>
      <c r="B2100" s="151" t="s">
        <v>2521</v>
      </c>
      <c r="C2100" s="95" t="s">
        <v>97</v>
      </c>
      <c r="D2100" s="95">
        <v>2.0</v>
      </c>
      <c r="E2100" s="101">
        <v>39.99</v>
      </c>
      <c r="F2100" s="101">
        <f t="shared" si="386"/>
        <v>79.98</v>
      </c>
      <c r="G2100" s="101">
        <f t="shared" si="387"/>
        <v>19.995</v>
      </c>
      <c r="H2100" s="95" t="s">
        <v>2483</v>
      </c>
      <c r="J2100" s="247" t="s">
        <v>2517</v>
      </c>
      <c r="K2100" s="89"/>
      <c r="L2100" s="90"/>
      <c r="M2100" s="90"/>
      <c r="P2100" s="68"/>
    </row>
    <row r="2101">
      <c r="A2101" s="95">
        <v>7.35732947735E11</v>
      </c>
      <c r="B2101" s="151" t="s">
        <v>2522</v>
      </c>
      <c r="C2101" s="95" t="s">
        <v>97</v>
      </c>
      <c r="D2101" s="95">
        <v>3.0</v>
      </c>
      <c r="E2101" s="101">
        <v>19.99</v>
      </c>
      <c r="F2101" s="101">
        <f t="shared" si="386"/>
        <v>59.97</v>
      </c>
      <c r="G2101" s="101">
        <f t="shared" si="387"/>
        <v>14.9925</v>
      </c>
      <c r="H2101" s="95" t="s">
        <v>2512</v>
      </c>
      <c r="J2101" s="247" t="s">
        <v>2517</v>
      </c>
      <c r="K2101" s="89"/>
      <c r="L2101" s="90"/>
      <c r="M2101" s="90"/>
      <c r="P2101" s="68"/>
    </row>
    <row r="2102">
      <c r="A2102" s="95">
        <v>7.83048107824E11</v>
      </c>
      <c r="B2102" s="151" t="s">
        <v>2513</v>
      </c>
      <c r="C2102" s="95" t="s">
        <v>97</v>
      </c>
      <c r="D2102" s="95">
        <v>1.0</v>
      </c>
      <c r="E2102" s="101">
        <v>88.99</v>
      </c>
      <c r="F2102" s="101">
        <f t="shared" si="386"/>
        <v>88.99</v>
      </c>
      <c r="G2102" s="101">
        <f t="shared" si="387"/>
        <v>22.2475</v>
      </c>
      <c r="H2102" s="95" t="s">
        <v>2514</v>
      </c>
      <c r="J2102" s="247" t="s">
        <v>2517</v>
      </c>
      <c r="K2102" s="89"/>
      <c r="L2102" s="90"/>
      <c r="M2102" s="90"/>
      <c r="P2102" s="68"/>
    </row>
    <row r="2103">
      <c r="A2103" s="95">
        <v>8.42491109875E11</v>
      </c>
      <c r="B2103" s="151" t="s">
        <v>2523</v>
      </c>
      <c r="C2103" s="95" t="s">
        <v>97</v>
      </c>
      <c r="D2103" s="95">
        <v>1.0</v>
      </c>
      <c r="E2103" s="101">
        <v>104.99</v>
      </c>
      <c r="F2103" s="101">
        <f t="shared" si="386"/>
        <v>104.99</v>
      </c>
      <c r="G2103" s="101">
        <f t="shared" si="387"/>
        <v>26.2475</v>
      </c>
      <c r="H2103" s="95" t="s">
        <v>2524</v>
      </c>
      <c r="J2103" s="247" t="s">
        <v>2517</v>
      </c>
      <c r="K2103" s="89"/>
      <c r="L2103" s="90"/>
      <c r="M2103" s="90"/>
      <c r="P2103" s="68"/>
    </row>
    <row r="2104">
      <c r="A2104" s="95">
        <v>8.42491138226E11</v>
      </c>
      <c r="B2104" s="151" t="s">
        <v>2525</v>
      </c>
      <c r="C2104" s="95" t="s">
        <v>97</v>
      </c>
      <c r="D2104" s="95">
        <v>1.0</v>
      </c>
      <c r="E2104" s="101">
        <v>111.99</v>
      </c>
      <c r="F2104" s="101">
        <f t="shared" si="386"/>
        <v>111.99</v>
      </c>
      <c r="G2104" s="101">
        <f t="shared" si="387"/>
        <v>27.9975</v>
      </c>
      <c r="H2104" s="95" t="s">
        <v>2524</v>
      </c>
      <c r="J2104" s="247" t="s">
        <v>2517</v>
      </c>
      <c r="K2104" s="89"/>
      <c r="L2104" s="90"/>
      <c r="M2104" s="90"/>
      <c r="P2104" s="68"/>
    </row>
    <row r="2105">
      <c r="A2105" s="211"/>
      <c r="B2105" s="231" t="s">
        <v>2526</v>
      </c>
      <c r="C2105" s="234" t="str">
        <f>MID($B2105,6,7)</f>
        <v>GR18297</v>
      </c>
      <c r="D2105" s="231"/>
      <c r="E2105" s="231"/>
      <c r="F2105" s="231">
        <f t="shared" si="386"/>
        <v>0</v>
      </c>
      <c r="G2105" s="231">
        <f t="shared" si="387"/>
        <v>0</v>
      </c>
      <c r="H2105" s="235">
        <v>44560.0</v>
      </c>
      <c r="J2105" s="108" t="str">
        <f>IF(LEFT(B2105,3)="Box","BOX","COUNT")</f>
        <v>BOX</v>
      </c>
      <c r="K2105" s="99">
        <f>SUMIF($J$4:$J$8712,$C2105,$D$4:$D$8712)</f>
        <v>12</v>
      </c>
      <c r="L2105" s="50">
        <f>SUMIF($J$4:$J$8712,$C2105,$F$4:$F$8712)</f>
        <v>806.89</v>
      </c>
      <c r="M2105" s="50">
        <f>SUMIF($J$4:$J$8712,$C2105,$G$4:$G$8712)</f>
        <v>201.7225</v>
      </c>
      <c r="N2105" s="70" t="str">
        <f>C2105</f>
        <v>GR18297</v>
      </c>
      <c r="O2105" s="70" t="str">
        <f>J2106</f>
        <v>NSHIP</v>
      </c>
      <c r="P2105" s="68">
        <f>M2105</f>
        <v>201.7225</v>
      </c>
    </row>
    <row r="2106">
      <c r="A2106" s="211"/>
      <c r="B2106" s="231"/>
      <c r="C2106" s="109"/>
      <c r="D2106" s="109"/>
      <c r="E2106" s="116"/>
      <c r="F2106" s="116">
        <f t="shared" si="386"/>
        <v>0</v>
      </c>
      <c r="G2106" s="116">
        <f t="shared" si="387"/>
        <v>0</v>
      </c>
      <c r="H2106" s="109"/>
      <c r="J2106" s="108" t="str">
        <f>IF(B2106="","NSHIP","SHIP")</f>
        <v>NSHIP</v>
      </c>
      <c r="K2106" s="99">
        <f>IF($J2106="NSHIP",0,-SUMIF($J$4:$J$8712,$C2105,$D$4:$D$8712))</f>
        <v>0</v>
      </c>
      <c r="L2106" s="50">
        <f>IF($J2106="NSHIP",0,-SUMIF($J$4:$J$8710,$C2105,$F$4:$F$8710))</f>
        <v>0</v>
      </c>
      <c r="M2106" s="50">
        <f>IF($J2106="NSHIP",0,-SUMIF($J$4:$J$8710,$C2105,$G$4:$G$8710))</f>
        <v>0</v>
      </c>
      <c r="P2106" s="68"/>
    </row>
    <row r="2107">
      <c r="A2107" s="95">
        <v>4.7293451263E10</v>
      </c>
      <c r="B2107" s="151" t="s">
        <v>2490</v>
      </c>
      <c r="C2107" s="95" t="s">
        <v>97</v>
      </c>
      <c r="D2107" s="95">
        <v>1.0</v>
      </c>
      <c r="E2107" s="101">
        <v>23.99</v>
      </c>
      <c r="F2107" s="101">
        <f t="shared" si="386"/>
        <v>23.99</v>
      </c>
      <c r="G2107" s="101">
        <f t="shared" si="387"/>
        <v>5.9975</v>
      </c>
      <c r="H2107" s="95" t="s">
        <v>2491</v>
      </c>
      <c r="J2107" s="247" t="s">
        <v>2527</v>
      </c>
      <c r="K2107" s="89"/>
      <c r="L2107" s="90"/>
      <c r="M2107" s="90"/>
      <c r="P2107" s="68"/>
    </row>
    <row r="2108">
      <c r="A2108" s="95">
        <v>7.638901246E10</v>
      </c>
      <c r="B2108" s="151" t="s">
        <v>2492</v>
      </c>
      <c r="C2108" s="95" t="s">
        <v>97</v>
      </c>
      <c r="D2108" s="95">
        <v>4.0</v>
      </c>
      <c r="E2108" s="101">
        <v>28.99</v>
      </c>
      <c r="F2108" s="101">
        <f t="shared" si="386"/>
        <v>115.96</v>
      </c>
      <c r="G2108" s="101">
        <f t="shared" si="387"/>
        <v>28.99</v>
      </c>
      <c r="H2108" s="95" t="s">
        <v>2493</v>
      </c>
      <c r="J2108" s="247" t="s">
        <v>2527</v>
      </c>
      <c r="K2108" s="89"/>
      <c r="L2108" s="90"/>
      <c r="M2108" s="90"/>
      <c r="P2108" s="68"/>
    </row>
    <row r="2109">
      <c r="A2109" s="95">
        <v>9.1116688794E10</v>
      </c>
      <c r="B2109" s="151" t="s">
        <v>2528</v>
      </c>
      <c r="C2109" s="95" t="s">
        <v>97</v>
      </c>
      <c r="D2109" s="95">
        <v>1.0</v>
      </c>
      <c r="E2109" s="101">
        <v>219.99</v>
      </c>
      <c r="F2109" s="101">
        <f t="shared" si="386"/>
        <v>219.99</v>
      </c>
      <c r="G2109" s="101">
        <f t="shared" si="387"/>
        <v>54.9975</v>
      </c>
      <c r="H2109" s="95" t="s">
        <v>2529</v>
      </c>
      <c r="J2109" s="247" t="s">
        <v>2527</v>
      </c>
      <c r="K2109" s="89"/>
      <c r="L2109" s="90"/>
      <c r="M2109" s="90"/>
      <c r="P2109" s="68"/>
    </row>
    <row r="2110">
      <c r="A2110" s="95">
        <v>6.75716791117E11</v>
      </c>
      <c r="B2110" s="151" t="s">
        <v>2530</v>
      </c>
      <c r="C2110" s="95" t="s">
        <v>97</v>
      </c>
      <c r="D2110" s="95">
        <v>1.0</v>
      </c>
      <c r="E2110" s="101">
        <v>32.99</v>
      </c>
      <c r="F2110" s="101">
        <f t="shared" si="386"/>
        <v>32.99</v>
      </c>
      <c r="G2110" s="101">
        <f t="shared" si="387"/>
        <v>8.2475</v>
      </c>
      <c r="H2110" s="95" t="s">
        <v>2531</v>
      </c>
      <c r="J2110" s="247" t="s">
        <v>2527</v>
      </c>
      <c r="K2110" s="89"/>
      <c r="L2110" s="90"/>
      <c r="M2110" s="90"/>
      <c r="P2110" s="68"/>
    </row>
    <row r="2111">
      <c r="A2111" s="95">
        <v>6.75716821739E11</v>
      </c>
      <c r="B2111" s="151" t="s">
        <v>2532</v>
      </c>
      <c r="C2111" s="95" t="s">
        <v>97</v>
      </c>
      <c r="D2111" s="95">
        <v>1.0</v>
      </c>
      <c r="E2111" s="101">
        <v>179.99</v>
      </c>
      <c r="F2111" s="101">
        <f t="shared" si="386"/>
        <v>179.99</v>
      </c>
      <c r="G2111" s="101">
        <f t="shared" si="387"/>
        <v>44.9975</v>
      </c>
      <c r="H2111" s="95" t="s">
        <v>2483</v>
      </c>
      <c r="J2111" s="247" t="s">
        <v>2527</v>
      </c>
      <c r="K2111" s="89"/>
      <c r="L2111" s="90"/>
      <c r="M2111" s="90"/>
      <c r="P2111" s="68"/>
    </row>
    <row r="2112">
      <c r="A2112" s="95">
        <v>7.35732314681E11</v>
      </c>
      <c r="B2112" s="151" t="s">
        <v>2533</v>
      </c>
      <c r="C2112" s="95" t="s">
        <v>97</v>
      </c>
      <c r="D2112" s="95">
        <v>1.0</v>
      </c>
      <c r="E2112" s="101">
        <v>61.99</v>
      </c>
      <c r="F2112" s="101">
        <f t="shared" si="386"/>
        <v>61.99</v>
      </c>
      <c r="G2112" s="101">
        <f t="shared" si="387"/>
        <v>15.4975</v>
      </c>
      <c r="H2112" s="95" t="s">
        <v>2534</v>
      </c>
      <c r="J2112" s="247" t="s">
        <v>2527</v>
      </c>
      <c r="K2112" s="89"/>
      <c r="L2112" s="90"/>
      <c r="M2112" s="90"/>
      <c r="P2112" s="68"/>
    </row>
    <row r="2113">
      <c r="A2113" s="211"/>
      <c r="B2113" s="231" t="s">
        <v>2535</v>
      </c>
      <c r="C2113" s="234" t="str">
        <f>MID($B2113,6,7)</f>
        <v>GR18298</v>
      </c>
      <c r="D2113" s="231"/>
      <c r="E2113" s="231"/>
      <c r="F2113" s="231">
        <f t="shared" si="386"/>
        <v>0</v>
      </c>
      <c r="G2113" s="231">
        <f t="shared" si="387"/>
        <v>0</v>
      </c>
      <c r="H2113" s="235">
        <v>44560.0</v>
      </c>
      <c r="J2113" s="108" t="str">
        <f>IF(LEFT(B2113,3)="Box","BOX","COUNT")</f>
        <v>BOX</v>
      </c>
      <c r="K2113" s="99">
        <f>SUMIF($J$4:$J$8712,$C2113,$D$4:$D$8712)</f>
        <v>9</v>
      </c>
      <c r="L2113" s="50">
        <f>SUMIF($J$4:$J$8712,$C2113,$F$4:$F$8712)</f>
        <v>634.91</v>
      </c>
      <c r="M2113" s="50">
        <f>SUMIF($J$4:$J$8712,$C2113,$G$4:$G$8712)</f>
        <v>158.7275</v>
      </c>
      <c r="N2113" s="70" t="str">
        <f>C2113</f>
        <v>GR18298</v>
      </c>
      <c r="O2113" s="70" t="str">
        <f>J2114</f>
        <v>NSHIP</v>
      </c>
      <c r="P2113" s="68">
        <f>M2113</f>
        <v>158.7275</v>
      </c>
    </row>
    <row r="2114">
      <c r="A2114" s="211"/>
      <c r="B2114" s="231"/>
      <c r="C2114" s="109"/>
      <c r="D2114" s="109"/>
      <c r="E2114" s="116"/>
      <c r="F2114" s="116">
        <f t="shared" si="386"/>
        <v>0</v>
      </c>
      <c r="G2114" s="116">
        <f t="shared" si="387"/>
        <v>0</v>
      </c>
      <c r="H2114" s="109"/>
      <c r="J2114" s="108" t="str">
        <f>IF(B2114="","NSHIP","SHIP")</f>
        <v>NSHIP</v>
      </c>
      <c r="K2114" s="99">
        <f>IF($J2114="NSHIP",0,-SUMIF($J$4:$J$8712,$C2113,$D$4:$D$8712))</f>
        <v>0</v>
      </c>
      <c r="L2114" s="50">
        <f>IF($J2114="NSHIP",0,-SUMIF($J$4:$J$8710,$C2113,$F$4:$F$8710))</f>
        <v>0</v>
      </c>
      <c r="M2114" s="50">
        <f>IF($J2114="NSHIP",0,-SUMIF($J$4:$J$8710,$C2113,$G$4:$G$8710))</f>
        <v>0</v>
      </c>
      <c r="P2114" s="68"/>
    </row>
    <row r="2115">
      <c r="A2115" s="95">
        <v>2.7399035505E10</v>
      </c>
      <c r="B2115" s="151" t="s">
        <v>2536</v>
      </c>
      <c r="C2115" s="95" t="s">
        <v>97</v>
      </c>
      <c r="D2115" s="95">
        <v>1.0</v>
      </c>
      <c r="E2115" s="101">
        <v>39.99</v>
      </c>
      <c r="F2115" s="101">
        <f t="shared" si="386"/>
        <v>39.99</v>
      </c>
      <c r="G2115" s="101">
        <f t="shared" si="387"/>
        <v>9.9975</v>
      </c>
      <c r="H2115" s="95" t="s">
        <v>2537</v>
      </c>
      <c r="J2115" s="247" t="s">
        <v>2538</v>
      </c>
      <c r="K2115" s="89"/>
      <c r="L2115" s="90"/>
      <c r="M2115" s="90"/>
      <c r="P2115" s="68"/>
    </row>
    <row r="2116">
      <c r="A2116" s="95">
        <v>4.7293451263E10</v>
      </c>
      <c r="B2116" s="151" t="s">
        <v>2490</v>
      </c>
      <c r="C2116" s="95" t="s">
        <v>97</v>
      </c>
      <c r="D2116" s="95">
        <v>2.0</v>
      </c>
      <c r="E2116" s="101">
        <v>23.99</v>
      </c>
      <c r="F2116" s="101">
        <f t="shared" si="386"/>
        <v>47.98</v>
      </c>
      <c r="G2116" s="101">
        <f t="shared" si="387"/>
        <v>11.995</v>
      </c>
      <c r="H2116" s="95" t="s">
        <v>2491</v>
      </c>
      <c r="J2116" s="247" t="s">
        <v>2538</v>
      </c>
      <c r="K2116" s="89"/>
      <c r="L2116" s="90"/>
      <c r="M2116" s="90"/>
      <c r="P2116" s="68"/>
    </row>
    <row r="2117">
      <c r="A2117" s="95">
        <v>5.4006616895E10</v>
      </c>
      <c r="B2117" s="151" t="s">
        <v>2503</v>
      </c>
      <c r="C2117" s="95" t="s">
        <v>97</v>
      </c>
      <c r="D2117" s="95">
        <v>2.0</v>
      </c>
      <c r="E2117" s="101">
        <v>24.99</v>
      </c>
      <c r="F2117" s="101">
        <f t="shared" si="386"/>
        <v>49.98</v>
      </c>
      <c r="G2117" s="101">
        <f t="shared" si="387"/>
        <v>12.495</v>
      </c>
      <c r="H2117" s="95" t="s">
        <v>2504</v>
      </c>
      <c r="J2117" s="247" t="s">
        <v>2538</v>
      </c>
      <c r="K2117" s="89"/>
      <c r="L2117" s="90"/>
      <c r="M2117" s="90"/>
      <c r="P2117" s="68"/>
    </row>
    <row r="2118">
      <c r="A2118" s="95">
        <v>6.75716510169E11</v>
      </c>
      <c r="B2118" s="151" t="s">
        <v>2539</v>
      </c>
      <c r="C2118" s="95" t="s">
        <v>97</v>
      </c>
      <c r="D2118" s="95">
        <v>1.0</v>
      </c>
      <c r="E2118" s="101">
        <v>156.99</v>
      </c>
      <c r="F2118" s="101">
        <f t="shared" si="386"/>
        <v>156.99</v>
      </c>
      <c r="G2118" s="101">
        <f t="shared" si="387"/>
        <v>39.2475</v>
      </c>
      <c r="H2118" s="95" t="s">
        <v>2531</v>
      </c>
      <c r="J2118" s="247" t="s">
        <v>2538</v>
      </c>
      <c r="K2118" s="89"/>
      <c r="L2118" s="90"/>
      <c r="M2118" s="90"/>
      <c r="P2118" s="68"/>
    </row>
    <row r="2119">
      <c r="A2119" s="95">
        <v>6.75716550752E11</v>
      </c>
      <c r="B2119" s="151" t="s">
        <v>2484</v>
      </c>
      <c r="C2119" s="95" t="s">
        <v>97</v>
      </c>
      <c r="D2119" s="95">
        <v>2.0</v>
      </c>
      <c r="E2119" s="101">
        <v>34.99</v>
      </c>
      <c r="F2119" s="101">
        <f t="shared" si="386"/>
        <v>69.98</v>
      </c>
      <c r="G2119" s="101">
        <f t="shared" si="387"/>
        <v>17.495</v>
      </c>
      <c r="H2119" s="95" t="s">
        <v>2483</v>
      </c>
      <c r="J2119" s="247" t="s">
        <v>2538</v>
      </c>
      <c r="K2119" s="89"/>
      <c r="L2119" s="90"/>
      <c r="M2119" s="90"/>
      <c r="P2119" s="68"/>
    </row>
    <row r="2120">
      <c r="A2120" s="95">
        <v>6.75716780739E11</v>
      </c>
      <c r="B2120" s="151" t="s">
        <v>2540</v>
      </c>
      <c r="C2120" s="95" t="s">
        <v>97</v>
      </c>
      <c r="D2120" s="95">
        <v>1.0</v>
      </c>
      <c r="E2120" s="101">
        <v>99.99</v>
      </c>
      <c r="F2120" s="101">
        <f t="shared" si="386"/>
        <v>99.99</v>
      </c>
      <c r="G2120" s="101">
        <f t="shared" si="387"/>
        <v>24.9975</v>
      </c>
      <c r="H2120" s="95" t="s">
        <v>2483</v>
      </c>
      <c r="J2120" s="247" t="s">
        <v>2538</v>
      </c>
      <c r="K2120" s="89"/>
      <c r="L2120" s="90"/>
      <c r="M2120" s="90"/>
      <c r="P2120" s="68"/>
    </row>
    <row r="2121">
      <c r="A2121" s="95">
        <v>6.75716791117E11</v>
      </c>
      <c r="B2121" s="151" t="s">
        <v>2530</v>
      </c>
      <c r="C2121" s="95" t="s">
        <v>97</v>
      </c>
      <c r="D2121" s="95">
        <v>1.0</v>
      </c>
      <c r="E2121" s="101">
        <v>32.99</v>
      </c>
      <c r="F2121" s="101">
        <f t="shared" si="386"/>
        <v>32.99</v>
      </c>
      <c r="G2121" s="101">
        <f t="shared" si="387"/>
        <v>8.2475</v>
      </c>
      <c r="H2121" s="95" t="s">
        <v>2531</v>
      </c>
      <c r="J2121" s="247" t="s">
        <v>2538</v>
      </c>
      <c r="K2121" s="89"/>
      <c r="L2121" s="90"/>
      <c r="M2121" s="90"/>
      <c r="P2121" s="68"/>
    </row>
    <row r="2122">
      <c r="A2122" s="95">
        <v>8.83893505438E11</v>
      </c>
      <c r="B2122" s="151" t="s">
        <v>2541</v>
      </c>
      <c r="C2122" s="95" t="s">
        <v>97</v>
      </c>
      <c r="D2122" s="95">
        <v>1.0</v>
      </c>
      <c r="E2122" s="101">
        <v>59.99</v>
      </c>
      <c r="F2122" s="101">
        <f t="shared" si="386"/>
        <v>59.99</v>
      </c>
      <c r="G2122" s="101">
        <f t="shared" si="387"/>
        <v>14.9975</v>
      </c>
      <c r="H2122" s="95" t="s">
        <v>2542</v>
      </c>
      <c r="J2122" s="247" t="s">
        <v>2538</v>
      </c>
      <c r="K2122" s="89"/>
      <c r="L2122" s="90"/>
      <c r="M2122" s="90"/>
      <c r="P2122" s="68"/>
    </row>
    <row r="2123">
      <c r="A2123" s="211"/>
      <c r="B2123" s="231" t="s">
        <v>2543</v>
      </c>
      <c r="C2123" s="234" t="str">
        <f>MID($B2123,6,7)</f>
        <v>GR18299</v>
      </c>
      <c r="D2123" s="231"/>
      <c r="E2123" s="231"/>
      <c r="F2123" s="231">
        <f t="shared" si="386"/>
        <v>0</v>
      </c>
      <c r="G2123" s="231">
        <f t="shared" si="387"/>
        <v>0</v>
      </c>
      <c r="H2123" s="235">
        <v>44560.0</v>
      </c>
      <c r="J2123" s="108" t="str">
        <f>IF(LEFT(B2123,3)="Box","BOX","COUNT")</f>
        <v>BOX</v>
      </c>
      <c r="K2123" s="99">
        <f>SUMIF($J$4:$J$8712,$C2123,$D$4:$D$8712)</f>
        <v>11</v>
      </c>
      <c r="L2123" s="50">
        <f>SUMIF($J$4:$J$8712,$C2123,$F$4:$F$8712)</f>
        <v>557.89</v>
      </c>
      <c r="M2123" s="50">
        <f>SUMIF($J$4:$J$8712,$C2123,$G$4:$G$8712)</f>
        <v>139.4725</v>
      </c>
      <c r="N2123" s="70" t="str">
        <f>C2123</f>
        <v>GR18299</v>
      </c>
      <c r="O2123" s="70" t="str">
        <f>J2124</f>
        <v>NSHIP</v>
      </c>
      <c r="P2123" s="68">
        <f>M2123</f>
        <v>139.4725</v>
      </c>
    </row>
    <row r="2124">
      <c r="A2124" s="211"/>
      <c r="B2124" s="231"/>
      <c r="C2124" s="109"/>
      <c r="D2124" s="109"/>
      <c r="E2124" s="116"/>
      <c r="F2124" s="116">
        <f t="shared" si="386"/>
        <v>0</v>
      </c>
      <c r="G2124" s="116">
        <f t="shared" si="387"/>
        <v>0</v>
      </c>
      <c r="H2124" s="109"/>
      <c r="J2124" s="108" t="str">
        <f>IF(B2124="","NSHIP","SHIP")</f>
        <v>NSHIP</v>
      </c>
      <c r="K2124" s="99">
        <f>IF($J2124="NSHIP",0,-SUMIF($J$4:$J$8712,$C2123,$D$4:$D$8712))</f>
        <v>0</v>
      </c>
      <c r="L2124" s="50">
        <f>IF($J2124="NSHIP",0,-SUMIF($J$4:$J$8710,$C2123,$F$4:$F$8710))</f>
        <v>0</v>
      </c>
      <c r="M2124" s="50">
        <f>IF($J2124="NSHIP",0,-SUMIF($J$4:$J$8710,$C2123,$G$4:$G$8710))</f>
        <v>0</v>
      </c>
      <c r="P2124" s="68"/>
    </row>
    <row r="2125">
      <c r="A2125" s="95">
        <v>2.9927435177E10</v>
      </c>
      <c r="B2125" s="151" t="s">
        <v>2544</v>
      </c>
      <c r="C2125" s="95" t="s">
        <v>97</v>
      </c>
      <c r="D2125" s="95">
        <v>4.0</v>
      </c>
      <c r="E2125" s="101">
        <v>17.99</v>
      </c>
      <c r="F2125" s="101">
        <f t="shared" si="386"/>
        <v>71.96</v>
      </c>
      <c r="G2125" s="101">
        <f t="shared" si="387"/>
        <v>17.99</v>
      </c>
      <c r="H2125" s="95" t="s">
        <v>2479</v>
      </c>
      <c r="J2125" s="247" t="s">
        <v>2545</v>
      </c>
      <c r="K2125" s="89"/>
      <c r="L2125" s="90"/>
      <c r="M2125" s="90"/>
      <c r="P2125" s="68"/>
    </row>
    <row r="2126">
      <c r="A2126" s="95">
        <v>8.6569030382E10</v>
      </c>
      <c r="B2126" s="151" t="s">
        <v>2546</v>
      </c>
      <c r="C2126" s="95" t="s">
        <v>97</v>
      </c>
      <c r="D2126" s="95">
        <v>1.0</v>
      </c>
      <c r="E2126" s="101">
        <v>244.99</v>
      </c>
      <c r="F2126" s="101">
        <f t="shared" si="386"/>
        <v>244.99</v>
      </c>
      <c r="G2126" s="101">
        <f t="shared" si="387"/>
        <v>61.2475</v>
      </c>
      <c r="H2126" s="95" t="s">
        <v>2483</v>
      </c>
      <c r="J2126" s="247" t="s">
        <v>2545</v>
      </c>
      <c r="K2126" s="89"/>
      <c r="L2126" s="90"/>
      <c r="M2126" s="90"/>
      <c r="P2126" s="68"/>
    </row>
    <row r="2127">
      <c r="A2127" s="95">
        <v>6.75716470777E11</v>
      </c>
      <c r="B2127" s="151" t="s">
        <v>2547</v>
      </c>
      <c r="C2127" s="95" t="s">
        <v>97</v>
      </c>
      <c r="D2127" s="95">
        <v>1.0</v>
      </c>
      <c r="E2127" s="101">
        <v>31.99</v>
      </c>
      <c r="F2127" s="101">
        <f t="shared" si="386"/>
        <v>31.99</v>
      </c>
      <c r="G2127" s="101">
        <f t="shared" si="387"/>
        <v>7.9975</v>
      </c>
      <c r="H2127" s="95" t="s">
        <v>2483</v>
      </c>
      <c r="J2127" s="247" t="s">
        <v>2545</v>
      </c>
      <c r="K2127" s="89"/>
      <c r="L2127" s="90"/>
      <c r="M2127" s="90"/>
      <c r="P2127" s="68"/>
    </row>
    <row r="2128">
      <c r="A2128" s="95">
        <v>6.75716783303E11</v>
      </c>
      <c r="B2128" s="151" t="s">
        <v>2548</v>
      </c>
      <c r="C2128" s="95" t="s">
        <v>97</v>
      </c>
      <c r="D2128" s="95">
        <v>1.0</v>
      </c>
      <c r="E2128" s="101">
        <v>88.99</v>
      </c>
      <c r="F2128" s="101">
        <f t="shared" si="386"/>
        <v>88.99</v>
      </c>
      <c r="G2128" s="101">
        <f t="shared" si="387"/>
        <v>22.2475</v>
      </c>
      <c r="H2128" s="95" t="s">
        <v>2483</v>
      </c>
      <c r="J2128" s="247" t="s">
        <v>2545</v>
      </c>
      <c r="K2128" s="89"/>
      <c r="L2128" s="90"/>
      <c r="M2128" s="90"/>
      <c r="P2128" s="68"/>
    </row>
    <row r="2129">
      <c r="A2129" s="95">
        <v>8.40053075033E11</v>
      </c>
      <c r="B2129" s="151" t="s">
        <v>2549</v>
      </c>
      <c r="C2129" s="95" t="s">
        <v>97</v>
      </c>
      <c r="D2129" s="95">
        <v>1.0</v>
      </c>
      <c r="E2129" s="101">
        <v>262.99</v>
      </c>
      <c r="F2129" s="101">
        <f t="shared" si="386"/>
        <v>262.99</v>
      </c>
      <c r="G2129" s="101">
        <f t="shared" si="387"/>
        <v>65.7475</v>
      </c>
      <c r="H2129" s="95" t="s">
        <v>2550</v>
      </c>
      <c r="J2129" s="247" t="s">
        <v>2545</v>
      </c>
      <c r="K2129" s="89"/>
      <c r="L2129" s="90"/>
      <c r="M2129" s="90"/>
      <c r="P2129" s="68"/>
    </row>
    <row r="2130">
      <c r="A2130" s="95">
        <v>8.40444134172E11</v>
      </c>
      <c r="B2130" s="151" t="s">
        <v>2551</v>
      </c>
      <c r="C2130" s="95" t="s">
        <v>97</v>
      </c>
      <c r="D2130" s="95">
        <v>1.0</v>
      </c>
      <c r="E2130" s="101">
        <v>164.99</v>
      </c>
      <c r="F2130" s="101">
        <f t="shared" si="386"/>
        <v>164.99</v>
      </c>
      <c r="G2130" s="101">
        <f t="shared" si="387"/>
        <v>41.2475</v>
      </c>
      <c r="H2130" s="95" t="s">
        <v>2552</v>
      </c>
      <c r="J2130" s="247" t="s">
        <v>2545</v>
      </c>
      <c r="K2130" s="89"/>
      <c r="L2130" s="90"/>
      <c r="M2130" s="90"/>
      <c r="P2130" s="68"/>
    </row>
    <row r="2131">
      <c r="A2131" s="211"/>
      <c r="B2131" s="231" t="s">
        <v>2553</v>
      </c>
      <c r="C2131" s="234" t="str">
        <f>MID($B2131,6,7)</f>
        <v>GR18300</v>
      </c>
      <c r="D2131" s="231"/>
      <c r="E2131" s="231"/>
      <c r="F2131" s="231"/>
      <c r="G2131" s="231"/>
      <c r="H2131" s="235">
        <v>44560.0</v>
      </c>
      <c r="J2131" s="108" t="str">
        <f>IF(LEFT(B2131,3)="Box","BOX","COUNT")</f>
        <v>BOX</v>
      </c>
      <c r="K2131" s="99">
        <f>SUMIF($J$4:$J$8712,$C2131,$D$4:$D$8712)</f>
        <v>9</v>
      </c>
      <c r="L2131" s="50">
        <f>SUMIF($J$4:$J$8712,$C2131,$F$4:$F$8712)</f>
        <v>865.91</v>
      </c>
      <c r="M2131" s="50">
        <f>SUMIF($J$4:$J$8712,$C2131,$G$4:$G$8712)</f>
        <v>216.4775</v>
      </c>
      <c r="N2131" s="70" t="str">
        <f>C2131</f>
        <v>GR18300</v>
      </c>
      <c r="O2131" s="70" t="str">
        <f>J2132</f>
        <v>NSHIP</v>
      </c>
      <c r="P2131" s="68">
        <f>M2131</f>
        <v>216.4775</v>
      </c>
    </row>
    <row r="2132">
      <c r="A2132" s="211"/>
      <c r="B2132" s="231"/>
      <c r="C2132" s="109"/>
      <c r="D2132" s="109"/>
      <c r="E2132" s="116"/>
      <c r="F2132" s="116"/>
      <c r="G2132" s="116"/>
      <c r="H2132" s="109"/>
      <c r="J2132" s="108" t="str">
        <f>IF(B2132="","NSHIP","SHIP")</f>
        <v>NSHIP</v>
      </c>
      <c r="K2132" s="99">
        <f>IF($J2132="NSHIP",0,-SUMIF($J$4:$J$8712,$C2131,$D$4:$D$8712))</f>
        <v>0</v>
      </c>
      <c r="L2132" s="50">
        <f>IF($J2132="NSHIP",0,-SUMIF($J$4:$J$8710,$C2131,$F$4:$F$8710))</f>
        <v>0</v>
      </c>
      <c r="M2132" s="50">
        <f>IF($J2132="NSHIP",0,-SUMIF($J$4:$J$8710,$C2131,$G$4:$G$8710))</f>
        <v>0</v>
      </c>
      <c r="P2132" s="68"/>
    </row>
    <row r="2133">
      <c r="A2133" s="95">
        <v>7.638901246E10</v>
      </c>
      <c r="B2133" s="151" t="s">
        <v>2492</v>
      </c>
      <c r="C2133" s="95" t="s">
        <v>97</v>
      </c>
      <c r="D2133" s="95">
        <v>2.0</v>
      </c>
      <c r="E2133" s="101">
        <v>28.99</v>
      </c>
      <c r="F2133" s="101">
        <f t="shared" ref="F2133:F2140" si="388">E2133*D2133</f>
        <v>57.98</v>
      </c>
      <c r="G2133" s="101">
        <f t="shared" ref="G2133:G2140" si="389">F2133/4</f>
        <v>14.495</v>
      </c>
      <c r="H2133" s="95" t="s">
        <v>2493</v>
      </c>
      <c r="J2133" s="247" t="s">
        <v>2554</v>
      </c>
      <c r="K2133" s="89"/>
      <c r="L2133" s="90"/>
      <c r="M2133" s="90"/>
      <c r="P2133" s="68"/>
    </row>
    <row r="2134">
      <c r="A2134" s="95">
        <v>8.6569004956E10</v>
      </c>
      <c r="B2134" s="151" t="s">
        <v>2555</v>
      </c>
      <c r="C2134" s="95" t="s">
        <v>97</v>
      </c>
      <c r="D2134" s="95">
        <v>1.0</v>
      </c>
      <c r="E2134" s="101">
        <v>62.99</v>
      </c>
      <c r="F2134" s="101">
        <f t="shared" si="388"/>
        <v>62.99</v>
      </c>
      <c r="G2134" s="101">
        <f t="shared" si="389"/>
        <v>15.7475</v>
      </c>
      <c r="H2134" s="95" t="s">
        <v>2483</v>
      </c>
      <c r="J2134" s="247" t="s">
        <v>2554</v>
      </c>
      <c r="K2134" s="89"/>
      <c r="L2134" s="90"/>
      <c r="M2134" s="90"/>
      <c r="P2134" s="68"/>
    </row>
    <row r="2135">
      <c r="A2135" s="95">
        <v>8.6569037237E10</v>
      </c>
      <c r="B2135" s="151" t="s">
        <v>2556</v>
      </c>
      <c r="C2135" s="95" t="s">
        <v>97</v>
      </c>
      <c r="D2135" s="95">
        <v>1.0</v>
      </c>
      <c r="E2135" s="101">
        <v>44.99</v>
      </c>
      <c r="F2135" s="101">
        <f t="shared" si="388"/>
        <v>44.99</v>
      </c>
      <c r="G2135" s="101">
        <f t="shared" si="389"/>
        <v>11.2475</v>
      </c>
      <c r="H2135" s="95" t="s">
        <v>2483</v>
      </c>
      <c r="J2135" s="247" t="s">
        <v>2554</v>
      </c>
      <c r="K2135" s="89"/>
      <c r="L2135" s="90"/>
      <c r="M2135" s="90"/>
      <c r="P2135" s="68"/>
    </row>
    <row r="2136">
      <c r="A2136" s="95">
        <v>8.6569302175E10</v>
      </c>
      <c r="B2136" s="151" t="s">
        <v>2557</v>
      </c>
      <c r="C2136" s="95" t="s">
        <v>97</v>
      </c>
      <c r="D2136" s="95">
        <v>1.0</v>
      </c>
      <c r="E2136" s="101">
        <v>72.99</v>
      </c>
      <c r="F2136" s="101">
        <f t="shared" si="388"/>
        <v>72.99</v>
      </c>
      <c r="G2136" s="101">
        <f t="shared" si="389"/>
        <v>18.2475</v>
      </c>
      <c r="H2136" s="95" t="s">
        <v>2483</v>
      </c>
      <c r="J2136" s="247" t="s">
        <v>2554</v>
      </c>
      <c r="K2136" s="89"/>
      <c r="L2136" s="90"/>
      <c r="M2136" s="90"/>
      <c r="P2136" s="68"/>
    </row>
    <row r="2137">
      <c r="A2137" s="95">
        <v>8.6569915955E10</v>
      </c>
      <c r="B2137" s="151" t="s">
        <v>2558</v>
      </c>
      <c r="C2137" s="95" t="s">
        <v>97</v>
      </c>
      <c r="D2137" s="95">
        <v>1.0</v>
      </c>
      <c r="E2137" s="101">
        <v>199.99</v>
      </c>
      <c r="F2137" s="101">
        <f t="shared" si="388"/>
        <v>199.99</v>
      </c>
      <c r="G2137" s="101">
        <f t="shared" si="389"/>
        <v>49.9975</v>
      </c>
      <c r="H2137" s="95" t="s">
        <v>2510</v>
      </c>
      <c r="J2137" s="247" t="s">
        <v>2554</v>
      </c>
      <c r="K2137" s="89"/>
      <c r="L2137" s="90"/>
      <c r="M2137" s="90"/>
      <c r="P2137" s="68"/>
    </row>
    <row r="2138">
      <c r="A2138" s="95">
        <v>8.6569968036E10</v>
      </c>
      <c r="B2138" s="151" t="s">
        <v>2559</v>
      </c>
      <c r="C2138" s="95" t="s">
        <v>97</v>
      </c>
      <c r="D2138" s="95">
        <v>1.0</v>
      </c>
      <c r="E2138" s="101">
        <v>119.99</v>
      </c>
      <c r="F2138" s="101">
        <f t="shared" si="388"/>
        <v>119.99</v>
      </c>
      <c r="G2138" s="101">
        <f t="shared" si="389"/>
        <v>29.9975</v>
      </c>
      <c r="H2138" s="95" t="s">
        <v>2483</v>
      </c>
      <c r="J2138" s="247" t="s">
        <v>2554</v>
      </c>
      <c r="K2138" s="89"/>
      <c r="L2138" s="90"/>
      <c r="M2138" s="90"/>
      <c r="P2138" s="68"/>
    </row>
    <row r="2139">
      <c r="A2139" s="95">
        <v>6.75716802257E11</v>
      </c>
      <c r="B2139" s="151" t="s">
        <v>2560</v>
      </c>
      <c r="C2139" s="95" t="s">
        <v>97</v>
      </c>
      <c r="D2139" s="95">
        <v>1.0</v>
      </c>
      <c r="E2139" s="101">
        <v>27.99</v>
      </c>
      <c r="F2139" s="101">
        <f t="shared" si="388"/>
        <v>27.99</v>
      </c>
      <c r="G2139" s="101">
        <f t="shared" si="389"/>
        <v>6.9975</v>
      </c>
      <c r="H2139" s="95" t="s">
        <v>2483</v>
      </c>
      <c r="J2139" s="247" t="s">
        <v>2554</v>
      </c>
      <c r="K2139" s="89"/>
      <c r="L2139" s="90"/>
      <c r="M2139" s="90"/>
      <c r="P2139" s="68"/>
    </row>
    <row r="2140">
      <c r="A2140" s="95">
        <v>7.83048998477E11</v>
      </c>
      <c r="B2140" s="151" t="s">
        <v>2561</v>
      </c>
      <c r="C2140" s="95" t="s">
        <v>97</v>
      </c>
      <c r="D2140" s="95">
        <v>1.0</v>
      </c>
      <c r="E2140" s="101">
        <v>38.99</v>
      </c>
      <c r="F2140" s="101">
        <f t="shared" si="388"/>
        <v>38.99</v>
      </c>
      <c r="G2140" s="101">
        <f t="shared" si="389"/>
        <v>9.7475</v>
      </c>
      <c r="H2140" s="95" t="s">
        <v>2514</v>
      </c>
      <c r="J2140" s="247" t="s">
        <v>2554</v>
      </c>
      <c r="K2140" s="89"/>
      <c r="L2140" s="90"/>
      <c r="M2140" s="90"/>
      <c r="P2140" s="68"/>
    </row>
    <row r="2141">
      <c r="A2141" s="211"/>
      <c r="B2141" s="231" t="s">
        <v>2562</v>
      </c>
      <c r="C2141" s="234" t="str">
        <f>MID($B2141,6,7)</f>
        <v>GR18301</v>
      </c>
      <c r="D2141" s="231"/>
      <c r="E2141" s="231"/>
      <c r="F2141" s="231"/>
      <c r="G2141" s="231"/>
      <c r="H2141" s="235">
        <v>44560.0</v>
      </c>
      <c r="J2141" s="108" t="str">
        <f>IF(LEFT(B2141,3)="Box","BOX","COUNT")</f>
        <v>BOX</v>
      </c>
      <c r="K2141" s="99">
        <f>SUMIF($J$4:$J$8712,$C2141,$D$4:$D$8712)</f>
        <v>9</v>
      </c>
      <c r="L2141" s="50">
        <f>SUMIF($J$4:$J$8712,$C2141,$F$4:$F$8712)</f>
        <v>625.91</v>
      </c>
      <c r="M2141" s="50">
        <f>SUMIF($J$4:$J$8712,$C2141,$G$4:$G$8712)</f>
        <v>156.4775</v>
      </c>
      <c r="N2141" s="70" t="str">
        <f>C2141</f>
        <v>GR18301</v>
      </c>
      <c r="O2141" s="70" t="str">
        <f>J2142</f>
        <v>NSHIP</v>
      </c>
      <c r="P2141" s="68">
        <f>M2141</f>
        <v>156.4775</v>
      </c>
    </row>
    <row r="2142">
      <c r="A2142" s="211"/>
      <c r="B2142" s="231"/>
      <c r="C2142" s="109"/>
      <c r="D2142" s="109"/>
      <c r="E2142" s="116"/>
      <c r="F2142" s="116"/>
      <c r="G2142" s="116"/>
      <c r="H2142" s="109"/>
      <c r="J2142" s="108" t="str">
        <f>IF(B2142="","NSHIP","SHIP")</f>
        <v>NSHIP</v>
      </c>
      <c r="K2142" s="99">
        <f>IF($J2142="NSHIP",0,-SUMIF($J$4:$J$8712,$C2141,$D$4:$D$8712))</f>
        <v>0</v>
      </c>
      <c r="L2142" s="50">
        <f>IF($J2142="NSHIP",0,-SUMIF($J$4:$J$8710,$C2141,$F$4:$F$8710))</f>
        <v>0</v>
      </c>
      <c r="M2142" s="50">
        <f>IF($J2142="NSHIP",0,-SUMIF($J$4:$J$8710,$C2141,$G$4:$G$8710))</f>
        <v>0</v>
      </c>
      <c r="P2142" s="68"/>
    </row>
    <row r="2143">
      <c r="A2143" s="95">
        <v>2.7399035505E10</v>
      </c>
      <c r="B2143" s="151" t="s">
        <v>2536</v>
      </c>
      <c r="C2143" s="95" t="s">
        <v>97</v>
      </c>
      <c r="D2143" s="95">
        <v>1.0</v>
      </c>
      <c r="E2143" s="101">
        <v>39.99</v>
      </c>
      <c r="F2143" s="101">
        <f t="shared" ref="F2143:F2156" si="390">E2143*D2143</f>
        <v>39.99</v>
      </c>
      <c r="G2143" s="101">
        <f t="shared" ref="G2143:G2156" si="391">F2143/4</f>
        <v>9.9975</v>
      </c>
      <c r="H2143" s="95" t="s">
        <v>2537</v>
      </c>
      <c r="J2143" s="247" t="s">
        <v>1989</v>
      </c>
      <c r="K2143" s="89"/>
      <c r="L2143" s="90"/>
      <c r="M2143" s="90"/>
      <c r="P2143" s="68"/>
    </row>
    <row r="2144">
      <c r="A2144" s="95">
        <v>2.9927435177E10</v>
      </c>
      <c r="B2144" s="151" t="s">
        <v>2544</v>
      </c>
      <c r="C2144" s="95" t="s">
        <v>97</v>
      </c>
      <c r="D2144" s="95">
        <v>1.0</v>
      </c>
      <c r="E2144" s="101">
        <v>17.99</v>
      </c>
      <c r="F2144" s="101">
        <f t="shared" si="390"/>
        <v>17.99</v>
      </c>
      <c r="G2144" s="101">
        <f t="shared" si="391"/>
        <v>4.4975</v>
      </c>
      <c r="H2144" s="95" t="s">
        <v>2479</v>
      </c>
      <c r="J2144" s="247" t="s">
        <v>1989</v>
      </c>
      <c r="K2144" s="89"/>
      <c r="L2144" s="90"/>
      <c r="M2144" s="90"/>
      <c r="P2144" s="68"/>
    </row>
    <row r="2145">
      <c r="A2145" s="95">
        <v>2.9927450842E10</v>
      </c>
      <c r="B2145" s="151" t="s">
        <v>2563</v>
      </c>
      <c r="C2145" s="95" t="s">
        <v>97</v>
      </c>
      <c r="D2145" s="95">
        <v>1.0</v>
      </c>
      <c r="E2145" s="101">
        <v>15.99</v>
      </c>
      <c r="F2145" s="101">
        <f t="shared" si="390"/>
        <v>15.99</v>
      </c>
      <c r="G2145" s="101">
        <f t="shared" si="391"/>
        <v>3.9975</v>
      </c>
      <c r="H2145" s="95" t="s">
        <v>2479</v>
      </c>
      <c r="J2145" s="247" t="s">
        <v>1989</v>
      </c>
      <c r="K2145" s="89"/>
      <c r="L2145" s="90"/>
      <c r="M2145" s="90"/>
      <c r="P2145" s="68"/>
    </row>
    <row r="2146">
      <c r="A2146" s="95">
        <v>2.9927473735E10</v>
      </c>
      <c r="B2146" s="151" t="s">
        <v>2564</v>
      </c>
      <c r="C2146" s="95" t="s">
        <v>97</v>
      </c>
      <c r="D2146" s="95">
        <v>1.0</v>
      </c>
      <c r="E2146" s="101">
        <v>36.99</v>
      </c>
      <c r="F2146" s="101">
        <f t="shared" si="390"/>
        <v>36.99</v>
      </c>
      <c r="G2146" s="101">
        <f t="shared" si="391"/>
        <v>9.2475</v>
      </c>
      <c r="H2146" s="95" t="s">
        <v>2479</v>
      </c>
      <c r="J2146" s="247" t="s">
        <v>1989</v>
      </c>
      <c r="K2146" s="89"/>
      <c r="L2146" s="90"/>
      <c r="M2146" s="90"/>
      <c r="P2146" s="68"/>
    </row>
    <row r="2147">
      <c r="A2147" s="95">
        <v>3.8992030194E10</v>
      </c>
      <c r="B2147" s="151" t="s">
        <v>2565</v>
      </c>
      <c r="C2147" s="95" t="s">
        <v>97</v>
      </c>
      <c r="D2147" s="95">
        <v>1.0</v>
      </c>
      <c r="E2147" s="101">
        <v>49.99</v>
      </c>
      <c r="F2147" s="101">
        <f t="shared" si="390"/>
        <v>49.99</v>
      </c>
      <c r="G2147" s="101">
        <f t="shared" si="391"/>
        <v>12.4975</v>
      </c>
      <c r="H2147" s="95" t="s">
        <v>2566</v>
      </c>
      <c r="J2147" s="247" t="s">
        <v>1989</v>
      </c>
      <c r="K2147" s="89"/>
      <c r="L2147" s="90"/>
      <c r="M2147" s="90"/>
      <c r="P2147" s="68"/>
    </row>
    <row r="2148">
      <c r="A2148" s="95">
        <v>8.6569896711E10</v>
      </c>
      <c r="B2148" s="151" t="s">
        <v>2567</v>
      </c>
      <c r="C2148" s="95" t="s">
        <v>97</v>
      </c>
      <c r="D2148" s="95">
        <v>1.0</v>
      </c>
      <c r="E2148" s="101">
        <v>46.49</v>
      </c>
      <c r="F2148" s="101">
        <f t="shared" si="390"/>
        <v>46.49</v>
      </c>
      <c r="G2148" s="101">
        <f t="shared" si="391"/>
        <v>11.6225</v>
      </c>
      <c r="H2148" s="95" t="s">
        <v>2568</v>
      </c>
      <c r="J2148" s="247" t="s">
        <v>1989</v>
      </c>
      <c r="K2148" s="89"/>
      <c r="L2148" s="90"/>
      <c r="M2148" s="90"/>
      <c r="P2148" s="68"/>
    </row>
    <row r="2149">
      <c r="A2149" s="95">
        <v>6.75716534998E11</v>
      </c>
      <c r="B2149" s="151" t="s">
        <v>2569</v>
      </c>
      <c r="C2149" s="95" t="s">
        <v>97</v>
      </c>
      <c r="D2149" s="95">
        <v>1.0</v>
      </c>
      <c r="E2149" s="101">
        <v>159.99</v>
      </c>
      <c r="F2149" s="101">
        <f t="shared" si="390"/>
        <v>159.99</v>
      </c>
      <c r="G2149" s="101">
        <f t="shared" si="391"/>
        <v>39.9975</v>
      </c>
      <c r="H2149" s="95" t="s">
        <v>2483</v>
      </c>
      <c r="J2149" s="247" t="s">
        <v>1989</v>
      </c>
      <c r="K2149" s="89"/>
      <c r="L2149" s="90"/>
      <c r="M2149" s="90"/>
      <c r="P2149" s="68"/>
    </row>
    <row r="2150">
      <c r="A2150" s="95">
        <v>6.75716569037E11</v>
      </c>
      <c r="B2150" s="151" t="s">
        <v>2570</v>
      </c>
      <c r="C2150" s="95" t="s">
        <v>97</v>
      </c>
      <c r="D2150" s="95">
        <v>1.0</v>
      </c>
      <c r="E2150" s="101">
        <v>44.11</v>
      </c>
      <c r="F2150" s="101">
        <f t="shared" si="390"/>
        <v>44.11</v>
      </c>
      <c r="G2150" s="101">
        <f t="shared" si="391"/>
        <v>11.0275</v>
      </c>
      <c r="H2150" s="95" t="s">
        <v>2568</v>
      </c>
      <c r="J2150" s="247" t="s">
        <v>1989</v>
      </c>
      <c r="K2150" s="89"/>
      <c r="L2150" s="90"/>
      <c r="M2150" s="90"/>
      <c r="P2150" s="68"/>
    </row>
    <row r="2151">
      <c r="A2151" s="95">
        <v>6.75716964009E11</v>
      </c>
      <c r="B2151" s="151" t="s">
        <v>2571</v>
      </c>
      <c r="C2151" s="95" t="s">
        <v>97</v>
      </c>
      <c r="D2151" s="95">
        <v>2.0</v>
      </c>
      <c r="E2151" s="101">
        <v>25.99</v>
      </c>
      <c r="F2151" s="101">
        <f t="shared" si="390"/>
        <v>51.98</v>
      </c>
      <c r="G2151" s="101">
        <f t="shared" si="391"/>
        <v>12.995</v>
      </c>
      <c r="H2151" s="95" t="s">
        <v>2483</v>
      </c>
      <c r="J2151" s="247" t="s">
        <v>1989</v>
      </c>
      <c r="K2151" s="89"/>
      <c r="L2151" s="90"/>
      <c r="M2151" s="90"/>
      <c r="P2151" s="68"/>
    </row>
    <row r="2152">
      <c r="A2152" s="95">
        <v>6.93614011465E11</v>
      </c>
      <c r="B2152" s="151" t="s">
        <v>2496</v>
      </c>
      <c r="C2152" s="95" t="s">
        <v>97</v>
      </c>
      <c r="D2152" s="95">
        <v>1.0</v>
      </c>
      <c r="E2152" s="101">
        <v>29.99</v>
      </c>
      <c r="F2152" s="101">
        <f t="shared" si="390"/>
        <v>29.99</v>
      </c>
      <c r="G2152" s="101">
        <f t="shared" si="391"/>
        <v>7.4975</v>
      </c>
      <c r="H2152" s="95" t="s">
        <v>2497</v>
      </c>
      <c r="J2152" s="247" t="s">
        <v>1989</v>
      </c>
      <c r="K2152" s="89"/>
      <c r="L2152" s="90"/>
      <c r="M2152" s="90"/>
      <c r="P2152" s="68"/>
    </row>
    <row r="2153">
      <c r="A2153" s="95">
        <v>7.35732106484E11</v>
      </c>
      <c r="B2153" s="151" t="s">
        <v>2511</v>
      </c>
      <c r="C2153" s="95" t="s">
        <v>97</v>
      </c>
      <c r="D2153" s="95">
        <v>1.0</v>
      </c>
      <c r="E2153" s="101">
        <v>24.99</v>
      </c>
      <c r="F2153" s="101">
        <f t="shared" si="390"/>
        <v>24.99</v>
      </c>
      <c r="G2153" s="101">
        <f t="shared" si="391"/>
        <v>6.2475</v>
      </c>
      <c r="H2153" s="95" t="s">
        <v>2512</v>
      </c>
      <c r="J2153" s="247" t="s">
        <v>1989</v>
      </c>
      <c r="K2153" s="89"/>
      <c r="L2153" s="90"/>
      <c r="M2153" s="90"/>
      <c r="P2153" s="68"/>
    </row>
    <row r="2154">
      <c r="A2154" s="95">
        <v>7.66195490438E11</v>
      </c>
      <c r="B2154" s="151" t="s">
        <v>2572</v>
      </c>
      <c r="C2154" s="95" t="s">
        <v>97</v>
      </c>
      <c r="D2154" s="95">
        <v>1.0</v>
      </c>
      <c r="E2154" s="101">
        <v>3.99</v>
      </c>
      <c r="F2154" s="101">
        <f t="shared" si="390"/>
        <v>3.99</v>
      </c>
      <c r="G2154" s="101">
        <f t="shared" si="391"/>
        <v>0.9975</v>
      </c>
      <c r="H2154" s="95" t="s">
        <v>2573</v>
      </c>
      <c r="J2154" s="247" t="s">
        <v>1989</v>
      </c>
      <c r="K2154" s="89"/>
      <c r="L2154" s="90"/>
      <c r="M2154" s="90"/>
      <c r="P2154" s="68"/>
    </row>
    <row r="2155">
      <c r="A2155" s="95">
        <v>8.85308097101E11</v>
      </c>
      <c r="B2155" s="151" t="s">
        <v>2574</v>
      </c>
      <c r="C2155" s="95" t="s">
        <v>97</v>
      </c>
      <c r="D2155" s="95">
        <v>1.0</v>
      </c>
      <c r="E2155" s="101">
        <v>26.99</v>
      </c>
      <c r="F2155" s="101">
        <f t="shared" si="390"/>
        <v>26.99</v>
      </c>
      <c r="G2155" s="101">
        <f t="shared" si="391"/>
        <v>6.7475</v>
      </c>
      <c r="H2155" s="95" t="s">
        <v>2575</v>
      </c>
      <c r="J2155" s="247" t="s">
        <v>1989</v>
      </c>
      <c r="K2155" s="89"/>
      <c r="L2155" s="90"/>
      <c r="M2155" s="90"/>
      <c r="P2155" s="68"/>
    </row>
    <row r="2156">
      <c r="A2156" s="95">
        <v>8.85308238726E11</v>
      </c>
      <c r="B2156" s="151" t="s">
        <v>2576</v>
      </c>
      <c r="C2156" s="95" t="s">
        <v>97</v>
      </c>
      <c r="D2156" s="95">
        <v>1.0</v>
      </c>
      <c r="E2156" s="101">
        <v>49.99</v>
      </c>
      <c r="F2156" s="101">
        <f t="shared" si="390"/>
        <v>49.99</v>
      </c>
      <c r="G2156" s="101">
        <f t="shared" si="391"/>
        <v>12.4975</v>
      </c>
      <c r="H2156" s="95" t="s">
        <v>2575</v>
      </c>
      <c r="J2156" s="247" t="s">
        <v>1989</v>
      </c>
      <c r="K2156" s="89"/>
      <c r="L2156" s="90"/>
      <c r="M2156" s="90"/>
      <c r="P2156" s="68"/>
    </row>
    <row r="2157">
      <c r="A2157" s="211"/>
      <c r="B2157" s="231" t="s">
        <v>2577</v>
      </c>
      <c r="C2157" s="234" t="str">
        <f>MID($B2157,6,7)</f>
        <v>GR18302</v>
      </c>
      <c r="D2157" s="231"/>
      <c r="E2157" s="231"/>
      <c r="F2157" s="231"/>
      <c r="G2157" s="231"/>
      <c r="H2157" s="235">
        <v>44560.0</v>
      </c>
      <c r="J2157" s="108" t="str">
        <f>IF(LEFT(B2157,3)="Box","BOX","COUNT")</f>
        <v>BOX</v>
      </c>
      <c r="K2157" s="99">
        <f>SUMIF($J$4:$J$8712,$C2157,$D$4:$D$8712)</f>
        <v>31</v>
      </c>
      <c r="L2157" s="50">
        <f>SUMIF($J$4:$J$8712,$C2157,$F$4:$F$8712)</f>
        <v>3084.46</v>
      </c>
      <c r="M2157" s="50">
        <f>SUMIF($J$4:$J$8712,$C2157,$G$4:$G$8712)</f>
        <v>978.1975</v>
      </c>
      <c r="N2157" s="70" t="str">
        <f>C2157</f>
        <v>GR18302</v>
      </c>
      <c r="O2157" s="70" t="str">
        <f>J2158</f>
        <v>NSHIP</v>
      </c>
      <c r="P2157" s="68">
        <f>M2157</f>
        <v>978.1975</v>
      </c>
    </row>
    <row r="2158">
      <c r="A2158" s="211"/>
      <c r="B2158" s="231"/>
      <c r="C2158" s="109"/>
      <c r="D2158" s="109"/>
      <c r="E2158" s="116"/>
      <c r="F2158" s="116"/>
      <c r="G2158" s="116"/>
      <c r="H2158" s="109"/>
      <c r="J2158" s="108" t="str">
        <f>IF(B2158="","NSHIP","SHIP")</f>
        <v>NSHIP</v>
      </c>
      <c r="K2158" s="99">
        <f>IF($J2158="NSHIP",0,-SUMIF($J$4:$J$8712,$C2157,$D$4:$D$8712))</f>
        <v>0</v>
      </c>
      <c r="L2158" s="50">
        <f>IF($J2158="NSHIP",0,-SUMIF($J$4:$J$8710,$C2157,$F$4:$F$8710))</f>
        <v>0</v>
      </c>
      <c r="M2158" s="50">
        <f>IF($J2158="NSHIP",0,-SUMIF($J$4:$J$8710,$C2157,$G$4:$G$8710))</f>
        <v>0</v>
      </c>
      <c r="P2158" s="68"/>
    </row>
    <row r="2159">
      <c r="A2159" s="95">
        <v>2.9927440485E10</v>
      </c>
      <c r="B2159" s="151" t="s">
        <v>2488</v>
      </c>
      <c r="C2159" s="95" t="s">
        <v>97</v>
      </c>
      <c r="D2159" s="95">
        <v>1.0</v>
      </c>
      <c r="E2159" s="101">
        <v>14.99</v>
      </c>
      <c r="F2159" s="101">
        <f t="shared" ref="F2159:F2179" si="392">E2159*D2159</f>
        <v>14.99</v>
      </c>
      <c r="G2159" s="101">
        <f t="shared" ref="G2159:G2179" si="393">F2159/4</f>
        <v>3.7475</v>
      </c>
      <c r="H2159" s="95" t="s">
        <v>2479</v>
      </c>
      <c r="J2159" s="247" t="s">
        <v>2578</v>
      </c>
      <c r="K2159" s="89"/>
      <c r="L2159" s="90"/>
      <c r="M2159" s="90"/>
      <c r="P2159" s="68"/>
    </row>
    <row r="2160">
      <c r="A2160" s="95">
        <v>7.638901246E10</v>
      </c>
      <c r="B2160" s="151" t="s">
        <v>2492</v>
      </c>
      <c r="C2160" s="95" t="s">
        <v>97</v>
      </c>
      <c r="D2160" s="95">
        <v>1.0</v>
      </c>
      <c r="E2160" s="101">
        <v>28.99</v>
      </c>
      <c r="F2160" s="101">
        <f t="shared" si="392"/>
        <v>28.99</v>
      </c>
      <c r="G2160" s="101">
        <f t="shared" si="393"/>
        <v>7.2475</v>
      </c>
      <c r="H2160" s="95" t="s">
        <v>2493</v>
      </c>
      <c r="J2160" s="247" t="s">
        <v>2578</v>
      </c>
      <c r="K2160" s="89"/>
      <c r="L2160" s="90"/>
      <c r="M2160" s="90"/>
      <c r="P2160" s="68"/>
    </row>
    <row r="2161">
      <c r="A2161" s="95">
        <v>8.6569286895E10</v>
      </c>
      <c r="B2161" s="151" t="s">
        <v>2579</v>
      </c>
      <c r="C2161" s="95" t="s">
        <v>97</v>
      </c>
      <c r="D2161" s="95">
        <v>1.0</v>
      </c>
      <c r="E2161" s="101">
        <v>31.99</v>
      </c>
      <c r="F2161" s="101">
        <f t="shared" si="392"/>
        <v>31.99</v>
      </c>
      <c r="G2161" s="101">
        <f t="shared" si="393"/>
        <v>7.9975</v>
      </c>
      <c r="H2161" s="95" t="s">
        <v>2483</v>
      </c>
      <c r="J2161" s="247" t="s">
        <v>2578</v>
      </c>
      <c r="K2161" s="89"/>
      <c r="L2161" s="90"/>
      <c r="M2161" s="90"/>
      <c r="P2161" s="68"/>
    </row>
    <row r="2162">
      <c r="A2162" s="95">
        <v>6.75716320591E11</v>
      </c>
      <c r="B2162" s="151" t="s">
        <v>2580</v>
      </c>
      <c r="C2162" s="95" t="s">
        <v>97</v>
      </c>
      <c r="D2162" s="95">
        <v>1.0</v>
      </c>
      <c r="E2162" s="101">
        <v>160.0</v>
      </c>
      <c r="F2162" s="101">
        <f t="shared" si="392"/>
        <v>160</v>
      </c>
      <c r="G2162" s="101">
        <f t="shared" si="393"/>
        <v>40</v>
      </c>
      <c r="H2162" s="95" t="s">
        <v>2483</v>
      </c>
      <c r="J2162" s="247" t="s">
        <v>2578</v>
      </c>
      <c r="K2162" s="89"/>
      <c r="L2162" s="90"/>
      <c r="M2162" s="90"/>
      <c r="P2162" s="68"/>
    </row>
    <row r="2163">
      <c r="A2163" s="95">
        <v>6.75716903275E11</v>
      </c>
      <c r="B2163" s="151" t="s">
        <v>2581</v>
      </c>
      <c r="C2163" s="95" t="s">
        <v>97</v>
      </c>
      <c r="D2163" s="95">
        <v>1.0</v>
      </c>
      <c r="E2163" s="101">
        <v>650.0</v>
      </c>
      <c r="F2163" s="101">
        <f t="shared" si="392"/>
        <v>650</v>
      </c>
      <c r="G2163" s="101">
        <f t="shared" si="393"/>
        <v>162.5</v>
      </c>
      <c r="H2163" s="95" t="s">
        <v>2483</v>
      </c>
      <c r="J2163" s="247" t="s">
        <v>2578</v>
      </c>
      <c r="K2163" s="89"/>
      <c r="L2163" s="90"/>
      <c r="M2163" s="90"/>
      <c r="P2163" s="68"/>
    </row>
    <row r="2164">
      <c r="A2164" s="95">
        <v>7.35732106484E11</v>
      </c>
      <c r="B2164" s="151" t="s">
        <v>2511</v>
      </c>
      <c r="C2164" s="95" t="s">
        <v>97</v>
      </c>
      <c r="D2164" s="95">
        <v>3.0</v>
      </c>
      <c r="E2164" s="101">
        <v>24.99</v>
      </c>
      <c r="F2164" s="101">
        <f t="shared" si="392"/>
        <v>74.97</v>
      </c>
      <c r="G2164" s="101">
        <f t="shared" si="393"/>
        <v>18.7425</v>
      </c>
      <c r="H2164" s="95" t="s">
        <v>2512</v>
      </c>
      <c r="J2164" s="247" t="s">
        <v>2578</v>
      </c>
      <c r="K2164" s="89"/>
      <c r="L2164" s="90"/>
      <c r="M2164" s="90"/>
      <c r="P2164" s="68"/>
    </row>
    <row r="2165">
      <c r="A2165" s="211"/>
      <c r="B2165" s="231" t="s">
        <v>2582</v>
      </c>
      <c r="C2165" s="234" t="str">
        <f>MID($B2165,6,7)</f>
        <v>GR18303</v>
      </c>
      <c r="D2165" s="231"/>
      <c r="E2165" s="231"/>
      <c r="F2165" s="231">
        <f t="shared" si="392"/>
        <v>0</v>
      </c>
      <c r="G2165" s="231">
        <f t="shared" si="393"/>
        <v>0</v>
      </c>
      <c r="H2165" s="235">
        <v>44560.0</v>
      </c>
      <c r="J2165" s="108" t="str">
        <f>IF(LEFT(B2165,3)="Box","BOX","COUNT")</f>
        <v>BOX</v>
      </c>
      <c r="K2165" s="99">
        <f>SUMIF($J$4:$J$8712,$C2165,$D$4:$D$8712)</f>
        <v>8</v>
      </c>
      <c r="L2165" s="50">
        <f>SUMIF($J$4:$J$8712,$C2165,$F$4:$F$8712)</f>
        <v>960.94</v>
      </c>
      <c r="M2165" s="50">
        <f>SUMIF($J$4:$J$8712,$C2165,$G$4:$G$8712)</f>
        <v>240.235</v>
      </c>
      <c r="N2165" s="70" t="str">
        <f>C2165</f>
        <v>GR18303</v>
      </c>
      <c r="O2165" s="70" t="str">
        <f>J2166</f>
        <v>NSHIP</v>
      </c>
      <c r="P2165" s="68">
        <f>M2165</f>
        <v>240.235</v>
      </c>
    </row>
    <row r="2166">
      <c r="A2166" s="211"/>
      <c r="B2166" s="231"/>
      <c r="C2166" s="109"/>
      <c r="D2166" s="109"/>
      <c r="E2166" s="116"/>
      <c r="F2166" s="116">
        <f t="shared" si="392"/>
        <v>0</v>
      </c>
      <c r="G2166" s="116">
        <f t="shared" si="393"/>
        <v>0</v>
      </c>
      <c r="H2166" s="109"/>
      <c r="J2166" s="108" t="str">
        <f>IF(B2166="","NSHIP","SHIP")</f>
        <v>NSHIP</v>
      </c>
      <c r="K2166" s="99">
        <f>IF($J2166="NSHIP",0,-SUMIF($J$4:$J$8712,$C2165,$D$4:$D$8712))</f>
        <v>0</v>
      </c>
      <c r="L2166" s="50">
        <f>IF($J2166="NSHIP",0,-SUMIF($J$4:$J$8710,$C2165,$F$4:$F$8710))</f>
        <v>0</v>
      </c>
      <c r="M2166" s="50">
        <f>IF($J2166="NSHIP",0,-SUMIF($J$4:$J$8710,$C2165,$G$4:$G$8710))</f>
        <v>0</v>
      </c>
      <c r="P2166" s="68"/>
    </row>
    <row r="2167">
      <c r="A2167" s="95">
        <v>8.6569896704E10</v>
      </c>
      <c r="B2167" s="151" t="s">
        <v>2583</v>
      </c>
      <c r="C2167" s="95" t="s">
        <v>97</v>
      </c>
      <c r="D2167" s="95">
        <v>1.0</v>
      </c>
      <c r="E2167" s="101">
        <v>130.0</v>
      </c>
      <c r="F2167" s="101">
        <f t="shared" si="392"/>
        <v>130</v>
      </c>
      <c r="G2167" s="101">
        <f t="shared" si="393"/>
        <v>32.5</v>
      </c>
      <c r="H2167" s="95" t="s">
        <v>2483</v>
      </c>
      <c r="J2167" s="247" t="s">
        <v>2584</v>
      </c>
      <c r="K2167" s="89"/>
      <c r="L2167" s="90"/>
      <c r="M2167" s="90"/>
      <c r="P2167" s="68"/>
    </row>
    <row r="2168">
      <c r="A2168" s="95">
        <v>6.75716389901E11</v>
      </c>
      <c r="B2168" s="151" t="s">
        <v>2585</v>
      </c>
      <c r="C2168" s="95" t="s">
        <v>97</v>
      </c>
      <c r="D2168" s="95">
        <v>1.0</v>
      </c>
      <c r="E2168" s="101">
        <v>129.99</v>
      </c>
      <c r="F2168" s="101">
        <f t="shared" si="392"/>
        <v>129.99</v>
      </c>
      <c r="G2168" s="101">
        <f t="shared" si="393"/>
        <v>32.4975</v>
      </c>
      <c r="H2168" s="95" t="s">
        <v>2483</v>
      </c>
      <c r="J2168" s="247" t="s">
        <v>2584</v>
      </c>
      <c r="K2168" s="89"/>
      <c r="L2168" s="90"/>
      <c r="M2168" s="90"/>
      <c r="P2168" s="68"/>
    </row>
    <row r="2169">
      <c r="A2169" s="95">
        <v>6.75716740078E11</v>
      </c>
      <c r="B2169" s="151" t="s">
        <v>2586</v>
      </c>
      <c r="C2169" s="95" t="s">
        <v>97</v>
      </c>
      <c r="D2169" s="95">
        <v>1.0</v>
      </c>
      <c r="E2169" s="101">
        <v>88.99</v>
      </c>
      <c r="F2169" s="101">
        <f t="shared" si="392"/>
        <v>88.99</v>
      </c>
      <c r="G2169" s="101">
        <f t="shared" si="393"/>
        <v>22.2475</v>
      </c>
      <c r="H2169" s="95" t="s">
        <v>2483</v>
      </c>
      <c r="J2169" s="247" t="s">
        <v>2584</v>
      </c>
      <c r="K2169" s="89"/>
      <c r="L2169" s="90"/>
      <c r="M2169" s="90"/>
      <c r="P2169" s="68"/>
    </row>
    <row r="2170">
      <c r="A2170" s="95">
        <v>7.11081326759E11</v>
      </c>
      <c r="B2170" s="151" t="s">
        <v>2587</v>
      </c>
      <c r="C2170" s="95" t="s">
        <v>97</v>
      </c>
      <c r="D2170" s="95">
        <v>2.0</v>
      </c>
      <c r="E2170" s="101">
        <v>64.34</v>
      </c>
      <c r="F2170" s="101">
        <f t="shared" si="392"/>
        <v>128.68</v>
      </c>
      <c r="G2170" s="101">
        <f t="shared" si="393"/>
        <v>32.17</v>
      </c>
      <c r="H2170" s="95" t="s">
        <v>2588</v>
      </c>
      <c r="J2170" s="247" t="s">
        <v>2584</v>
      </c>
      <c r="K2170" s="89"/>
      <c r="L2170" s="90"/>
      <c r="M2170" s="90"/>
      <c r="P2170" s="68"/>
    </row>
    <row r="2171">
      <c r="A2171" s="95">
        <v>7.91154028124E11</v>
      </c>
      <c r="B2171" s="151" t="s">
        <v>2589</v>
      </c>
      <c r="C2171" s="95" t="s">
        <v>97</v>
      </c>
      <c r="D2171" s="95">
        <v>1.0</v>
      </c>
      <c r="E2171" s="101">
        <v>126.93</v>
      </c>
      <c r="F2171" s="101">
        <f t="shared" si="392"/>
        <v>126.93</v>
      </c>
      <c r="G2171" s="101">
        <f t="shared" si="393"/>
        <v>31.7325</v>
      </c>
      <c r="H2171" s="95" t="s">
        <v>2590</v>
      </c>
      <c r="J2171" s="247" t="s">
        <v>2584</v>
      </c>
      <c r="K2171" s="89"/>
      <c r="L2171" s="90"/>
      <c r="M2171" s="90"/>
      <c r="P2171" s="68"/>
    </row>
    <row r="2172">
      <c r="A2172" s="95">
        <v>8.48742073919E11</v>
      </c>
      <c r="B2172" s="151" t="s">
        <v>2591</v>
      </c>
      <c r="C2172" s="95" t="s">
        <v>97</v>
      </c>
      <c r="D2172" s="95">
        <v>1.0</v>
      </c>
      <c r="E2172" s="101">
        <v>49.99</v>
      </c>
      <c r="F2172" s="101">
        <f t="shared" si="392"/>
        <v>49.99</v>
      </c>
      <c r="G2172" s="101">
        <f t="shared" si="393"/>
        <v>12.4975</v>
      </c>
      <c r="H2172" s="95" t="s">
        <v>2592</v>
      </c>
      <c r="J2172" s="247" t="s">
        <v>2584</v>
      </c>
      <c r="K2172" s="89"/>
      <c r="L2172" s="90"/>
      <c r="M2172" s="90"/>
      <c r="P2172" s="68"/>
    </row>
    <row r="2173">
      <c r="A2173" s="95">
        <v>8.85308097101E11</v>
      </c>
      <c r="B2173" s="151" t="s">
        <v>2574</v>
      </c>
      <c r="C2173" s="95" t="s">
        <v>97</v>
      </c>
      <c r="D2173" s="95">
        <v>1.0</v>
      </c>
      <c r="E2173" s="101">
        <v>26.99</v>
      </c>
      <c r="F2173" s="101">
        <f t="shared" si="392"/>
        <v>26.99</v>
      </c>
      <c r="G2173" s="101">
        <f t="shared" si="393"/>
        <v>6.7475</v>
      </c>
      <c r="H2173" s="95" t="s">
        <v>2575</v>
      </c>
      <c r="J2173" s="247" t="s">
        <v>2584</v>
      </c>
      <c r="K2173" s="89"/>
      <c r="L2173" s="90"/>
      <c r="M2173" s="90"/>
      <c r="P2173" s="68"/>
    </row>
    <row r="2174">
      <c r="A2174" s="211"/>
      <c r="B2174" s="231" t="s">
        <v>2593</v>
      </c>
      <c r="C2174" s="234" t="str">
        <f>MID($B2174,6,7)</f>
        <v>GR18304</v>
      </c>
      <c r="D2174" s="231"/>
      <c r="E2174" s="231"/>
      <c r="F2174" s="231">
        <f t="shared" si="392"/>
        <v>0</v>
      </c>
      <c r="G2174" s="231">
        <f t="shared" si="393"/>
        <v>0</v>
      </c>
      <c r="H2174" s="235">
        <v>44560.0</v>
      </c>
      <c r="J2174" s="108" t="str">
        <f>IF(LEFT(B2174,3)="Box","BOX","COUNT")</f>
        <v>BOX</v>
      </c>
      <c r="K2174" s="99">
        <f>SUMIF($J$4:$J$8712,$C2174,$D$4:$D$8712)</f>
        <v>8</v>
      </c>
      <c r="L2174" s="50">
        <f>SUMIF($J$4:$J$8712,$C2174,$F$4:$F$8712)</f>
        <v>681.57</v>
      </c>
      <c r="M2174" s="50">
        <f>SUMIF($J$4:$J$8712,$C2174,$G$4:$G$8712)</f>
        <v>170.3925</v>
      </c>
      <c r="N2174" s="70" t="str">
        <f>C2174</f>
        <v>GR18304</v>
      </c>
      <c r="O2174" s="70" t="str">
        <f>J2175</f>
        <v>NSHIP</v>
      </c>
      <c r="P2174" s="68">
        <f>M2174</f>
        <v>170.3925</v>
      </c>
    </row>
    <row r="2175">
      <c r="A2175" s="211"/>
      <c r="B2175" s="231"/>
      <c r="C2175" s="109"/>
      <c r="D2175" s="109"/>
      <c r="E2175" s="116"/>
      <c r="F2175" s="116">
        <f t="shared" si="392"/>
        <v>0</v>
      </c>
      <c r="G2175" s="116">
        <f t="shared" si="393"/>
        <v>0</v>
      </c>
      <c r="H2175" s="109"/>
      <c r="J2175" s="108" t="str">
        <f>IF(B2175="","NSHIP","SHIP")</f>
        <v>NSHIP</v>
      </c>
      <c r="K2175" s="99">
        <f>IF($J2175="NSHIP",0,-SUMIF($J$4:$J$8712,$C2174,$D$4:$D$8712))</f>
        <v>0</v>
      </c>
      <c r="L2175" s="50">
        <f>IF($J2175="NSHIP",0,-SUMIF($J$4:$J$8710,$C2174,$F$4:$F$8710))</f>
        <v>0</v>
      </c>
      <c r="M2175" s="50">
        <f>IF($J2175="NSHIP",0,-SUMIF($J$4:$J$8710,$C2174,$G$4:$G$8710))</f>
        <v>0</v>
      </c>
      <c r="P2175" s="68"/>
    </row>
    <row r="2176">
      <c r="A2176" s="95">
        <v>4.7293451263E10</v>
      </c>
      <c r="B2176" s="151" t="s">
        <v>2490</v>
      </c>
      <c r="C2176" s="95" t="s">
        <v>97</v>
      </c>
      <c r="D2176" s="95">
        <v>1.0</v>
      </c>
      <c r="E2176" s="101">
        <v>23.99</v>
      </c>
      <c r="F2176" s="101">
        <f t="shared" si="392"/>
        <v>23.99</v>
      </c>
      <c r="G2176" s="101">
        <f t="shared" si="393"/>
        <v>5.9975</v>
      </c>
      <c r="H2176" s="95" t="s">
        <v>2491</v>
      </c>
      <c r="J2176" s="247" t="s">
        <v>2594</v>
      </c>
      <c r="K2176" s="89"/>
      <c r="L2176" s="90"/>
      <c r="M2176" s="90"/>
      <c r="P2176" s="68"/>
    </row>
    <row r="2177">
      <c r="A2177" s="95">
        <v>8.6569129482E10</v>
      </c>
      <c r="B2177" s="151" t="s">
        <v>2595</v>
      </c>
      <c r="C2177" s="95" t="s">
        <v>97</v>
      </c>
      <c r="D2177" s="95">
        <v>1.0</v>
      </c>
      <c r="E2177" s="101">
        <v>96.49</v>
      </c>
      <c r="F2177" s="101">
        <f t="shared" si="392"/>
        <v>96.49</v>
      </c>
      <c r="G2177" s="101">
        <f t="shared" si="393"/>
        <v>24.1225</v>
      </c>
      <c r="H2177" s="95" t="s">
        <v>2510</v>
      </c>
      <c r="J2177" s="247" t="s">
        <v>2594</v>
      </c>
      <c r="K2177" s="89"/>
      <c r="L2177" s="90"/>
      <c r="M2177" s="90"/>
      <c r="P2177" s="68"/>
    </row>
    <row r="2178">
      <c r="A2178" s="95">
        <v>8.6569193575E10</v>
      </c>
      <c r="B2178" s="151" t="s">
        <v>2596</v>
      </c>
      <c r="C2178" s="95" t="s">
        <v>97</v>
      </c>
      <c r="D2178" s="95">
        <v>1.0</v>
      </c>
      <c r="E2178" s="101">
        <v>109.99</v>
      </c>
      <c r="F2178" s="101">
        <f t="shared" si="392"/>
        <v>109.99</v>
      </c>
      <c r="G2178" s="101">
        <f t="shared" si="393"/>
        <v>27.4975</v>
      </c>
      <c r="H2178" s="95" t="s">
        <v>2568</v>
      </c>
      <c r="J2178" s="247" t="s">
        <v>2594</v>
      </c>
      <c r="K2178" s="89"/>
      <c r="L2178" s="90"/>
      <c r="M2178" s="90"/>
      <c r="P2178" s="68"/>
    </row>
    <row r="2179">
      <c r="A2179" s="95">
        <v>6.75716863647E11</v>
      </c>
      <c r="B2179" s="151" t="s">
        <v>2597</v>
      </c>
      <c r="C2179" s="95" t="s">
        <v>97</v>
      </c>
      <c r="D2179" s="95">
        <v>1.0</v>
      </c>
      <c r="E2179" s="101">
        <v>128.99</v>
      </c>
      <c r="F2179" s="101">
        <f t="shared" si="392"/>
        <v>128.99</v>
      </c>
      <c r="G2179" s="101">
        <f t="shared" si="393"/>
        <v>32.2475</v>
      </c>
      <c r="H2179" s="95" t="s">
        <v>2568</v>
      </c>
      <c r="J2179" s="247" t="s">
        <v>2594</v>
      </c>
      <c r="K2179" s="89"/>
      <c r="L2179" s="90"/>
      <c r="M2179" s="90"/>
      <c r="P2179" s="68"/>
    </row>
    <row r="2180">
      <c r="A2180" s="211"/>
      <c r="B2180" s="231" t="s">
        <v>2598</v>
      </c>
      <c r="C2180" s="234" t="str">
        <f>MID($B2180,6,7)</f>
        <v>GR18305</v>
      </c>
      <c r="D2180" s="231"/>
      <c r="E2180" s="231"/>
      <c r="F2180" s="231"/>
      <c r="G2180" s="231"/>
      <c r="H2180" s="235">
        <v>44560.0</v>
      </c>
      <c r="J2180" s="108" t="str">
        <f>IF(LEFT(B2180,3)="Box","BOX","COUNT")</f>
        <v>BOX</v>
      </c>
      <c r="K2180" s="99">
        <f>SUMIF($J$4:$J$8712,$C2180,$D$4:$D$8712)</f>
        <v>4</v>
      </c>
      <c r="L2180" s="50">
        <f>SUMIF($J$4:$J$8712,$C2180,$F$4:$F$8712)</f>
        <v>359.46</v>
      </c>
      <c r="M2180" s="50">
        <f>SUMIF($J$4:$J$8712,$C2180,$G$4:$G$8712)</f>
        <v>89.865</v>
      </c>
      <c r="N2180" s="70" t="str">
        <f>C2180</f>
        <v>GR18305</v>
      </c>
      <c r="O2180" s="70" t="str">
        <f>J2181</f>
        <v>NSHIP</v>
      </c>
      <c r="P2180" s="68">
        <f>M2180</f>
        <v>89.865</v>
      </c>
    </row>
    <row r="2181">
      <c r="A2181" s="211"/>
      <c r="B2181" s="231"/>
      <c r="C2181" s="109"/>
      <c r="D2181" s="109"/>
      <c r="E2181" s="116"/>
      <c r="F2181" s="116"/>
      <c r="G2181" s="116"/>
      <c r="H2181" s="109"/>
      <c r="J2181" s="108" t="str">
        <f>IF(B2181="","NSHIP","SHIP")</f>
        <v>NSHIP</v>
      </c>
      <c r="K2181" s="99">
        <f>IF($J2181="NSHIP",0,-SUMIF($J$4:$J$8712,$C2180,$D$4:$D$8712))</f>
        <v>0</v>
      </c>
      <c r="L2181" s="50">
        <f>IF($J2181="NSHIP",0,-SUMIF($J$4:$J$8710,$C2180,$F$4:$F$8710))</f>
        <v>0</v>
      </c>
      <c r="M2181" s="50">
        <f>IF($J2181="NSHIP",0,-SUMIF($J$4:$J$8710,$C2180,$G$4:$G$8710))</f>
        <v>0</v>
      </c>
      <c r="P2181" s="68"/>
    </row>
    <row r="2182">
      <c r="A2182" s="95">
        <v>8.656904569E10</v>
      </c>
      <c r="B2182" s="151" t="s">
        <v>2599</v>
      </c>
      <c r="C2182" s="95" t="s">
        <v>97</v>
      </c>
      <c r="D2182" s="95">
        <v>1.0</v>
      </c>
      <c r="E2182" s="101">
        <v>109.99</v>
      </c>
      <c r="F2182" s="101">
        <f t="shared" ref="F2182:F2196" si="394">E2182*D2182</f>
        <v>109.99</v>
      </c>
      <c r="G2182" s="101">
        <f t="shared" ref="G2182:G2196" si="395">F2182/4</f>
        <v>27.4975</v>
      </c>
      <c r="H2182" s="95" t="s">
        <v>2483</v>
      </c>
      <c r="J2182" s="247" t="s">
        <v>2600</v>
      </c>
      <c r="K2182" s="89"/>
      <c r="L2182" s="90"/>
      <c r="M2182" s="90"/>
      <c r="P2182" s="68"/>
    </row>
    <row r="2183">
      <c r="A2183" s="95">
        <v>8.6569201775E10</v>
      </c>
      <c r="B2183" s="151" t="s">
        <v>2601</v>
      </c>
      <c r="C2183" s="95" t="s">
        <v>97</v>
      </c>
      <c r="D2183" s="95">
        <v>1.0</v>
      </c>
      <c r="E2183" s="101">
        <v>56.99</v>
      </c>
      <c r="F2183" s="101">
        <f t="shared" si="394"/>
        <v>56.99</v>
      </c>
      <c r="G2183" s="101">
        <f t="shared" si="395"/>
        <v>14.2475</v>
      </c>
      <c r="H2183" s="95" t="s">
        <v>2483</v>
      </c>
      <c r="J2183" s="247" t="s">
        <v>2600</v>
      </c>
      <c r="K2183" s="89"/>
      <c r="L2183" s="90"/>
      <c r="M2183" s="90"/>
      <c r="P2183" s="68"/>
    </row>
    <row r="2184">
      <c r="A2184" s="95">
        <v>8.6569291349E10</v>
      </c>
      <c r="B2184" s="151" t="s">
        <v>2602</v>
      </c>
      <c r="C2184" s="95" t="s">
        <v>97</v>
      </c>
      <c r="D2184" s="95">
        <v>1.0</v>
      </c>
      <c r="E2184" s="101">
        <v>142.99</v>
      </c>
      <c r="F2184" s="101">
        <f t="shared" si="394"/>
        <v>142.99</v>
      </c>
      <c r="G2184" s="101">
        <f t="shared" si="395"/>
        <v>35.7475</v>
      </c>
      <c r="H2184" s="95" t="s">
        <v>2603</v>
      </c>
      <c r="J2184" s="247" t="s">
        <v>2600</v>
      </c>
      <c r="K2184" s="89"/>
      <c r="L2184" s="90"/>
      <c r="M2184" s="90"/>
      <c r="P2184" s="68"/>
    </row>
    <row r="2185">
      <c r="A2185" s="95">
        <v>8.6569902832E10</v>
      </c>
      <c r="B2185" s="151" t="s">
        <v>2604</v>
      </c>
      <c r="C2185" s="95" t="s">
        <v>97</v>
      </c>
      <c r="D2185" s="95">
        <v>1.0</v>
      </c>
      <c r="E2185" s="101">
        <v>32.99</v>
      </c>
      <c r="F2185" s="101">
        <f t="shared" si="394"/>
        <v>32.99</v>
      </c>
      <c r="G2185" s="101">
        <f t="shared" si="395"/>
        <v>8.2475</v>
      </c>
      <c r="H2185" s="95" t="s">
        <v>2605</v>
      </c>
      <c r="J2185" s="247" t="s">
        <v>2600</v>
      </c>
      <c r="K2185" s="89"/>
      <c r="L2185" s="90"/>
      <c r="M2185" s="90"/>
      <c r="P2185" s="68"/>
    </row>
    <row r="2186">
      <c r="A2186" s="95">
        <v>6.75716740078E11</v>
      </c>
      <c r="B2186" s="151" t="s">
        <v>2586</v>
      </c>
      <c r="C2186" s="95" t="s">
        <v>97</v>
      </c>
      <c r="D2186" s="95">
        <v>1.0</v>
      </c>
      <c r="E2186" s="101">
        <v>88.99</v>
      </c>
      <c r="F2186" s="101">
        <f t="shared" si="394"/>
        <v>88.99</v>
      </c>
      <c r="G2186" s="101">
        <f t="shared" si="395"/>
        <v>22.2475</v>
      </c>
      <c r="H2186" s="95" t="s">
        <v>2483</v>
      </c>
      <c r="J2186" s="247" t="s">
        <v>2600</v>
      </c>
      <c r="K2186" s="89"/>
      <c r="L2186" s="90"/>
      <c r="M2186" s="90"/>
      <c r="P2186" s="68"/>
    </row>
    <row r="2187">
      <c r="A2187" s="95">
        <v>6.75716780746E11</v>
      </c>
      <c r="B2187" s="151" t="s">
        <v>2606</v>
      </c>
      <c r="C2187" s="95" t="s">
        <v>97</v>
      </c>
      <c r="D2187" s="95">
        <v>1.0</v>
      </c>
      <c r="E2187" s="101">
        <v>119.99</v>
      </c>
      <c r="F2187" s="101">
        <f t="shared" si="394"/>
        <v>119.99</v>
      </c>
      <c r="G2187" s="101">
        <f t="shared" si="395"/>
        <v>29.9975</v>
      </c>
      <c r="H2187" s="95" t="s">
        <v>2510</v>
      </c>
      <c r="J2187" s="247" t="s">
        <v>2600</v>
      </c>
      <c r="K2187" s="89"/>
      <c r="L2187" s="90"/>
      <c r="M2187" s="90"/>
      <c r="P2187" s="68"/>
    </row>
    <row r="2188">
      <c r="A2188" s="95">
        <v>6.75716848316E11</v>
      </c>
      <c r="B2188" s="151" t="s">
        <v>2607</v>
      </c>
      <c r="C2188" s="95" t="s">
        <v>97</v>
      </c>
      <c r="D2188" s="95">
        <v>1.0</v>
      </c>
      <c r="E2188" s="101">
        <v>94.55</v>
      </c>
      <c r="F2188" s="101">
        <f t="shared" si="394"/>
        <v>94.55</v>
      </c>
      <c r="G2188" s="101">
        <f t="shared" si="395"/>
        <v>23.6375</v>
      </c>
      <c r="H2188" s="95" t="s">
        <v>2568</v>
      </c>
      <c r="J2188" s="247" t="s">
        <v>2600</v>
      </c>
      <c r="K2188" s="89"/>
      <c r="L2188" s="90"/>
      <c r="M2188" s="90"/>
      <c r="P2188" s="68"/>
    </row>
    <row r="2189">
      <c r="A2189" s="95">
        <v>7.35732294433E11</v>
      </c>
      <c r="B2189" s="151" t="s">
        <v>2608</v>
      </c>
      <c r="C2189" s="95" t="s">
        <v>97</v>
      </c>
      <c r="D2189" s="95">
        <v>1.0</v>
      </c>
      <c r="E2189" s="101">
        <v>36.99</v>
      </c>
      <c r="F2189" s="101">
        <f t="shared" si="394"/>
        <v>36.99</v>
      </c>
      <c r="G2189" s="101">
        <f t="shared" si="395"/>
        <v>9.2475</v>
      </c>
      <c r="H2189" s="95" t="s">
        <v>2534</v>
      </c>
      <c r="J2189" s="247" t="s">
        <v>2600</v>
      </c>
      <c r="K2189" s="89"/>
      <c r="L2189" s="90"/>
      <c r="M2189" s="90"/>
      <c r="P2189" s="68"/>
    </row>
    <row r="2190">
      <c r="A2190" s="95">
        <v>8.14945024454E11</v>
      </c>
      <c r="B2190" s="151" t="s">
        <v>2609</v>
      </c>
      <c r="C2190" s="95" t="s">
        <v>97</v>
      </c>
      <c r="D2190" s="95">
        <v>1.0</v>
      </c>
      <c r="E2190" s="101">
        <v>34.49</v>
      </c>
      <c r="F2190" s="101">
        <f t="shared" si="394"/>
        <v>34.49</v>
      </c>
      <c r="G2190" s="101">
        <f t="shared" si="395"/>
        <v>8.6225</v>
      </c>
      <c r="H2190" s="95" t="s">
        <v>2610</v>
      </c>
      <c r="J2190" s="247" t="s">
        <v>2600</v>
      </c>
      <c r="K2190" s="89"/>
      <c r="L2190" s="90"/>
      <c r="M2190" s="90"/>
      <c r="P2190" s="68"/>
    </row>
    <row r="2191">
      <c r="A2191" s="211"/>
      <c r="B2191" s="231" t="s">
        <v>2611</v>
      </c>
      <c r="C2191" s="234" t="str">
        <f>MID($B2191,6,7)</f>
        <v>GR18306</v>
      </c>
      <c r="D2191" s="231"/>
      <c r="E2191" s="231"/>
      <c r="F2191" s="231">
        <f t="shared" si="394"/>
        <v>0</v>
      </c>
      <c r="G2191" s="231">
        <f t="shared" si="395"/>
        <v>0</v>
      </c>
      <c r="H2191" s="235">
        <v>44560.0</v>
      </c>
      <c r="J2191" s="108" t="str">
        <f>IF(LEFT(B2191,3)="Box","BOX","COUNT")</f>
        <v>BOX</v>
      </c>
      <c r="K2191" s="99">
        <f>SUMIF($J$4:$J$8712,$C2191,$D$4:$D$8712)</f>
        <v>9</v>
      </c>
      <c r="L2191" s="50">
        <f>SUMIF($J$4:$J$8712,$C2191,$F$4:$F$8712)</f>
        <v>717.97</v>
      </c>
      <c r="M2191" s="50">
        <f>SUMIF($J$4:$J$8712,$C2191,$G$4:$G$8712)</f>
        <v>179.4925</v>
      </c>
      <c r="N2191" s="70" t="str">
        <f>C2191</f>
        <v>GR18306</v>
      </c>
      <c r="O2191" s="70" t="str">
        <f>J2192</f>
        <v>NSHIP</v>
      </c>
      <c r="P2191" s="68">
        <f>M2191</f>
        <v>179.4925</v>
      </c>
    </row>
    <row r="2192">
      <c r="A2192" s="211"/>
      <c r="B2192" s="231"/>
      <c r="C2192" s="109"/>
      <c r="D2192" s="109"/>
      <c r="E2192" s="116"/>
      <c r="F2192" s="116">
        <f t="shared" si="394"/>
        <v>0</v>
      </c>
      <c r="G2192" s="116">
        <f t="shared" si="395"/>
        <v>0</v>
      </c>
      <c r="H2192" s="109"/>
      <c r="J2192" s="108" t="str">
        <f>IF(B2192="","NSHIP","SHIP")</f>
        <v>NSHIP</v>
      </c>
      <c r="K2192" s="99">
        <f>IF($J2192="NSHIP",0,-SUMIF($J$4:$J$8712,$C2191,$D$4:$D$8712))</f>
        <v>0</v>
      </c>
      <c r="L2192" s="50">
        <f>IF($J2192="NSHIP",0,-SUMIF($J$4:$J$8710,$C2191,$F$4:$F$8710))</f>
        <v>0</v>
      </c>
      <c r="M2192" s="50">
        <f>IF($J2192="NSHIP",0,-SUMIF($J$4:$J$8710,$C2191,$G$4:$G$8710))</f>
        <v>0</v>
      </c>
      <c r="P2192" s="68"/>
    </row>
    <row r="2193">
      <c r="A2193" s="95">
        <v>8.6569099327E10</v>
      </c>
      <c r="B2193" s="151" t="s">
        <v>2612</v>
      </c>
      <c r="C2193" s="95" t="s">
        <v>97</v>
      </c>
      <c r="D2193" s="95">
        <v>1.0</v>
      </c>
      <c r="E2193" s="101">
        <v>71.99</v>
      </c>
      <c r="F2193" s="101">
        <f t="shared" si="394"/>
        <v>71.99</v>
      </c>
      <c r="G2193" s="101">
        <f t="shared" si="395"/>
        <v>17.9975</v>
      </c>
      <c r="H2193" s="95" t="s">
        <v>2483</v>
      </c>
      <c r="J2193" s="247" t="s">
        <v>2613</v>
      </c>
      <c r="K2193" s="89"/>
      <c r="L2193" s="90"/>
      <c r="M2193" s="90"/>
      <c r="P2193" s="68"/>
    </row>
    <row r="2194">
      <c r="A2194" s="95">
        <v>6.75716582326E11</v>
      </c>
      <c r="B2194" s="151" t="s">
        <v>2614</v>
      </c>
      <c r="C2194" s="95" t="s">
        <v>97</v>
      </c>
      <c r="D2194" s="95">
        <v>1.0</v>
      </c>
      <c r="E2194" s="101">
        <v>89.99</v>
      </c>
      <c r="F2194" s="101">
        <f t="shared" si="394"/>
        <v>89.99</v>
      </c>
      <c r="G2194" s="101">
        <f t="shared" si="395"/>
        <v>22.4975</v>
      </c>
      <c r="H2194" s="95" t="s">
        <v>2483</v>
      </c>
      <c r="J2194" s="247" t="s">
        <v>2613</v>
      </c>
      <c r="K2194" s="89"/>
      <c r="L2194" s="90"/>
      <c r="M2194" s="90"/>
      <c r="P2194" s="68"/>
    </row>
    <row r="2195">
      <c r="A2195" s="95">
        <v>7.35732261817E11</v>
      </c>
      <c r="B2195" s="151" t="s">
        <v>2615</v>
      </c>
      <c r="C2195" s="95" t="s">
        <v>97</v>
      </c>
      <c r="D2195" s="95">
        <v>1.0</v>
      </c>
      <c r="E2195" s="101">
        <v>47.99</v>
      </c>
      <c r="F2195" s="101">
        <f t="shared" si="394"/>
        <v>47.99</v>
      </c>
      <c r="G2195" s="101">
        <f t="shared" si="395"/>
        <v>11.9975</v>
      </c>
      <c r="H2195" s="95" t="s">
        <v>2512</v>
      </c>
      <c r="J2195" s="247" t="s">
        <v>2613</v>
      </c>
      <c r="K2195" s="89"/>
      <c r="L2195" s="90"/>
      <c r="M2195" s="90"/>
      <c r="P2195" s="68"/>
    </row>
    <row r="2196">
      <c r="A2196" s="95">
        <v>7.83048021373E11</v>
      </c>
      <c r="B2196" s="151" t="s">
        <v>2616</v>
      </c>
      <c r="C2196" s="95" t="s">
        <v>97</v>
      </c>
      <c r="D2196" s="95">
        <v>1.0</v>
      </c>
      <c r="E2196" s="101">
        <v>89.0</v>
      </c>
      <c r="F2196" s="101">
        <f t="shared" si="394"/>
        <v>89</v>
      </c>
      <c r="G2196" s="101">
        <f t="shared" si="395"/>
        <v>22.25</v>
      </c>
      <c r="H2196" s="95" t="s">
        <v>2514</v>
      </c>
      <c r="J2196" s="247" t="s">
        <v>2613</v>
      </c>
      <c r="K2196" s="89"/>
      <c r="L2196" s="90"/>
      <c r="M2196" s="90"/>
      <c r="P2196" s="68"/>
    </row>
    <row r="2197">
      <c r="A2197" s="211"/>
      <c r="B2197" s="231" t="s">
        <v>2617</v>
      </c>
      <c r="C2197" s="234" t="str">
        <f>MID($B2197,6,7)</f>
        <v>GR18307</v>
      </c>
      <c r="D2197" s="231"/>
      <c r="E2197" s="231"/>
      <c r="F2197" s="231"/>
      <c r="G2197" s="231"/>
      <c r="H2197" s="235">
        <v>44560.0</v>
      </c>
      <c r="J2197" s="108" t="str">
        <f>IF(LEFT(B2197,3)="Box","BOX","COUNT")</f>
        <v>BOX</v>
      </c>
      <c r="K2197" s="99">
        <f>SUMIF($J$4:$J$8712,$C2197,$D$4:$D$8712)</f>
        <v>4</v>
      </c>
      <c r="L2197" s="50">
        <f>SUMIF($J$4:$J$8712,$C2197,$F$4:$F$8712)</f>
        <v>298.97</v>
      </c>
      <c r="M2197" s="50">
        <f>SUMIF($J$4:$J$8712,$C2197,$G$4:$G$8712)</f>
        <v>74.7425</v>
      </c>
      <c r="N2197" s="70" t="str">
        <f>C2197</f>
        <v>GR18307</v>
      </c>
      <c r="O2197" s="70" t="str">
        <f>J2198</f>
        <v>NSHIP</v>
      </c>
      <c r="P2197" s="68">
        <f>M2197</f>
        <v>74.7425</v>
      </c>
    </row>
    <row r="2198">
      <c r="A2198" s="211"/>
      <c r="B2198" s="231"/>
      <c r="C2198" s="109"/>
      <c r="D2198" s="109"/>
      <c r="E2198" s="116"/>
      <c r="F2198" s="116"/>
      <c r="G2198" s="116"/>
      <c r="H2198" s="109"/>
      <c r="J2198" s="108" t="str">
        <f>IF(B2198="","NSHIP","SHIP")</f>
        <v>NSHIP</v>
      </c>
      <c r="K2198" s="99">
        <f>IF($J2198="NSHIP",0,-SUMIF($J$4:$J$8712,$C2197,$D$4:$D$8712))</f>
        <v>0</v>
      </c>
      <c r="L2198" s="50">
        <f>IF($J2198="NSHIP",0,-SUMIF($J$4:$J$8710,$C2197,$F$4:$F$8710))</f>
        <v>0</v>
      </c>
      <c r="M2198" s="50">
        <f>IF($J2198="NSHIP",0,-SUMIF($J$4:$J$8710,$C2197,$G$4:$G$8710))</f>
        <v>0</v>
      </c>
      <c r="P2198" s="68"/>
    </row>
    <row r="2199">
      <c r="A2199" s="95">
        <v>1.90466454735E11</v>
      </c>
      <c r="B2199" s="151" t="s">
        <v>2618</v>
      </c>
      <c r="C2199" s="95" t="s">
        <v>97</v>
      </c>
      <c r="D2199" s="95">
        <v>1.0</v>
      </c>
      <c r="E2199" s="101">
        <v>79.99</v>
      </c>
      <c r="F2199" s="101">
        <f t="shared" ref="F2199:F2232" si="396">E2199*D2199</f>
        <v>79.99</v>
      </c>
      <c r="G2199" s="101">
        <f t="shared" ref="G2199:G2232" si="397">F2199/4</f>
        <v>19.9975</v>
      </c>
      <c r="H2199" s="95" t="s">
        <v>284</v>
      </c>
      <c r="J2199" s="247" t="s">
        <v>2619</v>
      </c>
      <c r="K2199" s="89"/>
      <c r="L2199" s="90"/>
      <c r="M2199" s="90"/>
      <c r="P2199" s="68"/>
    </row>
    <row r="2200">
      <c r="A2200" s="95">
        <v>1.91797086077E11</v>
      </c>
      <c r="B2200" s="151" t="s">
        <v>2620</v>
      </c>
      <c r="C2200" s="95" t="s">
        <v>97</v>
      </c>
      <c r="D2200" s="95">
        <v>1.0</v>
      </c>
      <c r="E2200" s="101">
        <v>89.98</v>
      </c>
      <c r="F2200" s="101">
        <f t="shared" si="396"/>
        <v>89.98</v>
      </c>
      <c r="G2200" s="101">
        <f t="shared" si="397"/>
        <v>22.495</v>
      </c>
      <c r="H2200" s="95" t="s">
        <v>279</v>
      </c>
      <c r="J2200" s="247" t="s">
        <v>2619</v>
      </c>
      <c r="K2200" s="89"/>
      <c r="L2200" s="90"/>
      <c r="M2200" s="90"/>
      <c r="P2200" s="68"/>
    </row>
    <row r="2201">
      <c r="A2201" s="95">
        <v>1.92351426377E11</v>
      </c>
      <c r="B2201" s="151" t="s">
        <v>2621</v>
      </c>
      <c r="C2201" s="95" t="s">
        <v>97</v>
      </c>
      <c r="D2201" s="95">
        <v>1.0</v>
      </c>
      <c r="E2201" s="101">
        <v>89.98</v>
      </c>
      <c r="F2201" s="101">
        <f t="shared" si="396"/>
        <v>89.98</v>
      </c>
      <c r="G2201" s="101">
        <f t="shared" si="397"/>
        <v>22.495</v>
      </c>
      <c r="H2201" s="95" t="s">
        <v>271</v>
      </c>
      <c r="J2201" s="247" t="s">
        <v>2619</v>
      </c>
      <c r="K2201" s="89"/>
      <c r="L2201" s="90"/>
      <c r="M2201" s="90"/>
      <c r="P2201" s="68"/>
    </row>
    <row r="2202">
      <c r="A2202" s="95">
        <v>1.9362326103E11</v>
      </c>
      <c r="B2202" s="151" t="s">
        <v>2622</v>
      </c>
      <c r="C2202" s="95" t="s">
        <v>97</v>
      </c>
      <c r="D2202" s="95">
        <v>1.0</v>
      </c>
      <c r="E2202" s="101">
        <v>89.98</v>
      </c>
      <c r="F2202" s="101">
        <f t="shared" si="396"/>
        <v>89.98</v>
      </c>
      <c r="G2202" s="101">
        <f t="shared" si="397"/>
        <v>22.495</v>
      </c>
      <c r="H2202" s="95" t="s">
        <v>271</v>
      </c>
      <c r="J2202" s="247" t="s">
        <v>2619</v>
      </c>
      <c r="K2202" s="89"/>
      <c r="L2202" s="90"/>
      <c r="M2202" s="90"/>
      <c r="P2202" s="68"/>
    </row>
    <row r="2203">
      <c r="A2203" s="95">
        <v>1.93623399153E11</v>
      </c>
      <c r="B2203" s="151" t="s">
        <v>2623</v>
      </c>
      <c r="C2203" s="95" t="s">
        <v>97</v>
      </c>
      <c r="D2203" s="95">
        <v>1.0</v>
      </c>
      <c r="E2203" s="101">
        <v>79.0</v>
      </c>
      <c r="F2203" s="101">
        <f t="shared" si="396"/>
        <v>79</v>
      </c>
      <c r="G2203" s="101">
        <f t="shared" si="397"/>
        <v>19.75</v>
      </c>
      <c r="H2203" s="95" t="s">
        <v>279</v>
      </c>
      <c r="J2203" s="247" t="s">
        <v>2619</v>
      </c>
      <c r="K2203" s="89"/>
      <c r="L2203" s="90"/>
      <c r="M2203" s="90"/>
      <c r="P2203" s="68"/>
    </row>
    <row r="2204">
      <c r="A2204" s="95">
        <v>1.9362342828E11</v>
      </c>
      <c r="B2204" s="151" t="s">
        <v>2624</v>
      </c>
      <c r="C2204" s="95" t="s">
        <v>97</v>
      </c>
      <c r="D2204" s="95">
        <v>1.0</v>
      </c>
      <c r="E2204" s="101">
        <v>199.0</v>
      </c>
      <c r="F2204" s="101">
        <f t="shared" si="396"/>
        <v>199</v>
      </c>
      <c r="G2204" s="101">
        <f t="shared" si="397"/>
        <v>49.75</v>
      </c>
      <c r="H2204" s="95" t="s">
        <v>271</v>
      </c>
      <c r="J2204" s="247" t="s">
        <v>2619</v>
      </c>
      <c r="K2204" s="89"/>
      <c r="L2204" s="90"/>
      <c r="M2204" s="90"/>
      <c r="P2204" s="68"/>
    </row>
    <row r="2205">
      <c r="A2205" s="95">
        <v>1.93623428303E11</v>
      </c>
      <c r="B2205" s="151" t="s">
        <v>2624</v>
      </c>
      <c r="C2205" s="95" t="s">
        <v>97</v>
      </c>
      <c r="D2205" s="95">
        <v>1.0</v>
      </c>
      <c r="E2205" s="101">
        <v>199.0</v>
      </c>
      <c r="F2205" s="101">
        <f t="shared" si="396"/>
        <v>199</v>
      </c>
      <c r="G2205" s="101">
        <f t="shared" si="397"/>
        <v>49.75</v>
      </c>
      <c r="H2205" s="95" t="s">
        <v>279</v>
      </c>
      <c r="J2205" s="247" t="s">
        <v>2619</v>
      </c>
      <c r="K2205" s="89"/>
      <c r="L2205" s="90"/>
      <c r="M2205" s="90"/>
      <c r="P2205" s="68"/>
    </row>
    <row r="2206">
      <c r="A2206" s="95">
        <v>1.93623429157E11</v>
      </c>
      <c r="B2206" s="151" t="s">
        <v>2625</v>
      </c>
      <c r="C2206" s="95" t="s">
        <v>97</v>
      </c>
      <c r="D2206" s="95">
        <v>1.0</v>
      </c>
      <c r="E2206" s="101">
        <v>39.98</v>
      </c>
      <c r="F2206" s="101">
        <f t="shared" si="396"/>
        <v>39.98</v>
      </c>
      <c r="G2206" s="101">
        <f t="shared" si="397"/>
        <v>9.995</v>
      </c>
      <c r="H2206" s="95" t="s">
        <v>271</v>
      </c>
      <c r="J2206" s="247" t="s">
        <v>2619</v>
      </c>
      <c r="K2206" s="89"/>
      <c r="L2206" s="90"/>
      <c r="M2206" s="90"/>
      <c r="P2206" s="68"/>
    </row>
    <row r="2207">
      <c r="A2207" s="95">
        <v>1.93623431938E11</v>
      </c>
      <c r="B2207" s="151" t="s">
        <v>2626</v>
      </c>
      <c r="C2207" s="95" t="s">
        <v>97</v>
      </c>
      <c r="D2207" s="95">
        <v>1.0</v>
      </c>
      <c r="E2207" s="101">
        <v>229.0</v>
      </c>
      <c r="F2207" s="101">
        <f t="shared" si="396"/>
        <v>229</v>
      </c>
      <c r="G2207" s="101">
        <f t="shared" si="397"/>
        <v>57.25</v>
      </c>
      <c r="H2207" s="95" t="s">
        <v>271</v>
      </c>
      <c r="J2207" s="247" t="s">
        <v>2619</v>
      </c>
      <c r="K2207" s="89"/>
      <c r="L2207" s="90"/>
      <c r="M2207" s="90"/>
      <c r="P2207" s="68"/>
    </row>
    <row r="2208">
      <c r="A2208" s="95">
        <v>1.93623431952E11</v>
      </c>
      <c r="B2208" s="151" t="s">
        <v>2626</v>
      </c>
      <c r="C2208" s="95" t="s">
        <v>97</v>
      </c>
      <c r="D2208" s="95">
        <v>1.0</v>
      </c>
      <c r="E2208" s="101">
        <v>229.0</v>
      </c>
      <c r="F2208" s="101">
        <f t="shared" si="396"/>
        <v>229</v>
      </c>
      <c r="G2208" s="101">
        <f t="shared" si="397"/>
        <v>57.25</v>
      </c>
      <c r="H2208" s="95" t="s">
        <v>271</v>
      </c>
      <c r="J2208" s="247" t="s">
        <v>2619</v>
      </c>
      <c r="K2208" s="89"/>
      <c r="L2208" s="90"/>
      <c r="M2208" s="90"/>
      <c r="P2208" s="68"/>
    </row>
    <row r="2209">
      <c r="A2209" s="95">
        <v>1.93623432034E11</v>
      </c>
      <c r="B2209" s="151" t="s">
        <v>2627</v>
      </c>
      <c r="C2209" s="95" t="s">
        <v>97</v>
      </c>
      <c r="D2209" s="95">
        <v>1.0</v>
      </c>
      <c r="E2209" s="101">
        <v>199.0</v>
      </c>
      <c r="F2209" s="101">
        <f t="shared" si="396"/>
        <v>199</v>
      </c>
      <c r="G2209" s="101">
        <f t="shared" si="397"/>
        <v>49.75</v>
      </c>
      <c r="H2209" s="95" t="s">
        <v>279</v>
      </c>
      <c r="J2209" s="247" t="s">
        <v>2619</v>
      </c>
      <c r="K2209" s="89"/>
      <c r="L2209" s="90"/>
      <c r="M2209" s="90"/>
      <c r="P2209" s="68"/>
    </row>
    <row r="2210">
      <c r="A2210" s="95">
        <v>1.93623432843E11</v>
      </c>
      <c r="B2210" s="151" t="s">
        <v>2628</v>
      </c>
      <c r="C2210" s="95" t="s">
        <v>97</v>
      </c>
      <c r="D2210" s="95">
        <v>1.0</v>
      </c>
      <c r="E2210" s="101">
        <v>269.0</v>
      </c>
      <c r="F2210" s="101">
        <f t="shared" si="396"/>
        <v>269</v>
      </c>
      <c r="G2210" s="101">
        <f t="shared" si="397"/>
        <v>67.25</v>
      </c>
      <c r="H2210" s="95" t="s">
        <v>279</v>
      </c>
      <c r="J2210" s="247" t="s">
        <v>2619</v>
      </c>
      <c r="K2210" s="89"/>
      <c r="L2210" s="90"/>
      <c r="M2210" s="90"/>
      <c r="P2210" s="68"/>
    </row>
    <row r="2211">
      <c r="A2211" s="95">
        <v>1.93623463106E11</v>
      </c>
      <c r="B2211" s="151" t="s">
        <v>2629</v>
      </c>
      <c r="C2211" s="95" t="s">
        <v>97</v>
      </c>
      <c r="D2211" s="95">
        <v>1.0</v>
      </c>
      <c r="E2211" s="101">
        <v>144.0</v>
      </c>
      <c r="F2211" s="101">
        <f t="shared" si="396"/>
        <v>144</v>
      </c>
      <c r="G2211" s="101">
        <f t="shared" si="397"/>
        <v>36</v>
      </c>
      <c r="H2211" s="95" t="s">
        <v>271</v>
      </c>
      <c r="J2211" s="247" t="s">
        <v>2619</v>
      </c>
      <c r="K2211" s="89"/>
      <c r="L2211" s="90"/>
      <c r="M2211" s="90"/>
      <c r="P2211" s="68"/>
    </row>
    <row r="2212">
      <c r="A2212" s="95">
        <v>1.93623472399E11</v>
      </c>
      <c r="B2212" s="151" t="s">
        <v>2630</v>
      </c>
      <c r="C2212" s="95" t="s">
        <v>97</v>
      </c>
      <c r="D2212" s="95">
        <v>1.0</v>
      </c>
      <c r="E2212" s="101">
        <v>139.0</v>
      </c>
      <c r="F2212" s="101">
        <f t="shared" si="396"/>
        <v>139</v>
      </c>
      <c r="G2212" s="101">
        <f t="shared" si="397"/>
        <v>34.75</v>
      </c>
      <c r="H2212" s="95" t="s">
        <v>271</v>
      </c>
      <c r="J2212" s="247" t="s">
        <v>2619</v>
      </c>
      <c r="K2212" s="89"/>
      <c r="L2212" s="90"/>
      <c r="M2212" s="90"/>
      <c r="P2212" s="68"/>
    </row>
    <row r="2213">
      <c r="A2213" s="95">
        <v>1.93623472511E11</v>
      </c>
      <c r="B2213" s="151" t="s">
        <v>2631</v>
      </c>
      <c r="C2213" s="95" t="s">
        <v>97</v>
      </c>
      <c r="D2213" s="95">
        <v>1.0</v>
      </c>
      <c r="E2213" s="101">
        <v>139.0</v>
      </c>
      <c r="F2213" s="101">
        <f t="shared" si="396"/>
        <v>139</v>
      </c>
      <c r="G2213" s="101">
        <f t="shared" si="397"/>
        <v>34.75</v>
      </c>
      <c r="H2213" s="95" t="s">
        <v>271</v>
      </c>
      <c r="J2213" s="247" t="s">
        <v>2619</v>
      </c>
      <c r="K2213" s="89"/>
      <c r="L2213" s="90"/>
      <c r="M2213" s="90"/>
      <c r="P2213" s="68"/>
    </row>
    <row r="2214">
      <c r="A2214" s="95">
        <v>1.93623495145E11</v>
      </c>
      <c r="B2214" s="151" t="s">
        <v>2632</v>
      </c>
      <c r="C2214" s="95" t="s">
        <v>97</v>
      </c>
      <c r="D2214" s="95">
        <v>1.0</v>
      </c>
      <c r="E2214" s="101">
        <v>99.98</v>
      </c>
      <c r="F2214" s="101">
        <f t="shared" si="396"/>
        <v>99.98</v>
      </c>
      <c r="G2214" s="101">
        <f t="shared" si="397"/>
        <v>24.995</v>
      </c>
      <c r="H2214" s="95" t="s">
        <v>271</v>
      </c>
      <c r="J2214" s="247" t="s">
        <v>2619</v>
      </c>
      <c r="K2214" s="89"/>
      <c r="L2214" s="90"/>
      <c r="M2214" s="90"/>
      <c r="P2214" s="68"/>
    </row>
    <row r="2215">
      <c r="A2215" s="95">
        <v>1.9362350342E11</v>
      </c>
      <c r="B2215" s="151" t="s">
        <v>2633</v>
      </c>
      <c r="C2215" s="95" t="s">
        <v>97</v>
      </c>
      <c r="D2215" s="95">
        <v>1.0</v>
      </c>
      <c r="E2215" s="101">
        <v>134.0</v>
      </c>
      <c r="F2215" s="101">
        <f t="shared" si="396"/>
        <v>134</v>
      </c>
      <c r="G2215" s="101">
        <f t="shared" si="397"/>
        <v>33.5</v>
      </c>
      <c r="H2215" s="95" t="s">
        <v>271</v>
      </c>
      <c r="J2215" s="247" t="s">
        <v>2619</v>
      </c>
      <c r="K2215" s="89"/>
      <c r="L2215" s="90"/>
      <c r="M2215" s="90"/>
      <c r="P2215" s="68"/>
    </row>
    <row r="2216">
      <c r="A2216" s="95">
        <v>1.936236792E11</v>
      </c>
      <c r="B2216" s="151" t="s">
        <v>2634</v>
      </c>
      <c r="C2216" s="95" t="s">
        <v>97</v>
      </c>
      <c r="D2216" s="95">
        <v>1.0</v>
      </c>
      <c r="E2216" s="101">
        <v>39.98</v>
      </c>
      <c r="F2216" s="101">
        <f t="shared" si="396"/>
        <v>39.98</v>
      </c>
      <c r="G2216" s="101">
        <f t="shared" si="397"/>
        <v>9.995</v>
      </c>
      <c r="H2216" s="95" t="s">
        <v>279</v>
      </c>
      <c r="J2216" s="247" t="s">
        <v>2619</v>
      </c>
      <c r="K2216" s="89"/>
      <c r="L2216" s="90"/>
      <c r="M2216" s="90"/>
      <c r="P2216" s="68"/>
    </row>
    <row r="2217">
      <c r="A2217" s="95">
        <v>1.9362385328E11</v>
      </c>
      <c r="B2217" s="151" t="s">
        <v>2047</v>
      </c>
      <c r="C2217" s="95" t="s">
        <v>97</v>
      </c>
      <c r="D2217" s="95">
        <v>1.0</v>
      </c>
      <c r="E2217" s="101">
        <v>89.98</v>
      </c>
      <c r="F2217" s="101">
        <f t="shared" si="396"/>
        <v>89.98</v>
      </c>
      <c r="G2217" s="101">
        <f t="shared" si="397"/>
        <v>22.495</v>
      </c>
      <c r="H2217" s="95" t="s">
        <v>279</v>
      </c>
      <c r="J2217" s="247" t="s">
        <v>2619</v>
      </c>
      <c r="K2217" s="89"/>
      <c r="L2217" s="90"/>
      <c r="M2217" s="90"/>
      <c r="P2217" s="68"/>
    </row>
    <row r="2218">
      <c r="A2218" s="95">
        <v>1.94414615919E11</v>
      </c>
      <c r="B2218" s="151" t="s">
        <v>2635</v>
      </c>
      <c r="C2218" s="95" t="s">
        <v>97</v>
      </c>
      <c r="D2218" s="95">
        <v>1.0</v>
      </c>
      <c r="E2218" s="101">
        <v>103.05</v>
      </c>
      <c r="F2218" s="101">
        <f t="shared" si="396"/>
        <v>103.05</v>
      </c>
      <c r="G2218" s="101">
        <f t="shared" si="397"/>
        <v>25.7625</v>
      </c>
      <c r="H2218" s="95" t="s">
        <v>284</v>
      </c>
      <c r="J2218" s="247" t="s">
        <v>2619</v>
      </c>
      <c r="K2218" s="89"/>
      <c r="L2218" s="90"/>
      <c r="M2218" s="90"/>
      <c r="P2218" s="68"/>
    </row>
    <row r="2219">
      <c r="A2219" s="95">
        <v>1.94414623563E11</v>
      </c>
      <c r="B2219" s="151" t="s">
        <v>2636</v>
      </c>
      <c r="C2219" s="95" t="s">
        <v>97</v>
      </c>
      <c r="D2219" s="95">
        <v>1.0</v>
      </c>
      <c r="E2219" s="101">
        <v>199.0</v>
      </c>
      <c r="F2219" s="101">
        <f t="shared" si="396"/>
        <v>199</v>
      </c>
      <c r="G2219" s="101">
        <f t="shared" si="397"/>
        <v>49.75</v>
      </c>
      <c r="H2219" s="95" t="s">
        <v>271</v>
      </c>
      <c r="J2219" s="247" t="s">
        <v>2619</v>
      </c>
      <c r="K2219" s="89"/>
      <c r="L2219" s="90"/>
      <c r="M2219" s="90"/>
      <c r="P2219" s="68"/>
    </row>
    <row r="2220">
      <c r="A2220" s="95">
        <v>1.94414964604E11</v>
      </c>
      <c r="B2220" s="151" t="s">
        <v>2637</v>
      </c>
      <c r="C2220" s="95" t="s">
        <v>97</v>
      </c>
      <c r="D2220" s="95">
        <v>1.0</v>
      </c>
      <c r="E2220" s="101">
        <v>169.0</v>
      </c>
      <c r="F2220" s="101">
        <f t="shared" si="396"/>
        <v>169</v>
      </c>
      <c r="G2220" s="101">
        <f t="shared" si="397"/>
        <v>42.25</v>
      </c>
      <c r="H2220" s="95" t="s">
        <v>279</v>
      </c>
      <c r="J2220" s="247" t="s">
        <v>2619</v>
      </c>
      <c r="K2220" s="89"/>
      <c r="L2220" s="90"/>
      <c r="M2220" s="90"/>
      <c r="P2220" s="68"/>
    </row>
    <row r="2221">
      <c r="A2221" s="95">
        <v>1.94414965403E11</v>
      </c>
      <c r="B2221" s="151" t="s">
        <v>2638</v>
      </c>
      <c r="C2221" s="95" t="s">
        <v>97</v>
      </c>
      <c r="D2221" s="95">
        <v>1.0</v>
      </c>
      <c r="E2221" s="101">
        <v>139.0</v>
      </c>
      <c r="F2221" s="101">
        <f t="shared" si="396"/>
        <v>139</v>
      </c>
      <c r="G2221" s="101">
        <f t="shared" si="397"/>
        <v>34.75</v>
      </c>
      <c r="H2221" s="95" t="s">
        <v>271</v>
      </c>
      <c r="J2221" s="247" t="s">
        <v>2619</v>
      </c>
      <c r="K2221" s="89"/>
      <c r="L2221" s="90"/>
      <c r="M2221" s="90"/>
      <c r="P2221" s="68"/>
    </row>
    <row r="2222">
      <c r="A2222" s="95">
        <v>1.94414965441E11</v>
      </c>
      <c r="B2222" s="151" t="s">
        <v>2638</v>
      </c>
      <c r="C2222" s="95" t="s">
        <v>97</v>
      </c>
      <c r="D2222" s="95">
        <v>1.0</v>
      </c>
      <c r="E2222" s="101">
        <v>139.0</v>
      </c>
      <c r="F2222" s="101">
        <f t="shared" si="396"/>
        <v>139</v>
      </c>
      <c r="G2222" s="101">
        <f t="shared" si="397"/>
        <v>34.75</v>
      </c>
      <c r="H2222" s="95" t="s">
        <v>279</v>
      </c>
      <c r="J2222" s="247" t="s">
        <v>2619</v>
      </c>
      <c r="K2222" s="89"/>
      <c r="L2222" s="90"/>
      <c r="M2222" s="90"/>
      <c r="P2222" s="68"/>
    </row>
    <row r="2223">
      <c r="A2223" s="95">
        <v>1.94414967797E11</v>
      </c>
      <c r="B2223" s="151" t="s">
        <v>2639</v>
      </c>
      <c r="C2223" s="95" t="s">
        <v>97</v>
      </c>
      <c r="D2223" s="95">
        <v>1.0</v>
      </c>
      <c r="E2223" s="101">
        <v>89.98</v>
      </c>
      <c r="F2223" s="101">
        <f t="shared" si="396"/>
        <v>89.98</v>
      </c>
      <c r="G2223" s="101">
        <f t="shared" si="397"/>
        <v>22.495</v>
      </c>
      <c r="H2223" s="95" t="s">
        <v>279</v>
      </c>
      <c r="J2223" s="247" t="s">
        <v>2619</v>
      </c>
      <c r="K2223" s="89"/>
      <c r="L2223" s="90"/>
      <c r="M2223" s="90"/>
      <c r="P2223" s="68"/>
    </row>
    <row r="2224">
      <c r="A2224" s="95">
        <v>1.94414967827E11</v>
      </c>
      <c r="B2224" s="151" t="s">
        <v>2639</v>
      </c>
      <c r="C2224" s="95" t="s">
        <v>97</v>
      </c>
      <c r="D2224" s="95">
        <v>1.0</v>
      </c>
      <c r="E2224" s="101">
        <v>89.98</v>
      </c>
      <c r="F2224" s="101">
        <f t="shared" si="396"/>
        <v>89.98</v>
      </c>
      <c r="G2224" s="101">
        <f t="shared" si="397"/>
        <v>22.495</v>
      </c>
      <c r="H2224" s="95" t="s">
        <v>279</v>
      </c>
      <c r="J2224" s="247" t="s">
        <v>2619</v>
      </c>
      <c r="K2224" s="89"/>
      <c r="L2224" s="90"/>
      <c r="M2224" s="90"/>
      <c r="P2224" s="68"/>
    </row>
    <row r="2225">
      <c r="A2225" s="95">
        <v>1.94414971114E11</v>
      </c>
      <c r="B2225" s="151" t="s">
        <v>2047</v>
      </c>
      <c r="C2225" s="95" t="s">
        <v>97</v>
      </c>
      <c r="D2225" s="95">
        <v>1.0</v>
      </c>
      <c r="E2225" s="101">
        <v>149.0</v>
      </c>
      <c r="F2225" s="101">
        <f t="shared" si="396"/>
        <v>149</v>
      </c>
      <c r="G2225" s="101">
        <f t="shared" si="397"/>
        <v>37.25</v>
      </c>
      <c r="H2225" s="95" t="s">
        <v>279</v>
      </c>
      <c r="J2225" s="247" t="s">
        <v>2619</v>
      </c>
      <c r="K2225" s="89"/>
      <c r="L2225" s="90"/>
      <c r="M2225" s="90"/>
      <c r="P2225" s="68"/>
    </row>
    <row r="2226">
      <c r="A2226" s="95">
        <v>1.95046615339E11</v>
      </c>
      <c r="B2226" s="151" t="s">
        <v>2640</v>
      </c>
      <c r="C2226" s="95" t="s">
        <v>97</v>
      </c>
      <c r="D2226" s="95">
        <v>1.0</v>
      </c>
      <c r="E2226" s="101">
        <v>49.5</v>
      </c>
      <c r="F2226" s="101">
        <f t="shared" si="396"/>
        <v>49.5</v>
      </c>
      <c r="G2226" s="101">
        <f t="shared" si="397"/>
        <v>12.375</v>
      </c>
      <c r="H2226" s="95" t="s">
        <v>1424</v>
      </c>
      <c r="J2226" s="247" t="s">
        <v>2619</v>
      </c>
      <c r="K2226" s="89"/>
      <c r="L2226" s="90"/>
      <c r="M2226" s="90"/>
      <c r="P2226" s="68"/>
    </row>
    <row r="2227">
      <c r="A2227" s="95">
        <v>1.95046893904E11</v>
      </c>
      <c r="B2227" s="151" t="s">
        <v>2641</v>
      </c>
      <c r="C2227" s="95" t="s">
        <v>97</v>
      </c>
      <c r="D2227" s="95">
        <v>1.0</v>
      </c>
      <c r="E2227" s="101">
        <v>39.98</v>
      </c>
      <c r="F2227" s="101">
        <f t="shared" si="396"/>
        <v>39.98</v>
      </c>
      <c r="G2227" s="101">
        <f t="shared" si="397"/>
        <v>9.995</v>
      </c>
      <c r="H2227" s="95" t="s">
        <v>271</v>
      </c>
      <c r="J2227" s="247" t="s">
        <v>2619</v>
      </c>
      <c r="K2227" s="89"/>
      <c r="L2227" s="90"/>
      <c r="M2227" s="90"/>
      <c r="P2227" s="68"/>
    </row>
    <row r="2228">
      <c r="A2228" s="95">
        <v>1.95046893911E11</v>
      </c>
      <c r="B2228" s="151" t="s">
        <v>2642</v>
      </c>
      <c r="C2228" s="95" t="s">
        <v>97</v>
      </c>
      <c r="D2228" s="95">
        <v>1.0</v>
      </c>
      <c r="E2228" s="101">
        <v>39.98</v>
      </c>
      <c r="F2228" s="101">
        <f t="shared" si="396"/>
        <v>39.98</v>
      </c>
      <c r="G2228" s="101">
        <f t="shared" si="397"/>
        <v>9.995</v>
      </c>
      <c r="H2228" s="95" t="s">
        <v>284</v>
      </c>
      <c r="J2228" s="247" t="s">
        <v>2619</v>
      </c>
      <c r="K2228" s="89"/>
      <c r="L2228" s="90"/>
      <c r="M2228" s="90"/>
      <c r="P2228" s="68"/>
    </row>
    <row r="2229">
      <c r="A2229" s="95">
        <v>1.95046895373E11</v>
      </c>
      <c r="B2229" s="151" t="s">
        <v>2643</v>
      </c>
      <c r="C2229" s="95" t="s">
        <v>97</v>
      </c>
      <c r="D2229" s="95">
        <v>1.0</v>
      </c>
      <c r="E2229" s="101">
        <v>139.0</v>
      </c>
      <c r="F2229" s="101">
        <f t="shared" si="396"/>
        <v>139</v>
      </c>
      <c r="G2229" s="101">
        <f t="shared" si="397"/>
        <v>34.75</v>
      </c>
      <c r="H2229" s="95" t="s">
        <v>271</v>
      </c>
      <c r="J2229" s="247" t="s">
        <v>2619</v>
      </c>
      <c r="K2229" s="89"/>
      <c r="L2229" s="90"/>
      <c r="M2229" s="90"/>
      <c r="P2229" s="68"/>
    </row>
    <row r="2230">
      <c r="A2230" s="95">
        <v>1.95046906567E11</v>
      </c>
      <c r="B2230" s="151" t="s">
        <v>2644</v>
      </c>
      <c r="C2230" s="95" t="s">
        <v>97</v>
      </c>
      <c r="D2230" s="95">
        <v>1.0</v>
      </c>
      <c r="E2230" s="101">
        <v>134.0</v>
      </c>
      <c r="F2230" s="101">
        <f t="shared" si="396"/>
        <v>134</v>
      </c>
      <c r="G2230" s="101">
        <f t="shared" si="397"/>
        <v>33.5</v>
      </c>
      <c r="H2230" s="95" t="s">
        <v>271</v>
      </c>
      <c r="J2230" s="247" t="s">
        <v>2619</v>
      </c>
      <c r="K2230" s="89"/>
      <c r="L2230" s="90"/>
      <c r="M2230" s="90"/>
      <c r="P2230" s="68"/>
    </row>
    <row r="2231">
      <c r="A2231" s="95">
        <v>1.9504690866E11</v>
      </c>
      <c r="B2231" s="151" t="s">
        <v>2645</v>
      </c>
      <c r="C2231" s="95" t="s">
        <v>97</v>
      </c>
      <c r="D2231" s="95">
        <v>1.0</v>
      </c>
      <c r="E2231" s="101">
        <v>134.0</v>
      </c>
      <c r="F2231" s="101">
        <f t="shared" si="396"/>
        <v>134</v>
      </c>
      <c r="G2231" s="101">
        <f t="shared" si="397"/>
        <v>33.5</v>
      </c>
      <c r="H2231" s="95" t="s">
        <v>271</v>
      </c>
      <c r="J2231" s="247" t="s">
        <v>2619</v>
      </c>
      <c r="K2231" s="89"/>
      <c r="L2231" s="90"/>
      <c r="M2231" s="90"/>
      <c r="P2231" s="68"/>
    </row>
    <row r="2232">
      <c r="A2232" s="95">
        <v>1.9504690879E11</v>
      </c>
      <c r="B2232" s="151" t="s">
        <v>2646</v>
      </c>
      <c r="C2232" s="95" t="s">
        <v>97</v>
      </c>
      <c r="D2232" s="95">
        <v>1.0</v>
      </c>
      <c r="E2232" s="101">
        <v>139.0</v>
      </c>
      <c r="F2232" s="101">
        <f t="shared" si="396"/>
        <v>139</v>
      </c>
      <c r="G2232" s="101">
        <f t="shared" si="397"/>
        <v>34.75</v>
      </c>
      <c r="H2232" s="95" t="s">
        <v>271</v>
      </c>
      <c r="J2232" s="247" t="s">
        <v>2619</v>
      </c>
      <c r="K2232" s="89"/>
      <c r="L2232" s="90"/>
      <c r="M2232" s="90"/>
      <c r="P2232" s="68"/>
    </row>
    <row r="2233">
      <c r="A2233" s="211"/>
      <c r="B2233" s="231" t="s">
        <v>2647</v>
      </c>
      <c r="C2233" s="234" t="str">
        <f>MID($B2233,6,7)</f>
        <v>XM18862</v>
      </c>
      <c r="D2233" s="231"/>
      <c r="E2233" s="231"/>
      <c r="F2233" s="231"/>
      <c r="G2233" s="231"/>
      <c r="H2233" s="235">
        <v>44560.0</v>
      </c>
      <c r="J2233" s="108" t="str">
        <f>IF(LEFT(B2233,3)="Box","BOX","COUNT")</f>
        <v>BOX</v>
      </c>
      <c r="K2233" s="99">
        <f>SUMIF($J$4:$J$8712,$C2233,$D$4:$D$8712)</f>
        <v>34</v>
      </c>
      <c r="L2233" s="50">
        <f>SUMIF($J$4:$J$8712,$C2233,$F$4:$F$8712)</f>
        <v>4332.32</v>
      </c>
      <c r="M2233" s="50">
        <f>SUMIF($J$4:$J$8712,$C2233,$G$4:$G$8712)</f>
        <v>1083.08</v>
      </c>
      <c r="N2233" s="70" t="str">
        <f>C2233</f>
        <v>XM18862</v>
      </c>
      <c r="O2233" s="70" t="str">
        <f>J2234</f>
        <v>NSHIP</v>
      </c>
      <c r="P2233" s="68">
        <f>M2233</f>
        <v>1083.08</v>
      </c>
    </row>
    <row r="2234">
      <c r="A2234" s="211"/>
      <c r="B2234" s="231"/>
      <c r="C2234" s="109"/>
      <c r="D2234" s="109"/>
      <c r="E2234" s="116"/>
      <c r="F2234" s="116"/>
      <c r="G2234" s="116"/>
      <c r="H2234" s="109"/>
      <c r="J2234" s="108" t="str">
        <f>IF(B2234="","NSHIP","SHIP")</f>
        <v>NSHIP</v>
      </c>
      <c r="K2234" s="99">
        <f>IF($J2234="NSHIP",0,-SUMIF($J$4:$J$8712,$C2233,$D$4:$D$8712))</f>
        <v>0</v>
      </c>
      <c r="L2234" s="50">
        <f>IF($J2234="NSHIP",0,-SUMIF($J$4:$J$8710,$C2233,$F$4:$F$8710))</f>
        <v>0</v>
      </c>
      <c r="M2234" s="50">
        <f>IF($J2234="NSHIP",0,-SUMIF($J$4:$J$8710,$C2233,$G$4:$G$8710))</f>
        <v>0</v>
      </c>
      <c r="P2234" s="68"/>
    </row>
    <row r="2235">
      <c r="A2235" s="95">
        <v>1.90466454742E11</v>
      </c>
      <c r="B2235" s="151" t="s">
        <v>2648</v>
      </c>
      <c r="C2235" s="95" t="s">
        <v>97</v>
      </c>
      <c r="D2235" s="95">
        <v>1.0</v>
      </c>
      <c r="E2235" s="101">
        <v>89.98</v>
      </c>
      <c r="F2235" s="101">
        <f t="shared" ref="F2235:F2268" si="398">E2235*D2235</f>
        <v>89.98</v>
      </c>
      <c r="G2235" s="101">
        <f t="shared" ref="G2235:G2268" si="399">F2235/4</f>
        <v>22.495</v>
      </c>
      <c r="H2235" s="95" t="s">
        <v>271</v>
      </c>
      <c r="J2235" s="247" t="s">
        <v>2649</v>
      </c>
      <c r="K2235" s="89"/>
      <c r="L2235" s="90"/>
      <c r="M2235" s="90"/>
      <c r="P2235" s="68"/>
    </row>
    <row r="2236">
      <c r="A2236" s="95">
        <v>1.92351066245E11</v>
      </c>
      <c r="B2236" s="151" t="s">
        <v>2650</v>
      </c>
      <c r="C2236" s="95" t="s">
        <v>97</v>
      </c>
      <c r="D2236" s="95">
        <v>1.0</v>
      </c>
      <c r="E2236" s="101">
        <v>119.0</v>
      </c>
      <c r="F2236" s="101">
        <f t="shared" si="398"/>
        <v>119</v>
      </c>
      <c r="G2236" s="101">
        <f t="shared" si="399"/>
        <v>29.75</v>
      </c>
      <c r="H2236" s="95" t="s">
        <v>271</v>
      </c>
      <c r="J2236" s="247" t="s">
        <v>2649</v>
      </c>
      <c r="K2236" s="89"/>
      <c r="L2236" s="90"/>
      <c r="M2236" s="90"/>
      <c r="P2236" s="68"/>
    </row>
    <row r="2237">
      <c r="A2237" s="95">
        <v>1.92351066979E11</v>
      </c>
      <c r="B2237" s="151" t="s">
        <v>2651</v>
      </c>
      <c r="C2237" s="95" t="s">
        <v>97</v>
      </c>
      <c r="D2237" s="95">
        <v>1.0</v>
      </c>
      <c r="E2237" s="101">
        <v>89.98</v>
      </c>
      <c r="F2237" s="101">
        <f t="shared" si="398"/>
        <v>89.98</v>
      </c>
      <c r="G2237" s="101">
        <f t="shared" si="399"/>
        <v>22.495</v>
      </c>
      <c r="H2237" s="95" t="s">
        <v>271</v>
      </c>
      <c r="J2237" s="247" t="s">
        <v>2649</v>
      </c>
      <c r="K2237" s="89"/>
      <c r="L2237" s="90"/>
      <c r="M2237" s="90"/>
      <c r="P2237" s="68"/>
    </row>
    <row r="2238">
      <c r="A2238" s="95">
        <v>1.92351426384E11</v>
      </c>
      <c r="B2238" s="151" t="s">
        <v>2652</v>
      </c>
      <c r="C2238" s="95" t="s">
        <v>97</v>
      </c>
      <c r="D2238" s="95">
        <v>1.0</v>
      </c>
      <c r="E2238" s="101">
        <v>89.98</v>
      </c>
      <c r="F2238" s="101">
        <f t="shared" si="398"/>
        <v>89.98</v>
      </c>
      <c r="G2238" s="101">
        <f t="shared" si="399"/>
        <v>22.495</v>
      </c>
      <c r="H2238" s="95" t="s">
        <v>271</v>
      </c>
      <c r="J2238" s="247" t="s">
        <v>2649</v>
      </c>
      <c r="K2238" s="89"/>
      <c r="L2238" s="90"/>
      <c r="M2238" s="90"/>
      <c r="P2238" s="68"/>
    </row>
    <row r="2239">
      <c r="A2239" s="95">
        <v>1.93623317218E11</v>
      </c>
      <c r="B2239" s="151" t="s">
        <v>2653</v>
      </c>
      <c r="C2239" s="95" t="s">
        <v>97</v>
      </c>
      <c r="D2239" s="95">
        <v>1.0</v>
      </c>
      <c r="E2239" s="101">
        <v>129.0</v>
      </c>
      <c r="F2239" s="101">
        <f t="shared" si="398"/>
        <v>129</v>
      </c>
      <c r="G2239" s="101">
        <f t="shared" si="399"/>
        <v>32.25</v>
      </c>
      <c r="H2239" s="95" t="s">
        <v>279</v>
      </c>
      <c r="J2239" s="247" t="s">
        <v>2649</v>
      </c>
      <c r="K2239" s="89"/>
      <c r="L2239" s="90"/>
      <c r="M2239" s="90"/>
      <c r="P2239" s="68"/>
    </row>
    <row r="2240">
      <c r="A2240" s="95">
        <v>1.93623321932E11</v>
      </c>
      <c r="B2240" s="151" t="s">
        <v>2654</v>
      </c>
      <c r="C2240" s="95" t="s">
        <v>97</v>
      </c>
      <c r="D2240" s="95">
        <v>1.0</v>
      </c>
      <c r="E2240" s="101">
        <v>89.98</v>
      </c>
      <c r="F2240" s="101">
        <f t="shared" si="398"/>
        <v>89.98</v>
      </c>
      <c r="G2240" s="101">
        <f t="shared" si="399"/>
        <v>22.495</v>
      </c>
      <c r="H2240" s="95" t="s">
        <v>279</v>
      </c>
      <c r="J2240" s="247" t="s">
        <v>2649</v>
      </c>
      <c r="K2240" s="89"/>
      <c r="L2240" s="90"/>
      <c r="M2240" s="90"/>
      <c r="P2240" s="68"/>
    </row>
    <row r="2241">
      <c r="A2241" s="95">
        <v>1.9362343777E11</v>
      </c>
      <c r="B2241" s="151" t="s">
        <v>2655</v>
      </c>
      <c r="C2241" s="95" t="s">
        <v>97</v>
      </c>
      <c r="D2241" s="95">
        <v>1.0</v>
      </c>
      <c r="E2241" s="101">
        <v>269.0</v>
      </c>
      <c r="F2241" s="101">
        <f t="shared" si="398"/>
        <v>269</v>
      </c>
      <c r="G2241" s="101">
        <f t="shared" si="399"/>
        <v>67.25</v>
      </c>
      <c r="H2241" s="95" t="s">
        <v>271</v>
      </c>
      <c r="J2241" s="247" t="s">
        <v>2649</v>
      </c>
      <c r="K2241" s="89"/>
      <c r="L2241" s="90"/>
      <c r="M2241" s="90"/>
      <c r="P2241" s="68"/>
    </row>
    <row r="2242">
      <c r="A2242" s="95">
        <v>1.93623444983E11</v>
      </c>
      <c r="B2242" s="151" t="s">
        <v>2047</v>
      </c>
      <c r="C2242" s="95" t="s">
        <v>97</v>
      </c>
      <c r="D2242" s="95">
        <v>1.0</v>
      </c>
      <c r="E2242" s="101">
        <v>149.0</v>
      </c>
      <c r="F2242" s="101">
        <f t="shared" si="398"/>
        <v>149</v>
      </c>
      <c r="G2242" s="101">
        <f t="shared" si="399"/>
        <v>37.25</v>
      </c>
      <c r="H2242" s="95" t="s">
        <v>279</v>
      </c>
      <c r="J2242" s="247" t="s">
        <v>2649</v>
      </c>
      <c r="K2242" s="89"/>
      <c r="L2242" s="90"/>
      <c r="M2242" s="90"/>
      <c r="P2242" s="68"/>
    </row>
    <row r="2243">
      <c r="A2243" s="95">
        <v>1.93623509781E11</v>
      </c>
      <c r="B2243" s="151" t="s">
        <v>2656</v>
      </c>
      <c r="C2243" s="95" t="s">
        <v>97</v>
      </c>
      <c r="D2243" s="95">
        <v>1.0</v>
      </c>
      <c r="E2243" s="101">
        <v>89.98</v>
      </c>
      <c r="F2243" s="101">
        <f t="shared" si="398"/>
        <v>89.98</v>
      </c>
      <c r="G2243" s="101">
        <f t="shared" si="399"/>
        <v>22.495</v>
      </c>
      <c r="H2243" s="95" t="s">
        <v>271</v>
      </c>
      <c r="J2243" s="247" t="s">
        <v>2649</v>
      </c>
      <c r="K2243" s="89"/>
      <c r="L2243" s="90"/>
      <c r="M2243" s="90"/>
      <c r="P2243" s="68"/>
    </row>
    <row r="2244">
      <c r="A2244" s="95">
        <v>1.93623853006E11</v>
      </c>
      <c r="B2244" s="151" t="s">
        <v>2657</v>
      </c>
      <c r="C2244" s="95" t="s">
        <v>97</v>
      </c>
      <c r="D2244" s="95">
        <v>1.0</v>
      </c>
      <c r="E2244" s="101">
        <v>89.98</v>
      </c>
      <c r="F2244" s="101">
        <f t="shared" si="398"/>
        <v>89.98</v>
      </c>
      <c r="G2244" s="101">
        <f t="shared" si="399"/>
        <v>22.495</v>
      </c>
      <c r="H2244" s="95" t="s">
        <v>271</v>
      </c>
      <c r="J2244" s="247" t="s">
        <v>2649</v>
      </c>
      <c r="K2244" s="89"/>
      <c r="L2244" s="90"/>
      <c r="M2244" s="90"/>
      <c r="P2244" s="68"/>
    </row>
    <row r="2245">
      <c r="A2245" s="95">
        <v>1.9362385302E11</v>
      </c>
      <c r="B2245" s="151" t="s">
        <v>2658</v>
      </c>
      <c r="C2245" s="95" t="s">
        <v>97</v>
      </c>
      <c r="D2245" s="95">
        <v>1.0</v>
      </c>
      <c r="E2245" s="101">
        <v>89.98</v>
      </c>
      <c r="F2245" s="101">
        <f t="shared" si="398"/>
        <v>89.98</v>
      </c>
      <c r="G2245" s="101">
        <f t="shared" si="399"/>
        <v>22.495</v>
      </c>
      <c r="H2245" s="95" t="s">
        <v>271</v>
      </c>
      <c r="J2245" s="247" t="s">
        <v>2649</v>
      </c>
      <c r="K2245" s="89"/>
      <c r="L2245" s="90"/>
      <c r="M2245" s="90"/>
      <c r="P2245" s="68"/>
    </row>
    <row r="2246">
      <c r="A2246" s="95">
        <v>1.93623993245E11</v>
      </c>
      <c r="B2246" s="151" t="s">
        <v>2659</v>
      </c>
      <c r="C2246" s="95" t="s">
        <v>97</v>
      </c>
      <c r="D2246" s="95">
        <v>1.0</v>
      </c>
      <c r="E2246" s="101">
        <v>229.0</v>
      </c>
      <c r="F2246" s="101">
        <f t="shared" si="398"/>
        <v>229</v>
      </c>
      <c r="G2246" s="101">
        <f t="shared" si="399"/>
        <v>57.25</v>
      </c>
      <c r="H2246" s="95" t="s">
        <v>271</v>
      </c>
      <c r="J2246" s="247" t="s">
        <v>2649</v>
      </c>
      <c r="K2246" s="89"/>
      <c r="L2246" s="90"/>
      <c r="M2246" s="90"/>
      <c r="P2246" s="68"/>
    </row>
    <row r="2247">
      <c r="A2247" s="95">
        <v>1.94414141753E11</v>
      </c>
      <c r="B2247" s="151" t="s">
        <v>2660</v>
      </c>
      <c r="C2247" s="95" t="s">
        <v>97</v>
      </c>
      <c r="D2247" s="95">
        <v>1.0</v>
      </c>
      <c r="E2247" s="101">
        <v>89.98</v>
      </c>
      <c r="F2247" s="101">
        <f t="shared" si="398"/>
        <v>89.98</v>
      </c>
      <c r="G2247" s="101">
        <f t="shared" si="399"/>
        <v>22.495</v>
      </c>
      <c r="H2247" s="95" t="s">
        <v>271</v>
      </c>
      <c r="J2247" s="247" t="s">
        <v>2649</v>
      </c>
      <c r="K2247" s="89"/>
      <c r="L2247" s="90"/>
      <c r="M2247" s="90"/>
      <c r="P2247" s="68"/>
    </row>
    <row r="2248">
      <c r="A2248" s="95">
        <v>1.94414160167E11</v>
      </c>
      <c r="B2248" s="151" t="s">
        <v>2661</v>
      </c>
      <c r="C2248" s="95" t="s">
        <v>97</v>
      </c>
      <c r="D2248" s="95">
        <v>1.0</v>
      </c>
      <c r="E2248" s="101">
        <v>199.0</v>
      </c>
      <c r="F2248" s="101">
        <f t="shared" si="398"/>
        <v>199</v>
      </c>
      <c r="G2248" s="101">
        <f t="shared" si="399"/>
        <v>49.75</v>
      </c>
      <c r="H2248" s="95" t="s">
        <v>271</v>
      </c>
      <c r="J2248" s="247" t="s">
        <v>2649</v>
      </c>
      <c r="K2248" s="89"/>
      <c r="L2248" s="90"/>
      <c r="M2248" s="90"/>
      <c r="P2248" s="68"/>
    </row>
    <row r="2249">
      <c r="A2249" s="95">
        <v>1.94414177066E11</v>
      </c>
      <c r="B2249" s="151" t="s">
        <v>2662</v>
      </c>
      <c r="C2249" s="95" t="s">
        <v>97</v>
      </c>
      <c r="D2249" s="95">
        <v>1.0</v>
      </c>
      <c r="E2249" s="101">
        <v>49.99</v>
      </c>
      <c r="F2249" s="101">
        <f t="shared" si="398"/>
        <v>49.99</v>
      </c>
      <c r="G2249" s="101">
        <f t="shared" si="399"/>
        <v>12.4975</v>
      </c>
      <c r="H2249" s="95" t="s">
        <v>284</v>
      </c>
      <c r="J2249" s="247" t="s">
        <v>2649</v>
      </c>
      <c r="K2249" s="89"/>
      <c r="L2249" s="90"/>
      <c r="M2249" s="90"/>
      <c r="P2249" s="68"/>
    </row>
    <row r="2250">
      <c r="A2250" s="95">
        <v>1.94414181834E11</v>
      </c>
      <c r="B2250" s="151" t="s">
        <v>2663</v>
      </c>
      <c r="C2250" s="95" t="s">
        <v>97</v>
      </c>
      <c r="D2250" s="95">
        <v>1.0</v>
      </c>
      <c r="E2250" s="101">
        <v>104.25</v>
      </c>
      <c r="F2250" s="101">
        <f t="shared" si="398"/>
        <v>104.25</v>
      </c>
      <c r="G2250" s="101">
        <f t="shared" si="399"/>
        <v>26.0625</v>
      </c>
      <c r="H2250" s="95" t="s">
        <v>271</v>
      </c>
      <c r="J2250" s="247" t="s">
        <v>2649</v>
      </c>
      <c r="K2250" s="89"/>
      <c r="L2250" s="90"/>
      <c r="M2250" s="90"/>
      <c r="P2250" s="68"/>
    </row>
    <row r="2251">
      <c r="A2251" s="95">
        <v>1.94414582839E11</v>
      </c>
      <c r="B2251" s="151" t="s">
        <v>2664</v>
      </c>
      <c r="C2251" s="95" t="s">
        <v>97</v>
      </c>
      <c r="D2251" s="95">
        <v>1.0</v>
      </c>
      <c r="E2251" s="101">
        <v>73.6</v>
      </c>
      <c r="F2251" s="101">
        <f t="shared" si="398"/>
        <v>73.6</v>
      </c>
      <c r="G2251" s="101">
        <f t="shared" si="399"/>
        <v>18.4</v>
      </c>
      <c r="H2251" s="95" t="s">
        <v>271</v>
      </c>
      <c r="J2251" s="247" t="s">
        <v>2649</v>
      </c>
      <c r="K2251" s="89"/>
      <c r="L2251" s="90"/>
      <c r="M2251" s="90"/>
      <c r="P2251" s="68"/>
    </row>
    <row r="2252">
      <c r="A2252" s="95">
        <v>1.94414852277E11</v>
      </c>
      <c r="B2252" s="151" t="s">
        <v>2665</v>
      </c>
      <c r="C2252" s="95" t="s">
        <v>97</v>
      </c>
      <c r="D2252" s="95">
        <v>1.0</v>
      </c>
      <c r="E2252" s="101">
        <v>134.0</v>
      </c>
      <c r="F2252" s="101">
        <f t="shared" si="398"/>
        <v>134</v>
      </c>
      <c r="G2252" s="101">
        <f t="shared" si="399"/>
        <v>33.5</v>
      </c>
      <c r="H2252" s="95" t="s">
        <v>279</v>
      </c>
      <c r="J2252" s="247" t="s">
        <v>2649</v>
      </c>
      <c r="K2252" s="89"/>
      <c r="L2252" s="90"/>
      <c r="M2252" s="90"/>
      <c r="P2252" s="68"/>
    </row>
    <row r="2253">
      <c r="A2253" s="95">
        <v>1.9441496541E11</v>
      </c>
      <c r="B2253" s="151" t="s">
        <v>2638</v>
      </c>
      <c r="C2253" s="95" t="s">
        <v>97</v>
      </c>
      <c r="D2253" s="95">
        <v>1.0</v>
      </c>
      <c r="E2253" s="101">
        <v>139.0</v>
      </c>
      <c r="F2253" s="101">
        <f t="shared" si="398"/>
        <v>139</v>
      </c>
      <c r="G2253" s="101">
        <f t="shared" si="399"/>
        <v>34.75</v>
      </c>
      <c r="H2253" s="95" t="s">
        <v>271</v>
      </c>
      <c r="J2253" s="247" t="s">
        <v>2649</v>
      </c>
      <c r="K2253" s="89"/>
      <c r="L2253" s="90"/>
      <c r="M2253" s="90"/>
      <c r="P2253" s="68"/>
    </row>
    <row r="2254">
      <c r="A2254" s="95">
        <v>1.94414965441E11</v>
      </c>
      <c r="B2254" s="151" t="s">
        <v>2638</v>
      </c>
      <c r="C2254" s="95" t="s">
        <v>97</v>
      </c>
      <c r="D2254" s="95">
        <v>1.0</v>
      </c>
      <c r="E2254" s="101">
        <v>139.0</v>
      </c>
      <c r="F2254" s="101">
        <f t="shared" si="398"/>
        <v>139</v>
      </c>
      <c r="G2254" s="101">
        <f t="shared" si="399"/>
        <v>34.75</v>
      </c>
      <c r="H2254" s="95" t="s">
        <v>279</v>
      </c>
      <c r="J2254" s="247" t="s">
        <v>2649</v>
      </c>
      <c r="K2254" s="89"/>
      <c r="L2254" s="90"/>
      <c r="M2254" s="90"/>
      <c r="P2254" s="68"/>
    </row>
    <row r="2255">
      <c r="A2255" s="95">
        <v>1.94414970384E11</v>
      </c>
      <c r="B2255" s="151" t="s">
        <v>2666</v>
      </c>
      <c r="C2255" s="95" t="s">
        <v>97</v>
      </c>
      <c r="D2255" s="95">
        <v>1.0</v>
      </c>
      <c r="E2255" s="101">
        <v>139.0</v>
      </c>
      <c r="F2255" s="101">
        <f t="shared" si="398"/>
        <v>139</v>
      </c>
      <c r="G2255" s="101">
        <f t="shared" si="399"/>
        <v>34.75</v>
      </c>
      <c r="H2255" s="95" t="s">
        <v>279</v>
      </c>
      <c r="J2255" s="247" t="s">
        <v>2649</v>
      </c>
      <c r="K2255" s="89"/>
      <c r="L2255" s="90"/>
      <c r="M2255" s="90"/>
      <c r="P2255" s="68"/>
    </row>
    <row r="2256">
      <c r="A2256" s="95">
        <v>1.95046393091E11</v>
      </c>
      <c r="B2256" s="151" t="s">
        <v>2667</v>
      </c>
      <c r="C2256" s="95" t="s">
        <v>97</v>
      </c>
      <c r="D2256" s="95">
        <v>1.0</v>
      </c>
      <c r="E2256" s="101">
        <v>69.5</v>
      </c>
      <c r="F2256" s="101">
        <f t="shared" si="398"/>
        <v>69.5</v>
      </c>
      <c r="G2256" s="101">
        <f t="shared" si="399"/>
        <v>17.375</v>
      </c>
      <c r="H2256" s="95" t="s">
        <v>1424</v>
      </c>
      <c r="J2256" s="247" t="s">
        <v>2649</v>
      </c>
      <c r="K2256" s="89"/>
      <c r="L2256" s="90"/>
      <c r="M2256" s="90"/>
      <c r="P2256" s="68"/>
    </row>
    <row r="2257">
      <c r="A2257" s="95">
        <v>1.95046393589E11</v>
      </c>
      <c r="B2257" s="151" t="s">
        <v>2668</v>
      </c>
      <c r="C2257" s="95" t="s">
        <v>97</v>
      </c>
      <c r="D2257" s="95">
        <v>1.0</v>
      </c>
      <c r="E2257" s="101">
        <v>69.5</v>
      </c>
      <c r="F2257" s="101">
        <f t="shared" si="398"/>
        <v>69.5</v>
      </c>
      <c r="G2257" s="101">
        <f t="shared" si="399"/>
        <v>17.375</v>
      </c>
      <c r="H2257" s="95" t="s">
        <v>1424</v>
      </c>
      <c r="J2257" s="247" t="s">
        <v>2649</v>
      </c>
      <c r="K2257" s="89"/>
      <c r="L2257" s="90"/>
      <c r="M2257" s="90"/>
      <c r="P2257" s="68"/>
    </row>
    <row r="2258">
      <c r="A2258" s="95">
        <v>1.95046592388E11</v>
      </c>
      <c r="B2258" s="151" t="s">
        <v>1440</v>
      </c>
      <c r="C2258" s="95" t="s">
        <v>97</v>
      </c>
      <c r="D2258" s="95">
        <v>1.0</v>
      </c>
      <c r="E2258" s="101">
        <v>89.5</v>
      </c>
      <c r="F2258" s="101">
        <f t="shared" si="398"/>
        <v>89.5</v>
      </c>
      <c r="G2258" s="101">
        <f t="shared" si="399"/>
        <v>22.375</v>
      </c>
      <c r="H2258" s="95" t="s">
        <v>1424</v>
      </c>
      <c r="J2258" s="247" t="s">
        <v>2649</v>
      </c>
      <c r="K2258" s="89"/>
      <c r="L2258" s="90"/>
      <c r="M2258" s="90"/>
      <c r="P2258" s="68"/>
    </row>
    <row r="2259">
      <c r="A2259" s="95">
        <v>1.95046660971E11</v>
      </c>
      <c r="B2259" s="151" t="s">
        <v>2669</v>
      </c>
      <c r="C2259" s="95" t="s">
        <v>97</v>
      </c>
      <c r="D2259" s="95">
        <v>1.0</v>
      </c>
      <c r="E2259" s="101">
        <v>139.0</v>
      </c>
      <c r="F2259" s="101">
        <f t="shared" si="398"/>
        <v>139</v>
      </c>
      <c r="G2259" s="101">
        <f t="shared" si="399"/>
        <v>34.75</v>
      </c>
      <c r="H2259" s="95" t="s">
        <v>271</v>
      </c>
      <c r="J2259" s="247" t="s">
        <v>2649</v>
      </c>
      <c r="K2259" s="89"/>
      <c r="L2259" s="90"/>
      <c r="M2259" s="90"/>
      <c r="P2259" s="68"/>
    </row>
    <row r="2260">
      <c r="A2260" s="95">
        <v>1.95046661664E11</v>
      </c>
      <c r="B2260" s="151" t="s">
        <v>2670</v>
      </c>
      <c r="C2260" s="95" t="s">
        <v>97</v>
      </c>
      <c r="D2260" s="95">
        <v>1.0</v>
      </c>
      <c r="E2260" s="101">
        <v>139.0</v>
      </c>
      <c r="F2260" s="101">
        <f t="shared" si="398"/>
        <v>139</v>
      </c>
      <c r="G2260" s="101">
        <f t="shared" si="399"/>
        <v>34.75</v>
      </c>
      <c r="H2260" s="95" t="s">
        <v>271</v>
      </c>
      <c r="J2260" s="247" t="s">
        <v>2649</v>
      </c>
      <c r="K2260" s="89"/>
      <c r="L2260" s="90"/>
      <c r="M2260" s="90"/>
      <c r="P2260" s="68"/>
    </row>
    <row r="2261">
      <c r="A2261" s="95">
        <v>1.95046666607E11</v>
      </c>
      <c r="B2261" s="151" t="s">
        <v>2671</v>
      </c>
      <c r="C2261" s="95" t="s">
        <v>97</v>
      </c>
      <c r="D2261" s="95">
        <v>1.0</v>
      </c>
      <c r="E2261" s="101">
        <v>59.5</v>
      </c>
      <c r="F2261" s="101">
        <f t="shared" si="398"/>
        <v>59.5</v>
      </c>
      <c r="G2261" s="101">
        <f t="shared" si="399"/>
        <v>14.875</v>
      </c>
      <c r="H2261" s="95" t="s">
        <v>1424</v>
      </c>
      <c r="J2261" s="247" t="s">
        <v>2649</v>
      </c>
      <c r="K2261" s="89"/>
      <c r="L2261" s="90"/>
      <c r="M2261" s="90"/>
      <c r="P2261" s="68"/>
    </row>
    <row r="2262">
      <c r="A2262" s="95">
        <v>1.95046861897E11</v>
      </c>
      <c r="B2262" s="151" t="s">
        <v>2672</v>
      </c>
      <c r="C2262" s="95" t="s">
        <v>97</v>
      </c>
      <c r="D2262" s="95">
        <v>1.0</v>
      </c>
      <c r="E2262" s="101">
        <v>134.0</v>
      </c>
      <c r="F2262" s="101">
        <f t="shared" si="398"/>
        <v>134</v>
      </c>
      <c r="G2262" s="101">
        <f t="shared" si="399"/>
        <v>33.5</v>
      </c>
      <c r="H2262" s="95" t="s">
        <v>271</v>
      </c>
      <c r="J2262" s="247" t="s">
        <v>2649</v>
      </c>
      <c r="K2262" s="89"/>
      <c r="L2262" s="90"/>
      <c r="M2262" s="90"/>
      <c r="P2262" s="68"/>
    </row>
    <row r="2263">
      <c r="A2263" s="95">
        <v>1.9504687868E11</v>
      </c>
      <c r="B2263" s="151" t="s">
        <v>2673</v>
      </c>
      <c r="C2263" s="95" t="s">
        <v>97</v>
      </c>
      <c r="D2263" s="95">
        <v>1.0</v>
      </c>
      <c r="E2263" s="101">
        <v>134.0</v>
      </c>
      <c r="F2263" s="101">
        <f t="shared" si="398"/>
        <v>134</v>
      </c>
      <c r="G2263" s="101">
        <f t="shared" si="399"/>
        <v>33.5</v>
      </c>
      <c r="H2263" s="95" t="s">
        <v>271</v>
      </c>
      <c r="J2263" s="247" t="s">
        <v>2649</v>
      </c>
      <c r="K2263" s="89"/>
      <c r="L2263" s="90"/>
      <c r="M2263" s="90"/>
      <c r="P2263" s="68"/>
    </row>
    <row r="2264">
      <c r="A2264" s="95">
        <v>1.95046902286E11</v>
      </c>
      <c r="B2264" s="151" t="s">
        <v>2674</v>
      </c>
      <c r="C2264" s="95" t="s">
        <v>97</v>
      </c>
      <c r="D2264" s="95">
        <v>1.0</v>
      </c>
      <c r="E2264" s="101">
        <v>59.5</v>
      </c>
      <c r="F2264" s="101">
        <f t="shared" si="398"/>
        <v>59.5</v>
      </c>
      <c r="G2264" s="101">
        <f t="shared" si="399"/>
        <v>14.875</v>
      </c>
      <c r="H2264" s="95" t="s">
        <v>271</v>
      </c>
      <c r="J2264" s="247" t="s">
        <v>2649</v>
      </c>
      <c r="K2264" s="89"/>
      <c r="L2264" s="90"/>
      <c r="M2264" s="90"/>
      <c r="P2264" s="68"/>
    </row>
    <row r="2265">
      <c r="A2265" s="95">
        <v>1.95046903832E11</v>
      </c>
      <c r="B2265" s="151" t="s">
        <v>2675</v>
      </c>
      <c r="C2265" s="95" t="s">
        <v>97</v>
      </c>
      <c r="D2265" s="95">
        <v>1.0</v>
      </c>
      <c r="E2265" s="101">
        <v>134.0</v>
      </c>
      <c r="F2265" s="101">
        <f t="shared" si="398"/>
        <v>134</v>
      </c>
      <c r="G2265" s="101">
        <f t="shared" si="399"/>
        <v>33.5</v>
      </c>
      <c r="H2265" s="95" t="s">
        <v>271</v>
      </c>
      <c r="J2265" s="247" t="s">
        <v>2649</v>
      </c>
      <c r="K2265" s="89"/>
      <c r="L2265" s="90"/>
      <c r="M2265" s="90"/>
      <c r="P2265" s="68"/>
    </row>
    <row r="2266">
      <c r="A2266" s="95">
        <v>1.95046905829E11</v>
      </c>
      <c r="B2266" s="151" t="s">
        <v>2676</v>
      </c>
      <c r="C2266" s="95" t="s">
        <v>97</v>
      </c>
      <c r="D2266" s="95">
        <v>1.0</v>
      </c>
      <c r="E2266" s="101">
        <v>134.0</v>
      </c>
      <c r="F2266" s="101">
        <f t="shared" si="398"/>
        <v>134</v>
      </c>
      <c r="G2266" s="101">
        <f t="shared" si="399"/>
        <v>33.5</v>
      </c>
      <c r="H2266" s="95" t="s">
        <v>271</v>
      </c>
      <c r="J2266" s="247" t="s">
        <v>2649</v>
      </c>
      <c r="K2266" s="89"/>
      <c r="L2266" s="90"/>
      <c r="M2266" s="90"/>
      <c r="P2266" s="68"/>
    </row>
    <row r="2267">
      <c r="A2267" s="95">
        <v>1.9504692763E11</v>
      </c>
      <c r="B2267" s="151" t="s">
        <v>2677</v>
      </c>
      <c r="C2267" s="95" t="s">
        <v>97</v>
      </c>
      <c r="D2267" s="95">
        <v>1.0</v>
      </c>
      <c r="E2267" s="101">
        <v>69.5</v>
      </c>
      <c r="F2267" s="101">
        <f t="shared" si="398"/>
        <v>69.5</v>
      </c>
      <c r="G2267" s="101">
        <f t="shared" si="399"/>
        <v>17.375</v>
      </c>
      <c r="H2267" s="95" t="s">
        <v>1424</v>
      </c>
      <c r="J2267" s="247" t="s">
        <v>2649</v>
      </c>
      <c r="K2267" s="89"/>
      <c r="L2267" s="90"/>
      <c r="M2267" s="90"/>
      <c r="P2267" s="68"/>
    </row>
    <row r="2268">
      <c r="A2268" s="95">
        <v>7.00289285951E11</v>
      </c>
      <c r="B2268" s="151" t="s">
        <v>1431</v>
      </c>
      <c r="C2268" s="95" t="s">
        <v>97</v>
      </c>
      <c r="D2268" s="95">
        <v>1.0</v>
      </c>
      <c r="E2268" s="101">
        <v>49.98</v>
      </c>
      <c r="F2268" s="101">
        <f t="shared" si="398"/>
        <v>49.98</v>
      </c>
      <c r="G2268" s="101">
        <f t="shared" si="399"/>
        <v>12.495</v>
      </c>
      <c r="H2268" s="95" t="s">
        <v>271</v>
      </c>
      <c r="J2268" s="247" t="s">
        <v>2649</v>
      </c>
      <c r="K2268" s="89"/>
      <c r="L2268" s="90"/>
      <c r="M2268" s="90"/>
      <c r="P2268" s="68"/>
    </row>
    <row r="2269">
      <c r="A2269" s="211"/>
      <c r="B2269" s="231" t="s">
        <v>2678</v>
      </c>
      <c r="C2269" s="234" t="str">
        <f>MID($B2269,6,7)</f>
        <v>XM18863</v>
      </c>
      <c r="D2269" s="231"/>
      <c r="E2269" s="231"/>
      <c r="F2269" s="231"/>
      <c r="G2269" s="231"/>
      <c r="H2269" s="235">
        <v>44560.0</v>
      </c>
      <c r="J2269" s="108" t="str">
        <f>IF(LEFT(B2269,3)="Box","BOX","COUNT")</f>
        <v>BOX</v>
      </c>
      <c r="K2269" s="99">
        <f>SUMIF($J$4:$J$8712,$C2269,$D$4:$D$8712)</f>
        <v>34</v>
      </c>
      <c r="L2269" s="50">
        <f>SUMIF($J$4:$J$8712,$C2269,$F$4:$F$8712)</f>
        <v>3873.66</v>
      </c>
      <c r="M2269" s="50">
        <f>SUMIF($J$4:$J$8712,$C2269,$G$4:$G$8712)</f>
        <v>968.415</v>
      </c>
      <c r="N2269" s="70" t="str">
        <f>C2269</f>
        <v>XM18863</v>
      </c>
      <c r="O2269" s="70" t="str">
        <f>J2270</f>
        <v>NSHIP</v>
      </c>
      <c r="P2269" s="68">
        <f>M2269</f>
        <v>968.415</v>
      </c>
    </row>
    <row r="2270">
      <c r="A2270" s="211"/>
      <c r="B2270" s="231"/>
      <c r="C2270" s="109"/>
      <c r="D2270" s="109"/>
      <c r="E2270" s="116"/>
      <c r="F2270" s="116"/>
      <c r="G2270" s="116"/>
      <c r="H2270" s="109"/>
      <c r="J2270" s="108" t="str">
        <f>IF(B2270="","NSHIP","SHIP")</f>
        <v>NSHIP</v>
      </c>
      <c r="K2270" s="99">
        <f>IF($J2270="NSHIP",0,-SUMIF($J$4:$J$8712,$C2269,$D$4:$D$8712))</f>
        <v>0</v>
      </c>
      <c r="L2270" s="50">
        <f>IF($J2270="NSHIP",0,-SUMIF($J$4:$J$8710,$C2269,$F$4:$F$8710))</f>
        <v>0</v>
      </c>
      <c r="M2270" s="50">
        <f>IF($J2270="NSHIP",0,-SUMIF($J$4:$J$8710,$C2269,$G$4:$G$8710))</f>
        <v>0</v>
      </c>
      <c r="P2270" s="68"/>
    </row>
    <row r="2271">
      <c r="A2271" s="95">
        <v>1.90466010283E11</v>
      </c>
      <c r="B2271" s="151" t="s">
        <v>2679</v>
      </c>
      <c r="C2271" s="95" t="s">
        <v>97</v>
      </c>
      <c r="D2271" s="95">
        <v>1.0</v>
      </c>
      <c r="E2271" s="101">
        <v>134.0</v>
      </c>
      <c r="F2271" s="101">
        <f t="shared" ref="F2271:F2307" si="400">E2271*D2271</f>
        <v>134</v>
      </c>
      <c r="G2271" s="101">
        <f t="shared" ref="G2271:G2307" si="401">F2271/4</f>
        <v>33.5</v>
      </c>
      <c r="H2271" s="95" t="s">
        <v>271</v>
      </c>
      <c r="J2271" s="247" t="s">
        <v>2680</v>
      </c>
      <c r="K2271" s="89"/>
      <c r="L2271" s="90"/>
      <c r="M2271" s="90"/>
      <c r="P2271" s="68"/>
    </row>
    <row r="2272">
      <c r="A2272" s="95">
        <v>1.92351435904E11</v>
      </c>
      <c r="B2272" s="151" t="s">
        <v>2681</v>
      </c>
      <c r="C2272" s="95" t="s">
        <v>97</v>
      </c>
      <c r="D2272" s="95">
        <v>1.0</v>
      </c>
      <c r="E2272" s="101">
        <v>89.98</v>
      </c>
      <c r="F2272" s="101">
        <f t="shared" si="400"/>
        <v>89.98</v>
      </c>
      <c r="G2272" s="101">
        <f t="shared" si="401"/>
        <v>22.495</v>
      </c>
      <c r="H2272" s="95" t="s">
        <v>271</v>
      </c>
      <c r="J2272" s="247" t="s">
        <v>2680</v>
      </c>
      <c r="K2272" s="89"/>
      <c r="L2272" s="90"/>
      <c r="M2272" s="90"/>
      <c r="P2272" s="68"/>
    </row>
    <row r="2273">
      <c r="A2273" s="95">
        <v>1.92351591242E11</v>
      </c>
      <c r="B2273" s="151" t="s">
        <v>2682</v>
      </c>
      <c r="C2273" s="95" t="s">
        <v>97</v>
      </c>
      <c r="D2273" s="95">
        <v>1.0</v>
      </c>
      <c r="E2273" s="101">
        <v>134.0</v>
      </c>
      <c r="F2273" s="101">
        <f t="shared" si="400"/>
        <v>134</v>
      </c>
      <c r="G2273" s="101">
        <f t="shared" si="401"/>
        <v>33.5</v>
      </c>
      <c r="H2273" s="95" t="s">
        <v>279</v>
      </c>
      <c r="J2273" s="247" t="s">
        <v>2680</v>
      </c>
      <c r="K2273" s="89"/>
      <c r="L2273" s="90"/>
      <c r="M2273" s="90"/>
      <c r="P2273" s="68"/>
    </row>
    <row r="2274">
      <c r="A2274" s="95">
        <v>1.93623314392E11</v>
      </c>
      <c r="B2274" s="151" t="s">
        <v>2683</v>
      </c>
      <c r="C2274" s="95" t="s">
        <v>97</v>
      </c>
      <c r="D2274" s="95">
        <v>1.0</v>
      </c>
      <c r="E2274" s="101">
        <v>278.0</v>
      </c>
      <c r="F2274" s="101">
        <f t="shared" si="400"/>
        <v>278</v>
      </c>
      <c r="G2274" s="101">
        <f t="shared" si="401"/>
        <v>69.5</v>
      </c>
      <c r="H2274" s="95" t="s">
        <v>271</v>
      </c>
      <c r="J2274" s="247" t="s">
        <v>2680</v>
      </c>
      <c r="K2274" s="89"/>
      <c r="L2274" s="90"/>
      <c r="M2274" s="90"/>
      <c r="P2274" s="68"/>
    </row>
    <row r="2275">
      <c r="A2275" s="95">
        <v>1.93623428266E11</v>
      </c>
      <c r="B2275" s="151" t="s">
        <v>2684</v>
      </c>
      <c r="C2275" s="95" t="s">
        <v>97</v>
      </c>
      <c r="D2275" s="95">
        <v>1.0</v>
      </c>
      <c r="E2275" s="101">
        <v>199.0</v>
      </c>
      <c r="F2275" s="101">
        <f t="shared" si="400"/>
        <v>199</v>
      </c>
      <c r="G2275" s="101">
        <f t="shared" si="401"/>
        <v>49.75</v>
      </c>
      <c r="H2275" s="95" t="s">
        <v>271</v>
      </c>
      <c r="J2275" s="247" t="s">
        <v>2680</v>
      </c>
      <c r="K2275" s="89"/>
      <c r="L2275" s="90"/>
      <c r="M2275" s="90"/>
      <c r="P2275" s="68"/>
    </row>
    <row r="2276">
      <c r="A2276" s="95">
        <v>1.93623435875E11</v>
      </c>
      <c r="B2276" s="151" t="s">
        <v>2046</v>
      </c>
      <c r="C2276" s="95" t="s">
        <v>97</v>
      </c>
      <c r="D2276" s="95">
        <v>1.0</v>
      </c>
      <c r="E2276" s="101">
        <v>199.0</v>
      </c>
      <c r="F2276" s="101">
        <f t="shared" si="400"/>
        <v>199</v>
      </c>
      <c r="G2276" s="101">
        <f t="shared" si="401"/>
        <v>49.75</v>
      </c>
      <c r="H2276" s="95" t="s">
        <v>271</v>
      </c>
      <c r="J2276" s="247" t="s">
        <v>2680</v>
      </c>
      <c r="K2276" s="89"/>
      <c r="L2276" s="90"/>
      <c r="M2276" s="90"/>
      <c r="P2276" s="68"/>
    </row>
    <row r="2277">
      <c r="A2277" s="95">
        <v>1.93623436933E11</v>
      </c>
      <c r="B2277" s="151" t="s">
        <v>2685</v>
      </c>
      <c r="C2277" s="95" t="s">
        <v>97</v>
      </c>
      <c r="D2277" s="95">
        <v>1.0</v>
      </c>
      <c r="E2277" s="101">
        <v>209.0</v>
      </c>
      <c r="F2277" s="101">
        <f t="shared" si="400"/>
        <v>209</v>
      </c>
      <c r="G2277" s="101">
        <f t="shared" si="401"/>
        <v>52.25</v>
      </c>
      <c r="H2277" s="95" t="s">
        <v>279</v>
      </c>
      <c r="J2277" s="247" t="s">
        <v>2680</v>
      </c>
      <c r="K2277" s="89"/>
      <c r="L2277" s="90"/>
      <c r="M2277" s="90"/>
      <c r="P2277" s="68"/>
    </row>
    <row r="2278">
      <c r="A2278" s="95">
        <v>1.93623465414E11</v>
      </c>
      <c r="B2278" s="151" t="s">
        <v>2686</v>
      </c>
      <c r="C2278" s="95" t="s">
        <v>97</v>
      </c>
      <c r="D2278" s="95">
        <v>2.0</v>
      </c>
      <c r="E2278" s="101">
        <v>144.0</v>
      </c>
      <c r="F2278" s="101">
        <f t="shared" si="400"/>
        <v>288</v>
      </c>
      <c r="G2278" s="101">
        <f t="shared" si="401"/>
        <v>72</v>
      </c>
      <c r="H2278" s="95" t="s">
        <v>271</v>
      </c>
      <c r="J2278" s="247" t="s">
        <v>2680</v>
      </c>
      <c r="K2278" s="89"/>
      <c r="L2278" s="90"/>
      <c r="M2278" s="90"/>
      <c r="P2278" s="68"/>
    </row>
    <row r="2279">
      <c r="A2279" s="95">
        <v>1.93623479589E11</v>
      </c>
      <c r="B2279" s="151" t="s">
        <v>2687</v>
      </c>
      <c r="C2279" s="95" t="s">
        <v>97</v>
      </c>
      <c r="D2279" s="95">
        <v>1.0</v>
      </c>
      <c r="E2279" s="101">
        <v>139.0</v>
      </c>
      <c r="F2279" s="101">
        <f t="shared" si="400"/>
        <v>139</v>
      </c>
      <c r="G2279" s="101">
        <f t="shared" si="401"/>
        <v>34.75</v>
      </c>
      <c r="H2279" s="95" t="s">
        <v>279</v>
      </c>
      <c r="J2279" s="247" t="s">
        <v>2680</v>
      </c>
      <c r="K2279" s="89"/>
      <c r="L2279" s="90"/>
      <c r="M2279" s="90"/>
      <c r="P2279" s="68"/>
    </row>
    <row r="2280">
      <c r="A2280" s="95">
        <v>1.93623480158E11</v>
      </c>
      <c r="B2280" s="151" t="s">
        <v>2688</v>
      </c>
      <c r="C2280" s="95" t="s">
        <v>97</v>
      </c>
      <c r="D2280" s="95">
        <v>1.0</v>
      </c>
      <c r="E2280" s="101">
        <v>49.98</v>
      </c>
      <c r="F2280" s="101">
        <f t="shared" si="400"/>
        <v>49.98</v>
      </c>
      <c r="G2280" s="101">
        <f t="shared" si="401"/>
        <v>12.495</v>
      </c>
      <c r="H2280" s="95" t="s">
        <v>271</v>
      </c>
      <c r="J2280" s="247" t="s">
        <v>2680</v>
      </c>
      <c r="K2280" s="89"/>
      <c r="L2280" s="90"/>
      <c r="M2280" s="90"/>
      <c r="P2280" s="68"/>
    </row>
    <row r="2281">
      <c r="A2281" s="95">
        <v>1.93623495848E11</v>
      </c>
      <c r="B2281" s="151" t="s">
        <v>2689</v>
      </c>
      <c r="C2281" s="95" t="s">
        <v>97</v>
      </c>
      <c r="D2281" s="95">
        <v>1.0</v>
      </c>
      <c r="E2281" s="101">
        <v>149.0</v>
      </c>
      <c r="F2281" s="101">
        <f t="shared" si="400"/>
        <v>149</v>
      </c>
      <c r="G2281" s="101">
        <f t="shared" si="401"/>
        <v>37.25</v>
      </c>
      <c r="H2281" s="95" t="s">
        <v>271</v>
      </c>
      <c r="J2281" s="247" t="s">
        <v>2680</v>
      </c>
      <c r="K2281" s="89"/>
      <c r="L2281" s="90"/>
      <c r="M2281" s="90"/>
      <c r="P2281" s="68"/>
    </row>
    <row r="2282">
      <c r="A2282" s="95">
        <v>1.93623829803E11</v>
      </c>
      <c r="B2282" s="151" t="s">
        <v>2690</v>
      </c>
      <c r="C2282" s="95" t="s">
        <v>97</v>
      </c>
      <c r="D2282" s="95">
        <v>1.0</v>
      </c>
      <c r="E2282" s="101">
        <v>134.0</v>
      </c>
      <c r="F2282" s="101">
        <f t="shared" si="400"/>
        <v>134</v>
      </c>
      <c r="G2282" s="101">
        <f t="shared" si="401"/>
        <v>33.5</v>
      </c>
      <c r="H2282" s="95" t="s">
        <v>271</v>
      </c>
      <c r="J2282" s="247" t="s">
        <v>2680</v>
      </c>
      <c r="K2282" s="89"/>
      <c r="L2282" s="90"/>
      <c r="M2282" s="90"/>
      <c r="P2282" s="68"/>
    </row>
    <row r="2283">
      <c r="A2283" s="95">
        <v>1.9362399329E11</v>
      </c>
      <c r="B2283" s="151" t="s">
        <v>2691</v>
      </c>
      <c r="C2283" s="95" t="s">
        <v>97</v>
      </c>
      <c r="D2283" s="95">
        <v>1.0</v>
      </c>
      <c r="E2283" s="101">
        <v>229.0</v>
      </c>
      <c r="F2283" s="101">
        <f t="shared" si="400"/>
        <v>229</v>
      </c>
      <c r="G2283" s="101">
        <f t="shared" si="401"/>
        <v>57.25</v>
      </c>
      <c r="H2283" s="95" t="s">
        <v>279</v>
      </c>
      <c r="J2283" s="247" t="s">
        <v>2680</v>
      </c>
      <c r="K2283" s="89"/>
      <c r="L2283" s="90"/>
      <c r="M2283" s="90"/>
      <c r="P2283" s="68"/>
    </row>
    <row r="2284">
      <c r="A2284" s="95">
        <v>1.94414138821E11</v>
      </c>
      <c r="B2284" s="151" t="s">
        <v>2692</v>
      </c>
      <c r="C2284" s="95" t="s">
        <v>97</v>
      </c>
      <c r="D2284" s="95">
        <v>1.0</v>
      </c>
      <c r="E2284" s="101">
        <v>89.98</v>
      </c>
      <c r="F2284" s="101">
        <f t="shared" si="400"/>
        <v>89.98</v>
      </c>
      <c r="G2284" s="101">
        <f t="shared" si="401"/>
        <v>22.495</v>
      </c>
      <c r="H2284" s="95" t="s">
        <v>271</v>
      </c>
      <c r="J2284" s="247" t="s">
        <v>2680</v>
      </c>
      <c r="K2284" s="89"/>
      <c r="L2284" s="90"/>
      <c r="M2284" s="90"/>
      <c r="P2284" s="68"/>
    </row>
    <row r="2285">
      <c r="A2285" s="95">
        <v>1.94414138852E11</v>
      </c>
      <c r="B2285" s="151" t="s">
        <v>2693</v>
      </c>
      <c r="C2285" s="95" t="s">
        <v>97</v>
      </c>
      <c r="D2285" s="95">
        <v>1.0</v>
      </c>
      <c r="E2285" s="101">
        <v>89.98</v>
      </c>
      <c r="F2285" s="101">
        <f t="shared" si="400"/>
        <v>89.98</v>
      </c>
      <c r="G2285" s="101">
        <f t="shared" si="401"/>
        <v>22.495</v>
      </c>
      <c r="H2285" s="95" t="s">
        <v>284</v>
      </c>
      <c r="J2285" s="247" t="s">
        <v>2680</v>
      </c>
      <c r="K2285" s="89"/>
      <c r="L2285" s="90"/>
      <c r="M2285" s="90"/>
      <c r="P2285" s="68"/>
    </row>
    <row r="2286">
      <c r="A2286" s="95">
        <v>1.94414138869E11</v>
      </c>
      <c r="B2286" s="151" t="s">
        <v>2694</v>
      </c>
      <c r="C2286" s="95" t="s">
        <v>97</v>
      </c>
      <c r="D2286" s="95">
        <v>1.0</v>
      </c>
      <c r="E2286" s="101">
        <v>89.98</v>
      </c>
      <c r="F2286" s="101">
        <f t="shared" si="400"/>
        <v>89.98</v>
      </c>
      <c r="G2286" s="101">
        <f t="shared" si="401"/>
        <v>22.495</v>
      </c>
      <c r="H2286" s="95" t="s">
        <v>271</v>
      </c>
      <c r="J2286" s="247" t="s">
        <v>2680</v>
      </c>
      <c r="K2286" s="89"/>
      <c r="L2286" s="90"/>
      <c r="M2286" s="90"/>
      <c r="P2286" s="68"/>
    </row>
    <row r="2287">
      <c r="A2287" s="95">
        <v>1.94414138876E11</v>
      </c>
      <c r="B2287" s="151" t="s">
        <v>2695</v>
      </c>
      <c r="C2287" s="95" t="s">
        <v>97</v>
      </c>
      <c r="D2287" s="95">
        <v>1.0</v>
      </c>
      <c r="E2287" s="101">
        <v>89.98</v>
      </c>
      <c r="F2287" s="101">
        <f t="shared" si="400"/>
        <v>89.98</v>
      </c>
      <c r="G2287" s="101">
        <f t="shared" si="401"/>
        <v>22.495</v>
      </c>
      <c r="H2287" s="95" t="s">
        <v>271</v>
      </c>
      <c r="J2287" s="247" t="s">
        <v>2680</v>
      </c>
      <c r="K2287" s="89"/>
      <c r="L2287" s="90"/>
      <c r="M2287" s="90"/>
      <c r="P2287" s="68"/>
    </row>
    <row r="2288">
      <c r="A2288" s="95">
        <v>1.94414142262E11</v>
      </c>
      <c r="B2288" s="151" t="s">
        <v>2696</v>
      </c>
      <c r="C2288" s="95" t="s">
        <v>97</v>
      </c>
      <c r="D2288" s="95">
        <v>1.0</v>
      </c>
      <c r="E2288" s="101">
        <v>89.98</v>
      </c>
      <c r="F2288" s="101">
        <f t="shared" si="400"/>
        <v>89.98</v>
      </c>
      <c r="G2288" s="101">
        <f t="shared" si="401"/>
        <v>22.495</v>
      </c>
      <c r="H2288" s="95" t="s">
        <v>271</v>
      </c>
      <c r="J2288" s="247" t="s">
        <v>2680</v>
      </c>
      <c r="K2288" s="89"/>
      <c r="L2288" s="90"/>
      <c r="M2288" s="90"/>
      <c r="P2288" s="68"/>
    </row>
    <row r="2289">
      <c r="A2289" s="95">
        <v>1.94414471553E11</v>
      </c>
      <c r="B2289" s="151" t="s">
        <v>2697</v>
      </c>
      <c r="C2289" s="95" t="s">
        <v>97</v>
      </c>
      <c r="D2289" s="95">
        <v>1.0</v>
      </c>
      <c r="E2289" s="101">
        <v>159.0</v>
      </c>
      <c r="F2289" s="101">
        <f t="shared" si="400"/>
        <v>159</v>
      </c>
      <c r="G2289" s="101">
        <f t="shared" si="401"/>
        <v>39.75</v>
      </c>
      <c r="H2289" s="95" t="s">
        <v>271</v>
      </c>
      <c r="J2289" s="247" t="s">
        <v>2680</v>
      </c>
      <c r="K2289" s="89"/>
      <c r="L2289" s="90"/>
      <c r="M2289" s="90"/>
      <c r="P2289" s="68"/>
    </row>
    <row r="2290">
      <c r="A2290" s="95">
        <v>1.94414962938E11</v>
      </c>
      <c r="B2290" s="151" t="s">
        <v>2698</v>
      </c>
      <c r="C2290" s="95" t="s">
        <v>97</v>
      </c>
      <c r="D2290" s="95">
        <v>1.0</v>
      </c>
      <c r="E2290" s="101">
        <v>179.0</v>
      </c>
      <c r="F2290" s="101">
        <f t="shared" si="400"/>
        <v>179</v>
      </c>
      <c r="G2290" s="101">
        <f t="shared" si="401"/>
        <v>44.75</v>
      </c>
      <c r="H2290" s="95" t="s">
        <v>271</v>
      </c>
      <c r="J2290" s="247" t="s">
        <v>2680</v>
      </c>
      <c r="K2290" s="89"/>
      <c r="L2290" s="90"/>
      <c r="M2290" s="90"/>
      <c r="P2290" s="68"/>
    </row>
    <row r="2291">
      <c r="A2291" s="95">
        <v>1.94414967797E11</v>
      </c>
      <c r="B2291" s="151" t="s">
        <v>2639</v>
      </c>
      <c r="C2291" s="95" t="s">
        <v>97</v>
      </c>
      <c r="D2291" s="95">
        <v>1.0</v>
      </c>
      <c r="E2291" s="101">
        <v>89.98</v>
      </c>
      <c r="F2291" s="101">
        <f t="shared" si="400"/>
        <v>89.98</v>
      </c>
      <c r="G2291" s="101">
        <f t="shared" si="401"/>
        <v>22.495</v>
      </c>
      <c r="H2291" s="95" t="s">
        <v>279</v>
      </c>
      <c r="J2291" s="247" t="s">
        <v>2680</v>
      </c>
      <c r="K2291" s="89"/>
      <c r="L2291" s="90"/>
      <c r="M2291" s="90"/>
      <c r="P2291" s="68"/>
    </row>
    <row r="2292">
      <c r="A2292" s="95">
        <v>1.94414970438E11</v>
      </c>
      <c r="B2292" s="151" t="s">
        <v>2699</v>
      </c>
      <c r="C2292" s="95" t="s">
        <v>97</v>
      </c>
      <c r="D2292" s="95">
        <v>1.0</v>
      </c>
      <c r="E2292" s="101">
        <v>159.0</v>
      </c>
      <c r="F2292" s="101">
        <f t="shared" si="400"/>
        <v>159</v>
      </c>
      <c r="G2292" s="101">
        <f t="shared" si="401"/>
        <v>39.75</v>
      </c>
      <c r="H2292" s="95" t="s">
        <v>271</v>
      </c>
      <c r="J2292" s="247" t="s">
        <v>2680</v>
      </c>
      <c r="K2292" s="89"/>
      <c r="L2292" s="90"/>
      <c r="M2292" s="90"/>
      <c r="P2292" s="68"/>
    </row>
    <row r="2293">
      <c r="A2293" s="95">
        <v>1.95046231485E11</v>
      </c>
      <c r="B2293" s="151" t="s">
        <v>2700</v>
      </c>
      <c r="C2293" s="95" t="s">
        <v>97</v>
      </c>
      <c r="D2293" s="95">
        <v>1.0</v>
      </c>
      <c r="E2293" s="101">
        <v>79.5</v>
      </c>
      <c r="F2293" s="101">
        <f t="shared" si="400"/>
        <v>79.5</v>
      </c>
      <c r="G2293" s="101">
        <f t="shared" si="401"/>
        <v>19.875</v>
      </c>
      <c r="H2293" s="95" t="s">
        <v>1424</v>
      </c>
      <c r="J2293" s="247" t="s">
        <v>2680</v>
      </c>
      <c r="K2293" s="89"/>
      <c r="L2293" s="90"/>
      <c r="M2293" s="90"/>
      <c r="P2293" s="68"/>
    </row>
    <row r="2294">
      <c r="A2294" s="95">
        <v>1.95046387809E11</v>
      </c>
      <c r="B2294" s="151" t="s">
        <v>2701</v>
      </c>
      <c r="C2294" s="95" t="s">
        <v>97</v>
      </c>
      <c r="D2294" s="95">
        <v>1.0</v>
      </c>
      <c r="E2294" s="101">
        <v>89.5</v>
      </c>
      <c r="F2294" s="101">
        <f t="shared" si="400"/>
        <v>89.5</v>
      </c>
      <c r="G2294" s="101">
        <f t="shared" si="401"/>
        <v>22.375</v>
      </c>
      <c r="H2294" s="95" t="s">
        <v>1424</v>
      </c>
      <c r="J2294" s="247" t="s">
        <v>2680</v>
      </c>
      <c r="K2294" s="89"/>
      <c r="L2294" s="90"/>
      <c r="M2294" s="90"/>
      <c r="P2294" s="68"/>
    </row>
    <row r="2295">
      <c r="A2295" s="95">
        <v>1.95046523252E11</v>
      </c>
      <c r="B2295" s="151" t="s">
        <v>2702</v>
      </c>
      <c r="C2295" s="95" t="s">
        <v>97</v>
      </c>
      <c r="D2295" s="95">
        <v>1.0</v>
      </c>
      <c r="E2295" s="101">
        <v>79.5</v>
      </c>
      <c r="F2295" s="101">
        <f t="shared" si="400"/>
        <v>79.5</v>
      </c>
      <c r="G2295" s="101">
        <f t="shared" si="401"/>
        <v>19.875</v>
      </c>
      <c r="H2295" s="95" t="s">
        <v>1424</v>
      </c>
      <c r="J2295" s="247" t="s">
        <v>2680</v>
      </c>
      <c r="K2295" s="89"/>
      <c r="L2295" s="90"/>
      <c r="M2295" s="90"/>
      <c r="P2295" s="68"/>
    </row>
    <row r="2296">
      <c r="A2296" s="95">
        <v>1.950465345E11</v>
      </c>
      <c r="B2296" s="151" t="s">
        <v>2703</v>
      </c>
      <c r="C2296" s="95" t="s">
        <v>97</v>
      </c>
      <c r="D2296" s="95">
        <v>1.0</v>
      </c>
      <c r="E2296" s="101">
        <v>79.5</v>
      </c>
      <c r="F2296" s="101">
        <f t="shared" si="400"/>
        <v>79.5</v>
      </c>
      <c r="G2296" s="101">
        <f t="shared" si="401"/>
        <v>19.875</v>
      </c>
      <c r="H2296" s="95" t="s">
        <v>1424</v>
      </c>
      <c r="J2296" s="247" t="s">
        <v>2680</v>
      </c>
      <c r="K2296" s="89"/>
      <c r="L2296" s="90"/>
      <c r="M2296" s="90"/>
      <c r="P2296" s="68"/>
    </row>
    <row r="2297">
      <c r="A2297" s="95">
        <v>1.95046658671E11</v>
      </c>
      <c r="B2297" s="151" t="s">
        <v>2704</v>
      </c>
      <c r="C2297" s="95" t="s">
        <v>97</v>
      </c>
      <c r="D2297" s="95">
        <v>1.0</v>
      </c>
      <c r="E2297" s="101">
        <v>139.0</v>
      </c>
      <c r="F2297" s="101">
        <f t="shared" si="400"/>
        <v>139</v>
      </c>
      <c r="G2297" s="101">
        <f t="shared" si="401"/>
        <v>34.75</v>
      </c>
      <c r="H2297" s="95" t="s">
        <v>271</v>
      </c>
      <c r="J2297" s="247" t="s">
        <v>2680</v>
      </c>
      <c r="K2297" s="89"/>
      <c r="L2297" s="90"/>
      <c r="M2297" s="90"/>
      <c r="P2297" s="68"/>
    </row>
    <row r="2298">
      <c r="A2298" s="95">
        <v>1.95046658947E11</v>
      </c>
      <c r="B2298" s="151" t="s">
        <v>2705</v>
      </c>
      <c r="C2298" s="95" t="s">
        <v>97</v>
      </c>
      <c r="D2298" s="95">
        <v>1.0</v>
      </c>
      <c r="E2298" s="101">
        <v>40.23</v>
      </c>
      <c r="F2298" s="101">
        <f t="shared" si="400"/>
        <v>40.23</v>
      </c>
      <c r="G2298" s="101">
        <f t="shared" si="401"/>
        <v>10.0575</v>
      </c>
      <c r="H2298" s="95" t="s">
        <v>284</v>
      </c>
      <c r="J2298" s="247" t="s">
        <v>2680</v>
      </c>
      <c r="K2298" s="89"/>
      <c r="L2298" s="90"/>
      <c r="M2298" s="90"/>
      <c r="P2298" s="68"/>
    </row>
    <row r="2299">
      <c r="A2299" s="95">
        <v>1.95046660988E11</v>
      </c>
      <c r="B2299" s="151" t="s">
        <v>2706</v>
      </c>
      <c r="C2299" s="95" t="s">
        <v>97</v>
      </c>
      <c r="D2299" s="95">
        <v>1.0</v>
      </c>
      <c r="E2299" s="101">
        <v>139.0</v>
      </c>
      <c r="F2299" s="101">
        <f t="shared" si="400"/>
        <v>139</v>
      </c>
      <c r="G2299" s="101">
        <f t="shared" si="401"/>
        <v>34.75</v>
      </c>
      <c r="H2299" s="95" t="s">
        <v>271</v>
      </c>
      <c r="J2299" s="247" t="s">
        <v>2680</v>
      </c>
      <c r="K2299" s="89"/>
      <c r="L2299" s="90"/>
      <c r="M2299" s="90"/>
      <c r="P2299" s="68"/>
    </row>
    <row r="2300">
      <c r="A2300" s="95">
        <v>1.95046661251E11</v>
      </c>
      <c r="B2300" s="151" t="s">
        <v>2707</v>
      </c>
      <c r="C2300" s="95" t="s">
        <v>97</v>
      </c>
      <c r="D2300" s="95">
        <v>1.0</v>
      </c>
      <c r="E2300" s="101">
        <v>134.0</v>
      </c>
      <c r="F2300" s="101">
        <f t="shared" si="400"/>
        <v>134</v>
      </c>
      <c r="G2300" s="101">
        <f t="shared" si="401"/>
        <v>33.5</v>
      </c>
      <c r="H2300" s="95" t="s">
        <v>271</v>
      </c>
      <c r="J2300" s="247" t="s">
        <v>2680</v>
      </c>
      <c r="K2300" s="89"/>
      <c r="L2300" s="90"/>
      <c r="M2300" s="90"/>
      <c r="P2300" s="68"/>
    </row>
    <row r="2301">
      <c r="A2301" s="95">
        <v>1.95046665778E11</v>
      </c>
      <c r="B2301" s="151" t="s">
        <v>2708</v>
      </c>
      <c r="C2301" s="95" t="s">
        <v>97</v>
      </c>
      <c r="D2301" s="95">
        <v>1.0</v>
      </c>
      <c r="E2301" s="101">
        <v>139.0</v>
      </c>
      <c r="F2301" s="101">
        <f t="shared" si="400"/>
        <v>139</v>
      </c>
      <c r="G2301" s="101">
        <f t="shared" si="401"/>
        <v>34.75</v>
      </c>
      <c r="H2301" s="95" t="s">
        <v>271</v>
      </c>
      <c r="J2301" s="247" t="s">
        <v>2680</v>
      </c>
      <c r="K2301" s="89"/>
      <c r="L2301" s="90"/>
      <c r="M2301" s="90"/>
      <c r="P2301" s="68"/>
    </row>
    <row r="2302">
      <c r="A2302" s="95">
        <v>1.95046665785E11</v>
      </c>
      <c r="B2302" s="151" t="s">
        <v>2709</v>
      </c>
      <c r="C2302" s="95" t="s">
        <v>97</v>
      </c>
      <c r="D2302" s="95">
        <v>1.0</v>
      </c>
      <c r="E2302" s="101">
        <v>139.0</v>
      </c>
      <c r="F2302" s="101">
        <f t="shared" si="400"/>
        <v>139</v>
      </c>
      <c r="G2302" s="101">
        <f t="shared" si="401"/>
        <v>34.75</v>
      </c>
      <c r="H2302" s="95" t="s">
        <v>271</v>
      </c>
      <c r="J2302" s="247" t="s">
        <v>2680</v>
      </c>
      <c r="K2302" s="89"/>
      <c r="L2302" s="90"/>
      <c r="M2302" s="90"/>
      <c r="P2302" s="68"/>
    </row>
    <row r="2303">
      <c r="A2303" s="95">
        <v>1.95046878727E11</v>
      </c>
      <c r="B2303" s="151" t="s">
        <v>2710</v>
      </c>
      <c r="C2303" s="95" t="s">
        <v>97</v>
      </c>
      <c r="D2303" s="95">
        <v>1.0</v>
      </c>
      <c r="E2303" s="101">
        <v>134.0</v>
      </c>
      <c r="F2303" s="101">
        <f t="shared" si="400"/>
        <v>134</v>
      </c>
      <c r="G2303" s="101">
        <f t="shared" si="401"/>
        <v>33.5</v>
      </c>
      <c r="H2303" s="95" t="s">
        <v>271</v>
      </c>
      <c r="J2303" s="247" t="s">
        <v>2680</v>
      </c>
      <c r="K2303" s="89"/>
      <c r="L2303" s="90"/>
      <c r="M2303" s="90"/>
      <c r="P2303" s="68"/>
    </row>
    <row r="2304">
      <c r="A2304" s="95">
        <v>1.95046906598E11</v>
      </c>
      <c r="B2304" s="151" t="s">
        <v>1428</v>
      </c>
      <c r="C2304" s="95" t="s">
        <v>97</v>
      </c>
      <c r="D2304" s="95">
        <v>1.0</v>
      </c>
      <c r="E2304" s="101">
        <v>134.0</v>
      </c>
      <c r="F2304" s="101">
        <f t="shared" si="400"/>
        <v>134</v>
      </c>
      <c r="G2304" s="101">
        <f t="shared" si="401"/>
        <v>33.5</v>
      </c>
      <c r="H2304" s="95" t="s">
        <v>271</v>
      </c>
      <c r="J2304" s="247" t="s">
        <v>2680</v>
      </c>
      <c r="K2304" s="89"/>
      <c r="L2304" s="90"/>
      <c r="M2304" s="90"/>
      <c r="P2304" s="68"/>
    </row>
    <row r="2305">
      <c r="A2305" s="95">
        <v>1.95046908653E11</v>
      </c>
      <c r="B2305" s="151" t="s">
        <v>1429</v>
      </c>
      <c r="C2305" s="95" t="s">
        <v>97</v>
      </c>
      <c r="D2305" s="95">
        <v>1.0</v>
      </c>
      <c r="E2305" s="101">
        <v>134.0</v>
      </c>
      <c r="F2305" s="101">
        <f t="shared" si="400"/>
        <v>134</v>
      </c>
      <c r="G2305" s="101">
        <f t="shared" si="401"/>
        <v>33.5</v>
      </c>
      <c r="H2305" s="95" t="s">
        <v>271</v>
      </c>
      <c r="J2305" s="247" t="s">
        <v>2680</v>
      </c>
      <c r="K2305" s="89"/>
      <c r="L2305" s="90"/>
      <c r="M2305" s="90"/>
      <c r="P2305" s="68"/>
    </row>
    <row r="2306">
      <c r="A2306" s="95">
        <v>7.00289285944E11</v>
      </c>
      <c r="B2306" s="151" t="s">
        <v>1430</v>
      </c>
      <c r="C2306" s="95" t="s">
        <v>97</v>
      </c>
      <c r="D2306" s="95">
        <v>1.0</v>
      </c>
      <c r="E2306" s="101">
        <v>49.98</v>
      </c>
      <c r="F2306" s="101">
        <f t="shared" si="400"/>
        <v>49.98</v>
      </c>
      <c r="G2306" s="101">
        <f t="shared" si="401"/>
        <v>12.495</v>
      </c>
      <c r="H2306" s="95" t="s">
        <v>271</v>
      </c>
      <c r="J2306" s="247" t="s">
        <v>2680</v>
      </c>
      <c r="K2306" s="89"/>
      <c r="L2306" s="90"/>
      <c r="M2306" s="90"/>
      <c r="P2306" s="68"/>
    </row>
    <row r="2307">
      <c r="A2307" s="95">
        <v>7.00289285951E11</v>
      </c>
      <c r="B2307" s="151" t="s">
        <v>1431</v>
      </c>
      <c r="C2307" s="95" t="s">
        <v>97</v>
      </c>
      <c r="D2307" s="95">
        <v>1.0</v>
      </c>
      <c r="E2307" s="101">
        <v>49.98</v>
      </c>
      <c r="F2307" s="101">
        <f t="shared" si="400"/>
        <v>49.98</v>
      </c>
      <c r="G2307" s="101">
        <f t="shared" si="401"/>
        <v>12.495</v>
      </c>
      <c r="H2307" s="95" t="s">
        <v>271</v>
      </c>
      <c r="J2307" s="247" t="s">
        <v>2680</v>
      </c>
      <c r="K2307" s="89"/>
      <c r="L2307" s="90"/>
      <c r="M2307" s="90"/>
      <c r="P2307" s="68"/>
    </row>
    <row r="2308">
      <c r="A2308" s="211"/>
      <c r="B2308" s="231" t="s">
        <v>2711</v>
      </c>
      <c r="C2308" s="234" t="str">
        <f>MID($B2308,6,7)</f>
        <v>XM18864</v>
      </c>
      <c r="D2308" s="231"/>
      <c r="E2308" s="231"/>
      <c r="F2308" s="231"/>
      <c r="G2308" s="231"/>
      <c r="H2308" s="235">
        <v>44560.0</v>
      </c>
      <c r="J2308" s="108" t="str">
        <f>IF(LEFT(B2308,3)="Box","BOX","COUNT")</f>
        <v>BOX</v>
      </c>
      <c r="K2308" s="99">
        <f>SUMIF($J$4:$J$8712,$C2308,$D$4:$D$8712)</f>
        <v>38</v>
      </c>
      <c r="L2308" s="50">
        <f>SUMIF($J$4:$J$8712,$C2308,$F$4:$F$8712)</f>
        <v>4829.03</v>
      </c>
      <c r="M2308" s="50">
        <f>SUMIF($J$4:$J$8712,$C2308,$G$4:$G$8712)</f>
        <v>1207.2575</v>
      </c>
      <c r="N2308" s="70" t="str">
        <f>C2308</f>
        <v>XM18864</v>
      </c>
      <c r="O2308" s="70" t="str">
        <f>J2309</f>
        <v>NSHIP</v>
      </c>
      <c r="P2308" s="68">
        <f>M2308</f>
        <v>1207.2575</v>
      </c>
    </row>
    <row r="2309">
      <c r="A2309" s="211"/>
      <c r="B2309" s="231"/>
      <c r="C2309" s="109"/>
      <c r="D2309" s="109"/>
      <c r="E2309" s="116"/>
      <c r="F2309" s="116"/>
      <c r="G2309" s="116"/>
      <c r="H2309" s="109"/>
      <c r="J2309" s="108" t="str">
        <f>IF(B2309="","NSHIP","SHIP")</f>
        <v>NSHIP</v>
      </c>
      <c r="K2309" s="99">
        <f>IF($J2309="NSHIP",0,-SUMIF($J$4:$J$8712,$C2308,$D$4:$D$8712))</f>
        <v>0</v>
      </c>
      <c r="L2309" s="50">
        <f>IF($J2309="NSHIP",0,-SUMIF($J$4:$J$8710,$C2308,$F$4:$F$8710))</f>
        <v>0</v>
      </c>
      <c r="M2309" s="50">
        <f>IF($J2309="NSHIP",0,-SUMIF($J$4:$J$8710,$C2308,$G$4:$G$8710))</f>
        <v>0</v>
      </c>
      <c r="P2309" s="68"/>
    </row>
    <row r="2310">
      <c r="A2310" s="95">
        <v>7.38994249562E11</v>
      </c>
      <c r="B2310" s="151" t="s">
        <v>763</v>
      </c>
      <c r="C2310" s="95" t="s">
        <v>97</v>
      </c>
      <c r="D2310" s="95">
        <v>1.0</v>
      </c>
      <c r="E2310" s="101">
        <v>13.0</v>
      </c>
      <c r="F2310" s="101">
        <f t="shared" ref="F2310:F2344" si="402">E2310*D2310</f>
        <v>13</v>
      </c>
      <c r="G2310" s="101">
        <f t="shared" ref="G2310:G2344" si="403">F2310/4</f>
        <v>3.25</v>
      </c>
      <c r="H2310" s="95" t="s">
        <v>322</v>
      </c>
      <c r="J2310" s="247" t="s">
        <v>2712</v>
      </c>
      <c r="K2310" s="89"/>
      <c r="L2310" s="90"/>
      <c r="M2310" s="90"/>
      <c r="P2310" s="68"/>
    </row>
    <row r="2311">
      <c r="A2311" s="95">
        <v>7.94278960929E11</v>
      </c>
      <c r="B2311" s="151" t="s">
        <v>2713</v>
      </c>
      <c r="C2311" s="95" t="s">
        <v>97</v>
      </c>
      <c r="D2311" s="95">
        <v>1.0</v>
      </c>
      <c r="E2311" s="101">
        <v>69.0</v>
      </c>
      <c r="F2311" s="101">
        <f t="shared" si="402"/>
        <v>69</v>
      </c>
      <c r="G2311" s="101">
        <f t="shared" si="403"/>
        <v>17.25</v>
      </c>
      <c r="H2311" s="95" t="s">
        <v>310</v>
      </c>
      <c r="J2311" s="247" t="s">
        <v>2712</v>
      </c>
      <c r="K2311" s="89"/>
      <c r="L2311" s="90"/>
      <c r="M2311" s="90"/>
      <c r="P2311" s="68"/>
    </row>
    <row r="2312">
      <c r="A2312" s="95">
        <v>7.94278984055E11</v>
      </c>
      <c r="B2312" s="151" t="s">
        <v>2714</v>
      </c>
      <c r="C2312" s="95" t="s">
        <v>97</v>
      </c>
      <c r="D2312" s="95">
        <v>1.0</v>
      </c>
      <c r="E2312" s="101">
        <v>119.0</v>
      </c>
      <c r="F2312" s="101">
        <f t="shared" si="402"/>
        <v>119</v>
      </c>
      <c r="G2312" s="101">
        <f t="shared" si="403"/>
        <v>29.75</v>
      </c>
      <c r="H2312" s="95" t="s">
        <v>310</v>
      </c>
      <c r="J2312" s="247" t="s">
        <v>2712</v>
      </c>
      <c r="K2312" s="89"/>
      <c r="L2312" s="90"/>
      <c r="M2312" s="90"/>
      <c r="P2312" s="68"/>
    </row>
    <row r="2313">
      <c r="A2313" s="95">
        <v>7.95728825584E11</v>
      </c>
      <c r="B2313" s="151" t="s">
        <v>2715</v>
      </c>
      <c r="C2313" s="95" t="s">
        <v>97</v>
      </c>
      <c r="D2313" s="95">
        <v>1.0</v>
      </c>
      <c r="E2313" s="101">
        <v>79.0</v>
      </c>
      <c r="F2313" s="101">
        <f t="shared" si="402"/>
        <v>79</v>
      </c>
      <c r="G2313" s="101">
        <f t="shared" si="403"/>
        <v>19.75</v>
      </c>
      <c r="H2313" s="95" t="s">
        <v>310</v>
      </c>
      <c r="J2313" s="247" t="s">
        <v>2712</v>
      </c>
      <c r="K2313" s="89"/>
      <c r="L2313" s="90"/>
      <c r="M2313" s="90"/>
      <c r="P2313" s="68"/>
    </row>
    <row r="2314">
      <c r="A2314" s="95">
        <v>7.95728838072E11</v>
      </c>
      <c r="B2314" s="151" t="s">
        <v>2716</v>
      </c>
      <c r="C2314" s="95" t="s">
        <v>97</v>
      </c>
      <c r="D2314" s="95">
        <v>1.0</v>
      </c>
      <c r="E2314" s="101">
        <v>89.0</v>
      </c>
      <c r="F2314" s="101">
        <f t="shared" si="402"/>
        <v>89</v>
      </c>
      <c r="G2314" s="101">
        <f t="shared" si="403"/>
        <v>22.25</v>
      </c>
      <c r="H2314" s="95" t="s">
        <v>310</v>
      </c>
      <c r="J2314" s="247" t="s">
        <v>2712</v>
      </c>
      <c r="K2314" s="89"/>
      <c r="L2314" s="90"/>
      <c r="M2314" s="90"/>
      <c r="P2314" s="68"/>
    </row>
    <row r="2315">
      <c r="A2315" s="95">
        <v>7.95728844929E11</v>
      </c>
      <c r="B2315" s="151" t="s">
        <v>2717</v>
      </c>
      <c r="C2315" s="95" t="s">
        <v>97</v>
      </c>
      <c r="D2315" s="95">
        <v>1.0</v>
      </c>
      <c r="E2315" s="101">
        <v>79.0</v>
      </c>
      <c r="F2315" s="101">
        <f t="shared" si="402"/>
        <v>79</v>
      </c>
      <c r="G2315" s="101">
        <f t="shared" si="403"/>
        <v>19.75</v>
      </c>
      <c r="H2315" s="95" t="s">
        <v>310</v>
      </c>
      <c r="J2315" s="247" t="s">
        <v>2712</v>
      </c>
      <c r="K2315" s="89"/>
      <c r="L2315" s="90"/>
      <c r="M2315" s="90"/>
      <c r="P2315" s="68"/>
    </row>
    <row r="2316">
      <c r="A2316" s="95">
        <v>7.95728848927E11</v>
      </c>
      <c r="B2316" s="151" t="s">
        <v>2718</v>
      </c>
      <c r="C2316" s="95" t="s">
        <v>97</v>
      </c>
      <c r="D2316" s="95">
        <v>1.0</v>
      </c>
      <c r="E2316" s="101">
        <v>89.0</v>
      </c>
      <c r="F2316" s="101">
        <f t="shared" si="402"/>
        <v>89</v>
      </c>
      <c r="G2316" s="101">
        <f t="shared" si="403"/>
        <v>22.25</v>
      </c>
      <c r="H2316" s="95" t="s">
        <v>310</v>
      </c>
      <c r="J2316" s="247" t="s">
        <v>2712</v>
      </c>
      <c r="K2316" s="89"/>
      <c r="L2316" s="90"/>
      <c r="M2316" s="90"/>
      <c r="P2316" s="68"/>
    </row>
    <row r="2317">
      <c r="A2317" s="95">
        <v>7.95728948276E11</v>
      </c>
      <c r="B2317" s="151" t="s">
        <v>2719</v>
      </c>
      <c r="C2317" s="95" t="s">
        <v>97</v>
      </c>
      <c r="D2317" s="95">
        <v>1.0</v>
      </c>
      <c r="E2317" s="101">
        <v>119.0</v>
      </c>
      <c r="F2317" s="101">
        <f t="shared" si="402"/>
        <v>119</v>
      </c>
      <c r="G2317" s="101">
        <f t="shared" si="403"/>
        <v>29.75</v>
      </c>
      <c r="H2317" s="95" t="s">
        <v>310</v>
      </c>
      <c r="J2317" s="247" t="s">
        <v>2712</v>
      </c>
      <c r="K2317" s="89"/>
      <c r="L2317" s="90"/>
      <c r="M2317" s="90"/>
      <c r="P2317" s="68"/>
    </row>
    <row r="2318">
      <c r="A2318" s="95">
        <v>7.95728962159E11</v>
      </c>
      <c r="B2318" s="151" t="s">
        <v>2720</v>
      </c>
      <c r="C2318" s="95" t="s">
        <v>97</v>
      </c>
      <c r="D2318" s="95">
        <v>1.0</v>
      </c>
      <c r="E2318" s="101">
        <v>89.0</v>
      </c>
      <c r="F2318" s="101">
        <f t="shared" si="402"/>
        <v>89</v>
      </c>
      <c r="G2318" s="101">
        <f t="shared" si="403"/>
        <v>22.25</v>
      </c>
      <c r="H2318" s="95" t="s">
        <v>2721</v>
      </c>
      <c r="J2318" s="247" t="s">
        <v>2712</v>
      </c>
      <c r="K2318" s="89"/>
      <c r="L2318" s="90"/>
      <c r="M2318" s="90"/>
      <c r="P2318" s="68"/>
    </row>
    <row r="2319">
      <c r="A2319" s="95">
        <v>7.95728985523E11</v>
      </c>
      <c r="B2319" s="151" t="s">
        <v>2722</v>
      </c>
      <c r="C2319" s="95" t="s">
        <v>97</v>
      </c>
      <c r="D2319" s="95">
        <v>1.0</v>
      </c>
      <c r="E2319" s="101">
        <v>129.0</v>
      </c>
      <c r="F2319" s="101">
        <f t="shared" si="402"/>
        <v>129</v>
      </c>
      <c r="G2319" s="101">
        <f t="shared" si="403"/>
        <v>32.25</v>
      </c>
      <c r="H2319" s="95" t="s">
        <v>310</v>
      </c>
      <c r="J2319" s="247" t="s">
        <v>2712</v>
      </c>
      <c r="K2319" s="89"/>
      <c r="L2319" s="90"/>
      <c r="M2319" s="90"/>
      <c r="P2319" s="68"/>
    </row>
    <row r="2320">
      <c r="A2320" s="95">
        <v>7.95730052251E11</v>
      </c>
      <c r="B2320" s="151" t="s">
        <v>2723</v>
      </c>
      <c r="C2320" s="95" t="s">
        <v>97</v>
      </c>
      <c r="D2320" s="95">
        <v>1.0</v>
      </c>
      <c r="E2320" s="101">
        <v>79.0</v>
      </c>
      <c r="F2320" s="101">
        <f t="shared" si="402"/>
        <v>79</v>
      </c>
      <c r="G2320" s="101">
        <f t="shared" si="403"/>
        <v>19.75</v>
      </c>
      <c r="H2320" s="95" t="s">
        <v>310</v>
      </c>
      <c r="J2320" s="247" t="s">
        <v>2712</v>
      </c>
      <c r="K2320" s="89"/>
      <c r="L2320" s="90"/>
      <c r="M2320" s="90"/>
      <c r="P2320" s="68"/>
    </row>
    <row r="2321">
      <c r="A2321" s="95">
        <v>7.95730194517E11</v>
      </c>
      <c r="B2321" s="151" t="s">
        <v>2724</v>
      </c>
      <c r="C2321" s="95" t="s">
        <v>97</v>
      </c>
      <c r="D2321" s="95">
        <v>1.0</v>
      </c>
      <c r="E2321" s="101">
        <v>119.0</v>
      </c>
      <c r="F2321" s="101">
        <f t="shared" si="402"/>
        <v>119</v>
      </c>
      <c r="G2321" s="101">
        <f t="shared" si="403"/>
        <v>29.75</v>
      </c>
      <c r="H2321" s="95" t="s">
        <v>310</v>
      </c>
      <c r="J2321" s="247" t="s">
        <v>2712</v>
      </c>
      <c r="K2321" s="89"/>
      <c r="L2321" s="90"/>
      <c r="M2321" s="90"/>
      <c r="P2321" s="68"/>
    </row>
    <row r="2322">
      <c r="A2322" s="95">
        <v>7.95730197754E11</v>
      </c>
      <c r="B2322" s="151" t="s">
        <v>2725</v>
      </c>
      <c r="C2322" s="95" t="s">
        <v>97</v>
      </c>
      <c r="D2322" s="95">
        <v>1.0</v>
      </c>
      <c r="E2322" s="101">
        <v>79.0</v>
      </c>
      <c r="F2322" s="101">
        <f t="shared" si="402"/>
        <v>79</v>
      </c>
      <c r="G2322" s="101">
        <f t="shared" si="403"/>
        <v>19.75</v>
      </c>
      <c r="H2322" s="95" t="s">
        <v>310</v>
      </c>
      <c r="J2322" s="247" t="s">
        <v>2712</v>
      </c>
      <c r="K2322" s="89"/>
      <c r="L2322" s="90"/>
      <c r="M2322" s="90"/>
      <c r="P2322" s="68"/>
    </row>
    <row r="2323">
      <c r="A2323" s="95">
        <v>7.9573019799E11</v>
      </c>
      <c r="B2323" s="151" t="s">
        <v>2726</v>
      </c>
      <c r="C2323" s="95" t="s">
        <v>97</v>
      </c>
      <c r="D2323" s="95">
        <v>1.0</v>
      </c>
      <c r="E2323" s="101">
        <v>129.0</v>
      </c>
      <c r="F2323" s="101">
        <f t="shared" si="402"/>
        <v>129</v>
      </c>
      <c r="G2323" s="101">
        <f t="shared" si="403"/>
        <v>32.25</v>
      </c>
      <c r="H2323" s="95" t="s">
        <v>310</v>
      </c>
      <c r="J2323" s="247" t="s">
        <v>2712</v>
      </c>
      <c r="K2323" s="89"/>
      <c r="L2323" s="90"/>
      <c r="M2323" s="90"/>
      <c r="P2323" s="68"/>
    </row>
    <row r="2324">
      <c r="A2324" s="95">
        <v>7.95730319279E11</v>
      </c>
      <c r="B2324" s="151" t="s">
        <v>2727</v>
      </c>
      <c r="C2324" s="95" t="s">
        <v>97</v>
      </c>
      <c r="D2324" s="95">
        <v>1.0</v>
      </c>
      <c r="E2324" s="101">
        <v>129.0</v>
      </c>
      <c r="F2324" s="101">
        <f t="shared" si="402"/>
        <v>129</v>
      </c>
      <c r="G2324" s="101">
        <f t="shared" si="403"/>
        <v>32.25</v>
      </c>
      <c r="H2324" s="95" t="s">
        <v>310</v>
      </c>
      <c r="J2324" s="247" t="s">
        <v>2712</v>
      </c>
      <c r="K2324" s="89"/>
      <c r="L2324" s="90"/>
      <c r="M2324" s="90"/>
      <c r="P2324" s="68"/>
    </row>
    <row r="2325">
      <c r="A2325" s="95">
        <v>7.95730360219E11</v>
      </c>
      <c r="B2325" s="151" t="s">
        <v>2728</v>
      </c>
      <c r="C2325" s="95" t="s">
        <v>97</v>
      </c>
      <c r="D2325" s="95">
        <v>1.0</v>
      </c>
      <c r="E2325" s="101">
        <v>89.0</v>
      </c>
      <c r="F2325" s="101">
        <f t="shared" si="402"/>
        <v>89</v>
      </c>
      <c r="G2325" s="101">
        <f t="shared" si="403"/>
        <v>22.25</v>
      </c>
      <c r="H2325" s="95" t="s">
        <v>310</v>
      </c>
      <c r="J2325" s="247" t="s">
        <v>2712</v>
      </c>
      <c r="K2325" s="89"/>
      <c r="L2325" s="90"/>
      <c r="M2325" s="90"/>
      <c r="P2325" s="68"/>
    </row>
    <row r="2326">
      <c r="A2326" s="95">
        <v>7.9573054365E11</v>
      </c>
      <c r="B2326" s="151" t="s">
        <v>2729</v>
      </c>
      <c r="C2326" s="95" t="s">
        <v>97</v>
      </c>
      <c r="D2326" s="95">
        <v>1.0</v>
      </c>
      <c r="E2326" s="101">
        <v>129.0</v>
      </c>
      <c r="F2326" s="101">
        <f t="shared" si="402"/>
        <v>129</v>
      </c>
      <c r="G2326" s="101">
        <f t="shared" si="403"/>
        <v>32.25</v>
      </c>
      <c r="H2326" s="95" t="s">
        <v>310</v>
      </c>
      <c r="J2326" s="247" t="s">
        <v>2712</v>
      </c>
      <c r="K2326" s="89"/>
      <c r="L2326" s="90"/>
      <c r="M2326" s="90"/>
      <c r="P2326" s="68"/>
    </row>
    <row r="2327">
      <c r="A2327" s="95">
        <v>7.95730569476E11</v>
      </c>
      <c r="B2327" s="151" t="s">
        <v>2730</v>
      </c>
      <c r="C2327" s="95" t="s">
        <v>97</v>
      </c>
      <c r="D2327" s="95">
        <v>1.0</v>
      </c>
      <c r="E2327" s="101">
        <v>59.0</v>
      </c>
      <c r="F2327" s="101">
        <f t="shared" si="402"/>
        <v>59</v>
      </c>
      <c r="G2327" s="101">
        <f t="shared" si="403"/>
        <v>14.75</v>
      </c>
      <c r="H2327" s="95" t="s">
        <v>310</v>
      </c>
      <c r="J2327" s="247" t="s">
        <v>2712</v>
      </c>
      <c r="K2327" s="89"/>
      <c r="L2327" s="90"/>
      <c r="M2327" s="90"/>
      <c r="P2327" s="68"/>
    </row>
    <row r="2328">
      <c r="A2328" s="95">
        <v>7.95730569599E11</v>
      </c>
      <c r="B2328" s="151" t="s">
        <v>2731</v>
      </c>
      <c r="C2328" s="95" t="s">
        <v>97</v>
      </c>
      <c r="D2328" s="95">
        <v>1.0</v>
      </c>
      <c r="E2328" s="101">
        <v>59.0</v>
      </c>
      <c r="F2328" s="101">
        <f t="shared" si="402"/>
        <v>59</v>
      </c>
      <c r="G2328" s="101">
        <f t="shared" si="403"/>
        <v>14.75</v>
      </c>
      <c r="H2328" s="95" t="s">
        <v>310</v>
      </c>
      <c r="J2328" s="247" t="s">
        <v>2712</v>
      </c>
      <c r="K2328" s="89"/>
      <c r="L2328" s="90"/>
      <c r="M2328" s="90"/>
      <c r="P2328" s="68"/>
    </row>
    <row r="2329">
      <c r="A2329" s="95">
        <v>7.95731938554E11</v>
      </c>
      <c r="B2329" s="151" t="s">
        <v>2732</v>
      </c>
      <c r="C2329" s="95" t="s">
        <v>97</v>
      </c>
      <c r="D2329" s="95">
        <v>1.0</v>
      </c>
      <c r="E2329" s="101">
        <v>119.0</v>
      </c>
      <c r="F2329" s="101">
        <f t="shared" si="402"/>
        <v>119</v>
      </c>
      <c r="G2329" s="101">
        <f t="shared" si="403"/>
        <v>29.75</v>
      </c>
      <c r="H2329" s="95" t="s">
        <v>310</v>
      </c>
      <c r="J2329" s="247" t="s">
        <v>2712</v>
      </c>
      <c r="K2329" s="89"/>
      <c r="L2329" s="90"/>
      <c r="M2329" s="90"/>
      <c r="P2329" s="68"/>
    </row>
    <row r="2330">
      <c r="A2330" s="95">
        <v>7.95731941103E11</v>
      </c>
      <c r="B2330" s="151" t="s">
        <v>2733</v>
      </c>
      <c r="C2330" s="95" t="s">
        <v>97</v>
      </c>
      <c r="D2330" s="95">
        <v>1.0</v>
      </c>
      <c r="E2330" s="101">
        <v>129.0</v>
      </c>
      <c r="F2330" s="101">
        <f t="shared" si="402"/>
        <v>129</v>
      </c>
      <c r="G2330" s="101">
        <f t="shared" si="403"/>
        <v>32.25</v>
      </c>
      <c r="H2330" s="95" t="s">
        <v>322</v>
      </c>
      <c r="J2330" s="247" t="s">
        <v>2712</v>
      </c>
      <c r="K2330" s="89"/>
      <c r="L2330" s="90"/>
      <c r="M2330" s="90"/>
      <c r="P2330" s="68"/>
    </row>
    <row r="2331">
      <c r="A2331" s="95">
        <v>7.95731950808E11</v>
      </c>
      <c r="B2331" s="151" t="s">
        <v>2734</v>
      </c>
      <c r="C2331" s="95" t="s">
        <v>97</v>
      </c>
      <c r="D2331" s="95">
        <v>1.0</v>
      </c>
      <c r="E2331" s="101">
        <v>129.0</v>
      </c>
      <c r="F2331" s="101">
        <f t="shared" si="402"/>
        <v>129</v>
      </c>
      <c r="G2331" s="101">
        <f t="shared" si="403"/>
        <v>32.25</v>
      </c>
      <c r="H2331" s="95" t="s">
        <v>310</v>
      </c>
      <c r="J2331" s="247" t="s">
        <v>2712</v>
      </c>
      <c r="K2331" s="89"/>
      <c r="L2331" s="90"/>
      <c r="M2331" s="90"/>
      <c r="P2331" s="68"/>
    </row>
    <row r="2332">
      <c r="A2332" s="95">
        <v>7.95733015772E11</v>
      </c>
      <c r="B2332" s="151" t="s">
        <v>2735</v>
      </c>
      <c r="C2332" s="95" t="s">
        <v>97</v>
      </c>
      <c r="D2332" s="95">
        <v>1.0</v>
      </c>
      <c r="E2332" s="101">
        <v>119.0</v>
      </c>
      <c r="F2332" s="101">
        <f t="shared" si="402"/>
        <v>119</v>
      </c>
      <c r="G2332" s="101">
        <f t="shared" si="403"/>
        <v>29.75</v>
      </c>
      <c r="H2332" s="95" t="s">
        <v>310</v>
      </c>
      <c r="J2332" s="247" t="s">
        <v>2712</v>
      </c>
      <c r="K2332" s="89"/>
      <c r="L2332" s="90"/>
      <c r="M2332" s="90"/>
      <c r="P2332" s="68"/>
    </row>
    <row r="2333">
      <c r="A2333" s="95">
        <v>7.95733019985E11</v>
      </c>
      <c r="B2333" s="151" t="s">
        <v>2736</v>
      </c>
      <c r="C2333" s="95" t="s">
        <v>97</v>
      </c>
      <c r="D2333" s="95">
        <v>1.0</v>
      </c>
      <c r="E2333" s="101">
        <v>139.0</v>
      </c>
      <c r="F2333" s="101">
        <f t="shared" si="402"/>
        <v>139</v>
      </c>
      <c r="G2333" s="101">
        <f t="shared" si="403"/>
        <v>34.75</v>
      </c>
      <c r="H2333" s="95" t="s">
        <v>322</v>
      </c>
      <c r="J2333" s="247" t="s">
        <v>2712</v>
      </c>
      <c r="K2333" s="89"/>
      <c r="L2333" s="90"/>
      <c r="M2333" s="90"/>
      <c r="P2333" s="68"/>
    </row>
    <row r="2334">
      <c r="A2334" s="95">
        <v>7.95733020714E11</v>
      </c>
      <c r="B2334" s="151" t="s">
        <v>2737</v>
      </c>
      <c r="C2334" s="95" t="s">
        <v>97</v>
      </c>
      <c r="D2334" s="95">
        <v>1.0</v>
      </c>
      <c r="E2334" s="101">
        <v>119.0</v>
      </c>
      <c r="F2334" s="101">
        <f t="shared" si="402"/>
        <v>119</v>
      </c>
      <c r="G2334" s="101">
        <f t="shared" si="403"/>
        <v>29.75</v>
      </c>
      <c r="H2334" s="95" t="s">
        <v>310</v>
      </c>
      <c r="J2334" s="247" t="s">
        <v>2712</v>
      </c>
      <c r="K2334" s="89"/>
      <c r="L2334" s="90"/>
      <c r="M2334" s="90"/>
      <c r="P2334" s="68"/>
    </row>
    <row r="2335">
      <c r="A2335" s="95">
        <v>7.9573303225E11</v>
      </c>
      <c r="B2335" s="151" t="s">
        <v>2738</v>
      </c>
      <c r="C2335" s="95" t="s">
        <v>97</v>
      </c>
      <c r="D2335" s="95">
        <v>1.0</v>
      </c>
      <c r="E2335" s="101">
        <v>119.0</v>
      </c>
      <c r="F2335" s="101">
        <f t="shared" si="402"/>
        <v>119</v>
      </c>
      <c r="G2335" s="101">
        <f t="shared" si="403"/>
        <v>29.75</v>
      </c>
      <c r="H2335" s="95" t="s">
        <v>310</v>
      </c>
      <c r="J2335" s="247" t="s">
        <v>2712</v>
      </c>
      <c r="K2335" s="89"/>
      <c r="L2335" s="90"/>
      <c r="M2335" s="90"/>
      <c r="P2335" s="68"/>
    </row>
    <row r="2336">
      <c r="A2336" s="95">
        <v>7.95733092742E11</v>
      </c>
      <c r="B2336" s="151" t="s">
        <v>2739</v>
      </c>
      <c r="C2336" s="95" t="s">
        <v>97</v>
      </c>
      <c r="D2336" s="95">
        <v>1.0</v>
      </c>
      <c r="E2336" s="101">
        <v>119.0</v>
      </c>
      <c r="F2336" s="101">
        <f t="shared" si="402"/>
        <v>119</v>
      </c>
      <c r="G2336" s="101">
        <f t="shared" si="403"/>
        <v>29.75</v>
      </c>
      <c r="H2336" s="95" t="s">
        <v>310</v>
      </c>
      <c r="J2336" s="247" t="s">
        <v>2712</v>
      </c>
      <c r="K2336" s="89"/>
      <c r="L2336" s="90"/>
      <c r="M2336" s="90"/>
      <c r="P2336" s="68"/>
    </row>
    <row r="2337">
      <c r="A2337" s="95">
        <v>7.95733122968E11</v>
      </c>
      <c r="B2337" s="151" t="s">
        <v>2740</v>
      </c>
      <c r="C2337" s="95" t="s">
        <v>97</v>
      </c>
      <c r="D2337" s="95">
        <v>1.0</v>
      </c>
      <c r="E2337" s="101">
        <v>129.0</v>
      </c>
      <c r="F2337" s="101">
        <f t="shared" si="402"/>
        <v>129</v>
      </c>
      <c r="G2337" s="101">
        <f t="shared" si="403"/>
        <v>32.25</v>
      </c>
      <c r="H2337" s="95" t="s">
        <v>310</v>
      </c>
      <c r="J2337" s="247" t="s">
        <v>2712</v>
      </c>
      <c r="K2337" s="89"/>
      <c r="L2337" s="90"/>
      <c r="M2337" s="90"/>
      <c r="P2337" s="68"/>
    </row>
    <row r="2338">
      <c r="A2338" s="95">
        <v>7.9573313208E11</v>
      </c>
      <c r="B2338" s="151" t="s">
        <v>2741</v>
      </c>
      <c r="C2338" s="95" t="s">
        <v>97</v>
      </c>
      <c r="D2338" s="95">
        <v>1.0</v>
      </c>
      <c r="E2338" s="101">
        <v>139.0</v>
      </c>
      <c r="F2338" s="101">
        <f t="shared" si="402"/>
        <v>139</v>
      </c>
      <c r="G2338" s="101">
        <f t="shared" si="403"/>
        <v>34.75</v>
      </c>
      <c r="H2338" s="95" t="s">
        <v>310</v>
      </c>
      <c r="J2338" s="247" t="s">
        <v>2712</v>
      </c>
      <c r="K2338" s="89"/>
      <c r="L2338" s="90"/>
      <c r="M2338" s="90"/>
      <c r="P2338" s="68"/>
    </row>
    <row r="2339">
      <c r="A2339" s="95">
        <v>8.02892233104E11</v>
      </c>
      <c r="B2339" s="151" t="s">
        <v>2742</v>
      </c>
      <c r="C2339" s="95" t="s">
        <v>97</v>
      </c>
      <c r="D2339" s="95">
        <v>1.0</v>
      </c>
      <c r="E2339" s="101">
        <v>159.0</v>
      </c>
      <c r="F2339" s="101">
        <f t="shared" si="402"/>
        <v>159</v>
      </c>
      <c r="G2339" s="101">
        <f t="shared" si="403"/>
        <v>39.75</v>
      </c>
      <c r="H2339" s="95" t="s">
        <v>322</v>
      </c>
      <c r="J2339" s="247" t="s">
        <v>2712</v>
      </c>
      <c r="K2339" s="89"/>
      <c r="L2339" s="90"/>
      <c r="M2339" s="90"/>
      <c r="P2339" s="68"/>
    </row>
    <row r="2340">
      <c r="A2340" s="95">
        <v>8.02892233135E11</v>
      </c>
      <c r="B2340" s="151" t="s">
        <v>2742</v>
      </c>
      <c r="C2340" s="95" t="s">
        <v>97</v>
      </c>
      <c r="D2340" s="95">
        <v>1.0</v>
      </c>
      <c r="E2340" s="101">
        <v>159.0</v>
      </c>
      <c r="F2340" s="101">
        <f t="shared" si="402"/>
        <v>159</v>
      </c>
      <c r="G2340" s="101">
        <f t="shared" si="403"/>
        <v>39.75</v>
      </c>
      <c r="H2340" s="95" t="s">
        <v>310</v>
      </c>
      <c r="J2340" s="247" t="s">
        <v>2712</v>
      </c>
      <c r="K2340" s="89"/>
      <c r="L2340" s="90"/>
      <c r="M2340" s="90"/>
      <c r="P2340" s="68"/>
    </row>
    <row r="2341">
      <c r="A2341" s="95">
        <v>8.02892335389E11</v>
      </c>
      <c r="B2341" s="151" t="s">
        <v>2743</v>
      </c>
      <c r="C2341" s="95" t="s">
        <v>97</v>
      </c>
      <c r="D2341" s="95">
        <v>1.0</v>
      </c>
      <c r="E2341" s="101">
        <v>119.0</v>
      </c>
      <c r="F2341" s="101">
        <f t="shared" si="402"/>
        <v>119</v>
      </c>
      <c r="G2341" s="101">
        <f t="shared" si="403"/>
        <v>29.75</v>
      </c>
      <c r="H2341" s="95" t="s">
        <v>310</v>
      </c>
      <c r="J2341" s="247" t="s">
        <v>2712</v>
      </c>
      <c r="K2341" s="89"/>
      <c r="L2341" s="90"/>
      <c r="M2341" s="90"/>
      <c r="P2341" s="68"/>
    </row>
    <row r="2342">
      <c r="A2342" s="95">
        <v>8.02892579974E11</v>
      </c>
      <c r="B2342" s="151" t="s">
        <v>2744</v>
      </c>
      <c r="C2342" s="95" t="s">
        <v>97</v>
      </c>
      <c r="D2342" s="95">
        <v>1.0</v>
      </c>
      <c r="E2342" s="101">
        <v>89.0</v>
      </c>
      <c r="F2342" s="101">
        <f t="shared" si="402"/>
        <v>89</v>
      </c>
      <c r="G2342" s="101">
        <f t="shared" si="403"/>
        <v>22.25</v>
      </c>
      <c r="H2342" s="95" t="s">
        <v>310</v>
      </c>
      <c r="J2342" s="247" t="s">
        <v>2712</v>
      </c>
      <c r="K2342" s="89"/>
      <c r="L2342" s="90"/>
      <c r="M2342" s="90"/>
      <c r="P2342" s="68"/>
    </row>
    <row r="2343">
      <c r="A2343" s="95">
        <v>8.02892579998E11</v>
      </c>
      <c r="B2343" s="151" t="s">
        <v>2745</v>
      </c>
      <c r="C2343" s="95" t="s">
        <v>97</v>
      </c>
      <c r="D2343" s="95">
        <v>1.0</v>
      </c>
      <c r="E2343" s="101">
        <v>89.0</v>
      </c>
      <c r="F2343" s="101">
        <f t="shared" si="402"/>
        <v>89</v>
      </c>
      <c r="G2343" s="101">
        <f t="shared" si="403"/>
        <v>22.25</v>
      </c>
      <c r="H2343" s="95" t="s">
        <v>310</v>
      </c>
      <c r="J2343" s="247" t="s">
        <v>2712</v>
      </c>
      <c r="K2343" s="89"/>
      <c r="L2343" s="90"/>
      <c r="M2343" s="90"/>
      <c r="P2343" s="68"/>
    </row>
    <row r="2344">
      <c r="A2344" s="95">
        <v>8.02892582653E11</v>
      </c>
      <c r="B2344" s="151" t="s">
        <v>2746</v>
      </c>
      <c r="C2344" s="95" t="s">
        <v>97</v>
      </c>
      <c r="D2344" s="95">
        <v>1.0</v>
      </c>
      <c r="E2344" s="101">
        <v>119.0</v>
      </c>
      <c r="F2344" s="101">
        <f t="shared" si="402"/>
        <v>119</v>
      </c>
      <c r="G2344" s="101">
        <f t="shared" si="403"/>
        <v>29.75</v>
      </c>
      <c r="H2344" s="95" t="s">
        <v>310</v>
      </c>
      <c r="J2344" s="247" t="s">
        <v>2712</v>
      </c>
      <c r="K2344" s="89"/>
      <c r="L2344" s="90"/>
      <c r="M2344" s="90"/>
      <c r="P2344" s="68"/>
    </row>
    <row r="2345">
      <c r="A2345" s="211"/>
      <c r="B2345" s="231" t="s">
        <v>2747</v>
      </c>
      <c r="C2345" s="234" t="str">
        <f>MID($B2345,6,7)</f>
        <v>XM18865</v>
      </c>
      <c r="D2345" s="231"/>
      <c r="E2345" s="231"/>
      <c r="F2345" s="231"/>
      <c r="G2345" s="231"/>
      <c r="H2345" s="235">
        <v>44560.0</v>
      </c>
      <c r="J2345" s="108" t="str">
        <f>IF(LEFT(B2345,3)="Box","BOX","COUNT")</f>
        <v>BOX</v>
      </c>
      <c r="K2345" s="99">
        <f>SUMIF($J$4:$J$8712,$C2345,$D$4:$D$8712)</f>
        <v>35</v>
      </c>
      <c r="L2345" s="50">
        <f>SUMIF($J$4:$J$8712,$C2345,$F$4:$F$8712)</f>
        <v>3739</v>
      </c>
      <c r="M2345" s="50">
        <f>SUMIF($J$4:$J$8712,$C2345,$G$4:$G$8712)</f>
        <v>934.75</v>
      </c>
      <c r="N2345" s="70" t="str">
        <f>C2345</f>
        <v>XM18865</v>
      </c>
      <c r="O2345" s="70" t="str">
        <f>J2346</f>
        <v>NSHIP</v>
      </c>
      <c r="P2345" s="68">
        <f>M2345</f>
        <v>934.75</v>
      </c>
    </row>
    <row r="2346">
      <c r="A2346" s="211"/>
      <c r="B2346" s="231"/>
      <c r="C2346" s="109"/>
      <c r="D2346" s="109"/>
      <c r="E2346" s="116"/>
      <c r="F2346" s="116"/>
      <c r="G2346" s="116"/>
      <c r="H2346" s="109"/>
      <c r="J2346" s="108" t="str">
        <f>IF(B2346="","NSHIP","SHIP")</f>
        <v>NSHIP</v>
      </c>
      <c r="K2346" s="99">
        <f>IF($J2346="NSHIP",0,-SUMIF($J$4:$J$8712,$C2345,$D$4:$D$8712))</f>
        <v>0</v>
      </c>
      <c r="L2346" s="50">
        <f>IF($J2346="NSHIP",0,-SUMIF($J$4:$J$8710,$C2345,$F$4:$F$8710))</f>
        <v>0</v>
      </c>
      <c r="M2346" s="50">
        <f>IF($J2346="NSHIP",0,-SUMIF($J$4:$J$8710,$C2345,$G$4:$G$8710))</f>
        <v>0</v>
      </c>
      <c r="P2346" s="68"/>
    </row>
    <row r="2347">
      <c r="A2347" s="95">
        <v>1.91937569712E11</v>
      </c>
      <c r="B2347" s="151" t="s">
        <v>2748</v>
      </c>
      <c r="C2347" s="95" t="s">
        <v>97</v>
      </c>
      <c r="D2347" s="95">
        <v>1.0</v>
      </c>
      <c r="E2347" s="101">
        <v>69.0</v>
      </c>
      <c r="F2347" s="101">
        <f t="shared" ref="F2347:F2380" si="404">E2347*D2347</f>
        <v>69</v>
      </c>
      <c r="G2347" s="101">
        <f t="shared" ref="G2347:G2380" si="405">F2347/4</f>
        <v>17.25</v>
      </c>
      <c r="H2347" s="95" t="s">
        <v>2749</v>
      </c>
      <c r="J2347" s="247" t="s">
        <v>2750</v>
      </c>
      <c r="K2347" s="89"/>
      <c r="L2347" s="90"/>
      <c r="M2347" s="90"/>
      <c r="P2347" s="68"/>
    </row>
    <row r="2348">
      <c r="A2348" s="95">
        <v>6.52933025942E11</v>
      </c>
      <c r="B2348" s="151" t="s">
        <v>2751</v>
      </c>
      <c r="C2348" s="95" t="s">
        <v>97</v>
      </c>
      <c r="D2348" s="95">
        <v>1.0</v>
      </c>
      <c r="E2348" s="101">
        <v>189.0</v>
      </c>
      <c r="F2348" s="101">
        <f t="shared" si="404"/>
        <v>189</v>
      </c>
      <c r="G2348" s="101">
        <f t="shared" si="405"/>
        <v>47.25</v>
      </c>
      <c r="H2348" s="95" t="s">
        <v>2749</v>
      </c>
      <c r="J2348" s="247" t="s">
        <v>2750</v>
      </c>
      <c r="K2348" s="89"/>
      <c r="L2348" s="90"/>
      <c r="M2348" s="90"/>
      <c r="P2348" s="68"/>
    </row>
    <row r="2349">
      <c r="A2349" s="95">
        <v>6.52933063265E11</v>
      </c>
      <c r="B2349" s="151" t="s">
        <v>2752</v>
      </c>
      <c r="C2349" s="95" t="s">
        <v>97</v>
      </c>
      <c r="D2349" s="95">
        <v>1.0</v>
      </c>
      <c r="E2349" s="101">
        <v>229.0</v>
      </c>
      <c r="F2349" s="101">
        <f t="shared" si="404"/>
        <v>229</v>
      </c>
      <c r="G2349" s="101">
        <f t="shared" si="405"/>
        <v>57.25</v>
      </c>
      <c r="H2349" s="95" t="s">
        <v>2753</v>
      </c>
      <c r="J2349" s="247" t="s">
        <v>2750</v>
      </c>
      <c r="K2349" s="89"/>
      <c r="L2349" s="90"/>
      <c r="M2349" s="90"/>
      <c r="P2349" s="68"/>
    </row>
    <row r="2350">
      <c r="A2350" s="95">
        <v>6.52933080958E11</v>
      </c>
      <c r="B2350" s="151" t="s">
        <v>2754</v>
      </c>
      <c r="C2350" s="95" t="s">
        <v>97</v>
      </c>
      <c r="D2350" s="95">
        <v>1.0</v>
      </c>
      <c r="E2350" s="101">
        <v>229.0</v>
      </c>
      <c r="F2350" s="101">
        <f t="shared" si="404"/>
        <v>229</v>
      </c>
      <c r="G2350" s="101">
        <f t="shared" si="405"/>
        <v>57.25</v>
      </c>
      <c r="H2350" s="95" t="s">
        <v>2749</v>
      </c>
      <c r="J2350" s="247" t="s">
        <v>2750</v>
      </c>
      <c r="K2350" s="89"/>
      <c r="L2350" s="90"/>
      <c r="M2350" s="90"/>
      <c r="P2350" s="68"/>
    </row>
    <row r="2351">
      <c r="A2351" s="95">
        <v>6.52933200868E11</v>
      </c>
      <c r="B2351" s="151" t="s">
        <v>2755</v>
      </c>
      <c r="C2351" s="95" t="s">
        <v>97</v>
      </c>
      <c r="D2351" s="95">
        <v>1.0</v>
      </c>
      <c r="E2351" s="101">
        <v>160.0</v>
      </c>
      <c r="F2351" s="101">
        <f t="shared" si="404"/>
        <v>160</v>
      </c>
      <c r="G2351" s="101">
        <f t="shared" si="405"/>
        <v>40</v>
      </c>
      <c r="H2351" s="95" t="s">
        <v>2749</v>
      </c>
      <c r="J2351" s="247" t="s">
        <v>2750</v>
      </c>
      <c r="K2351" s="89"/>
      <c r="L2351" s="90"/>
      <c r="M2351" s="90"/>
      <c r="P2351" s="68"/>
    </row>
    <row r="2352">
      <c r="A2352" s="95">
        <v>6.52933284455E11</v>
      </c>
      <c r="B2352" s="151" t="s">
        <v>2756</v>
      </c>
      <c r="C2352" s="95" t="s">
        <v>97</v>
      </c>
      <c r="D2352" s="95">
        <v>1.0</v>
      </c>
      <c r="E2352" s="101">
        <v>239.0</v>
      </c>
      <c r="F2352" s="101">
        <f t="shared" si="404"/>
        <v>239</v>
      </c>
      <c r="G2352" s="101">
        <f t="shared" si="405"/>
        <v>59.75</v>
      </c>
      <c r="H2352" s="95" t="s">
        <v>2749</v>
      </c>
      <c r="J2352" s="247" t="s">
        <v>2750</v>
      </c>
      <c r="K2352" s="89"/>
      <c r="L2352" s="90"/>
      <c r="M2352" s="90"/>
      <c r="P2352" s="68"/>
    </row>
    <row r="2353">
      <c r="A2353" s="95">
        <v>6.52933430555E11</v>
      </c>
      <c r="B2353" s="151" t="s">
        <v>2757</v>
      </c>
      <c r="C2353" s="95" t="s">
        <v>97</v>
      </c>
      <c r="D2353" s="95">
        <v>1.0</v>
      </c>
      <c r="E2353" s="101">
        <v>199.0</v>
      </c>
      <c r="F2353" s="101">
        <f t="shared" si="404"/>
        <v>199</v>
      </c>
      <c r="G2353" s="101">
        <f t="shared" si="405"/>
        <v>49.75</v>
      </c>
      <c r="H2353" s="95" t="s">
        <v>2749</v>
      </c>
      <c r="J2353" s="247" t="s">
        <v>2750</v>
      </c>
      <c r="K2353" s="89"/>
      <c r="L2353" s="90"/>
      <c r="M2353" s="90"/>
      <c r="P2353" s="68"/>
    </row>
    <row r="2354">
      <c r="A2354" s="95">
        <v>6.52933431163E11</v>
      </c>
      <c r="B2354" s="151" t="s">
        <v>2758</v>
      </c>
      <c r="C2354" s="95" t="s">
        <v>97</v>
      </c>
      <c r="D2354" s="95">
        <v>1.0</v>
      </c>
      <c r="E2354" s="101">
        <v>179.0</v>
      </c>
      <c r="F2354" s="101">
        <f t="shared" si="404"/>
        <v>179</v>
      </c>
      <c r="G2354" s="101">
        <f t="shared" si="405"/>
        <v>44.75</v>
      </c>
      <c r="H2354" s="95" t="s">
        <v>2749</v>
      </c>
      <c r="J2354" s="247" t="s">
        <v>2750</v>
      </c>
      <c r="K2354" s="89"/>
      <c r="L2354" s="90"/>
      <c r="M2354" s="90"/>
      <c r="P2354" s="68"/>
    </row>
    <row r="2355">
      <c r="A2355" s="95">
        <v>6.52933461504E11</v>
      </c>
      <c r="B2355" s="151" t="s">
        <v>2759</v>
      </c>
      <c r="C2355" s="95" t="s">
        <v>97</v>
      </c>
      <c r="D2355" s="95">
        <v>1.0</v>
      </c>
      <c r="E2355" s="101">
        <v>229.0</v>
      </c>
      <c r="F2355" s="101">
        <f t="shared" si="404"/>
        <v>229</v>
      </c>
      <c r="G2355" s="101">
        <f t="shared" si="405"/>
        <v>57.25</v>
      </c>
      <c r="H2355" s="95" t="s">
        <v>2753</v>
      </c>
      <c r="J2355" s="247" t="s">
        <v>2750</v>
      </c>
      <c r="K2355" s="89"/>
      <c r="L2355" s="90"/>
      <c r="M2355" s="90"/>
      <c r="P2355" s="68"/>
    </row>
    <row r="2356">
      <c r="A2356" s="95">
        <v>6.52933485128E11</v>
      </c>
      <c r="B2356" s="151" t="s">
        <v>2760</v>
      </c>
      <c r="C2356" s="95" t="s">
        <v>97</v>
      </c>
      <c r="D2356" s="95">
        <v>1.0</v>
      </c>
      <c r="E2356" s="101">
        <v>229.0</v>
      </c>
      <c r="F2356" s="101">
        <f t="shared" si="404"/>
        <v>229</v>
      </c>
      <c r="G2356" s="101">
        <f t="shared" si="405"/>
        <v>57.25</v>
      </c>
      <c r="H2356" s="95" t="s">
        <v>2749</v>
      </c>
      <c r="J2356" s="247" t="s">
        <v>2750</v>
      </c>
      <c r="K2356" s="89"/>
      <c r="L2356" s="90"/>
      <c r="M2356" s="90"/>
      <c r="P2356" s="68"/>
    </row>
    <row r="2357">
      <c r="A2357" s="95">
        <v>6.5293349199E11</v>
      </c>
      <c r="B2357" s="151" t="s">
        <v>2761</v>
      </c>
      <c r="C2357" s="95" t="s">
        <v>97</v>
      </c>
      <c r="D2357" s="95">
        <v>1.0</v>
      </c>
      <c r="E2357" s="101">
        <v>189.0</v>
      </c>
      <c r="F2357" s="101">
        <f t="shared" si="404"/>
        <v>189</v>
      </c>
      <c r="G2357" s="101">
        <f t="shared" si="405"/>
        <v>47.25</v>
      </c>
      <c r="H2357" s="95" t="s">
        <v>2749</v>
      </c>
      <c r="J2357" s="247" t="s">
        <v>2750</v>
      </c>
      <c r="K2357" s="89"/>
      <c r="L2357" s="90"/>
      <c r="M2357" s="90"/>
      <c r="P2357" s="68"/>
    </row>
    <row r="2358">
      <c r="A2358" s="95">
        <v>6.52933499989E11</v>
      </c>
      <c r="B2358" s="151" t="s">
        <v>2762</v>
      </c>
      <c r="C2358" s="95" t="s">
        <v>97</v>
      </c>
      <c r="D2358" s="95">
        <v>1.0</v>
      </c>
      <c r="E2358" s="101">
        <v>149.0</v>
      </c>
      <c r="F2358" s="101">
        <f t="shared" si="404"/>
        <v>149</v>
      </c>
      <c r="G2358" s="101">
        <f t="shared" si="405"/>
        <v>37.25</v>
      </c>
      <c r="H2358" s="95" t="s">
        <v>2763</v>
      </c>
      <c r="J2358" s="247" t="s">
        <v>2750</v>
      </c>
      <c r="K2358" s="89"/>
      <c r="L2358" s="90"/>
      <c r="M2358" s="90"/>
      <c r="P2358" s="68"/>
    </row>
    <row r="2359">
      <c r="A2359" s="95">
        <v>6.52933544382E11</v>
      </c>
      <c r="B2359" s="151" t="s">
        <v>2764</v>
      </c>
      <c r="C2359" s="95" t="s">
        <v>97</v>
      </c>
      <c r="D2359" s="95">
        <v>1.0</v>
      </c>
      <c r="E2359" s="101">
        <v>349.0</v>
      </c>
      <c r="F2359" s="101">
        <f t="shared" si="404"/>
        <v>349</v>
      </c>
      <c r="G2359" s="101">
        <f t="shared" si="405"/>
        <v>87.25</v>
      </c>
      <c r="H2359" s="95" t="s">
        <v>2753</v>
      </c>
      <c r="J2359" s="247" t="s">
        <v>2750</v>
      </c>
      <c r="K2359" s="89"/>
      <c r="L2359" s="90"/>
      <c r="M2359" s="90"/>
      <c r="P2359" s="68"/>
    </row>
    <row r="2360">
      <c r="A2360" s="95">
        <v>6.52933547284E11</v>
      </c>
      <c r="B2360" s="151" t="s">
        <v>2765</v>
      </c>
      <c r="C2360" s="95" t="s">
        <v>97</v>
      </c>
      <c r="D2360" s="95">
        <v>1.0</v>
      </c>
      <c r="E2360" s="101">
        <v>179.0</v>
      </c>
      <c r="F2360" s="101">
        <f t="shared" si="404"/>
        <v>179</v>
      </c>
      <c r="G2360" s="101">
        <f t="shared" si="405"/>
        <v>44.75</v>
      </c>
      <c r="H2360" s="95" t="s">
        <v>2766</v>
      </c>
      <c r="J2360" s="247" t="s">
        <v>2750</v>
      </c>
      <c r="K2360" s="89"/>
      <c r="L2360" s="90"/>
      <c r="M2360" s="90"/>
      <c r="P2360" s="68"/>
    </row>
    <row r="2361">
      <c r="A2361" s="95">
        <v>6.52933563666E11</v>
      </c>
      <c r="B2361" s="151" t="s">
        <v>2767</v>
      </c>
      <c r="C2361" s="95" t="s">
        <v>97</v>
      </c>
      <c r="D2361" s="95">
        <v>1.0</v>
      </c>
      <c r="E2361" s="101">
        <v>179.0</v>
      </c>
      <c r="F2361" s="101">
        <f t="shared" si="404"/>
        <v>179</v>
      </c>
      <c r="G2361" s="101">
        <f t="shared" si="405"/>
        <v>44.75</v>
      </c>
      <c r="H2361" s="95" t="s">
        <v>2753</v>
      </c>
      <c r="J2361" s="247" t="s">
        <v>2750</v>
      </c>
      <c r="K2361" s="89"/>
      <c r="L2361" s="90"/>
      <c r="M2361" s="90"/>
      <c r="P2361" s="68"/>
    </row>
    <row r="2362">
      <c r="A2362" s="95">
        <v>6.52933583565E11</v>
      </c>
      <c r="B2362" s="151" t="s">
        <v>2768</v>
      </c>
      <c r="C2362" s="95" t="s">
        <v>97</v>
      </c>
      <c r="D2362" s="95">
        <v>1.0</v>
      </c>
      <c r="E2362" s="101">
        <v>219.0</v>
      </c>
      <c r="F2362" s="101">
        <f t="shared" si="404"/>
        <v>219</v>
      </c>
      <c r="G2362" s="101">
        <f t="shared" si="405"/>
        <v>54.75</v>
      </c>
      <c r="H2362" s="95" t="s">
        <v>2749</v>
      </c>
      <c r="J2362" s="247" t="s">
        <v>2750</v>
      </c>
      <c r="K2362" s="89"/>
      <c r="L2362" s="90"/>
      <c r="M2362" s="90"/>
      <c r="P2362" s="68"/>
    </row>
    <row r="2363">
      <c r="A2363" s="95">
        <v>6.52933596312E11</v>
      </c>
      <c r="B2363" s="151" t="s">
        <v>2769</v>
      </c>
      <c r="C2363" s="95" t="s">
        <v>97</v>
      </c>
      <c r="D2363" s="95">
        <v>1.0</v>
      </c>
      <c r="E2363" s="101">
        <v>199.0</v>
      </c>
      <c r="F2363" s="101">
        <f t="shared" si="404"/>
        <v>199</v>
      </c>
      <c r="G2363" s="101">
        <f t="shared" si="405"/>
        <v>49.75</v>
      </c>
      <c r="H2363" s="95" t="s">
        <v>2753</v>
      </c>
      <c r="J2363" s="247" t="s">
        <v>2750</v>
      </c>
      <c r="K2363" s="89"/>
      <c r="L2363" s="90"/>
      <c r="M2363" s="90"/>
      <c r="P2363" s="68"/>
    </row>
    <row r="2364">
      <c r="A2364" s="95">
        <v>6.52933596794E11</v>
      </c>
      <c r="B2364" s="151" t="s">
        <v>2770</v>
      </c>
      <c r="C2364" s="95" t="s">
        <v>97</v>
      </c>
      <c r="D2364" s="95">
        <v>1.0</v>
      </c>
      <c r="E2364" s="101">
        <v>159.0</v>
      </c>
      <c r="F2364" s="101">
        <f t="shared" si="404"/>
        <v>159</v>
      </c>
      <c r="G2364" s="101">
        <f t="shared" si="405"/>
        <v>39.75</v>
      </c>
      <c r="H2364" s="95" t="s">
        <v>2749</v>
      </c>
      <c r="J2364" s="247" t="s">
        <v>2750</v>
      </c>
      <c r="K2364" s="89"/>
      <c r="L2364" s="90"/>
      <c r="M2364" s="90"/>
      <c r="P2364" s="68"/>
    </row>
    <row r="2365">
      <c r="A2365" s="95">
        <v>6.52933598064E11</v>
      </c>
      <c r="B2365" s="151" t="s">
        <v>2771</v>
      </c>
      <c r="C2365" s="95" t="s">
        <v>97</v>
      </c>
      <c r="D2365" s="95">
        <v>1.0</v>
      </c>
      <c r="E2365" s="101">
        <v>149.0</v>
      </c>
      <c r="F2365" s="101">
        <f t="shared" si="404"/>
        <v>149</v>
      </c>
      <c r="G2365" s="101">
        <f t="shared" si="405"/>
        <v>37.25</v>
      </c>
      <c r="H2365" s="95" t="s">
        <v>2749</v>
      </c>
      <c r="J2365" s="247" t="s">
        <v>2750</v>
      </c>
      <c r="K2365" s="89"/>
      <c r="L2365" s="90"/>
      <c r="M2365" s="90"/>
      <c r="P2365" s="68"/>
    </row>
    <row r="2366">
      <c r="A2366" s="95">
        <v>6.52933598071E11</v>
      </c>
      <c r="B2366" s="151" t="s">
        <v>2771</v>
      </c>
      <c r="C2366" s="95" t="s">
        <v>97</v>
      </c>
      <c r="D2366" s="95">
        <v>1.0</v>
      </c>
      <c r="E2366" s="101">
        <v>149.0</v>
      </c>
      <c r="F2366" s="101">
        <f t="shared" si="404"/>
        <v>149</v>
      </c>
      <c r="G2366" s="101">
        <f t="shared" si="405"/>
        <v>37.25</v>
      </c>
      <c r="H2366" s="95" t="s">
        <v>2749</v>
      </c>
      <c r="J2366" s="247" t="s">
        <v>2750</v>
      </c>
      <c r="K2366" s="89"/>
      <c r="L2366" s="90"/>
      <c r="M2366" s="90"/>
      <c r="P2366" s="68"/>
    </row>
    <row r="2367">
      <c r="A2367" s="95">
        <v>6.52933603058E11</v>
      </c>
      <c r="B2367" s="151" t="s">
        <v>2770</v>
      </c>
      <c r="C2367" s="95" t="s">
        <v>97</v>
      </c>
      <c r="D2367" s="95">
        <v>1.0</v>
      </c>
      <c r="E2367" s="101">
        <v>159.0</v>
      </c>
      <c r="F2367" s="101">
        <f t="shared" si="404"/>
        <v>159</v>
      </c>
      <c r="G2367" s="101">
        <f t="shared" si="405"/>
        <v>39.75</v>
      </c>
      <c r="H2367" s="95" t="s">
        <v>2749</v>
      </c>
      <c r="J2367" s="247" t="s">
        <v>2750</v>
      </c>
      <c r="K2367" s="89"/>
      <c r="L2367" s="90"/>
      <c r="M2367" s="90"/>
      <c r="P2367" s="68"/>
    </row>
    <row r="2368">
      <c r="A2368" s="95">
        <v>6.52933603232E11</v>
      </c>
      <c r="B2368" s="151" t="s">
        <v>2772</v>
      </c>
      <c r="C2368" s="95" t="s">
        <v>97</v>
      </c>
      <c r="D2368" s="95">
        <v>1.0</v>
      </c>
      <c r="E2368" s="101">
        <v>199.0</v>
      </c>
      <c r="F2368" s="101">
        <f t="shared" si="404"/>
        <v>199</v>
      </c>
      <c r="G2368" s="101">
        <f t="shared" si="405"/>
        <v>49.75</v>
      </c>
      <c r="H2368" s="95" t="s">
        <v>2749</v>
      </c>
      <c r="J2368" s="247" t="s">
        <v>2750</v>
      </c>
      <c r="K2368" s="89"/>
      <c r="L2368" s="90"/>
      <c r="M2368" s="90"/>
      <c r="P2368" s="68"/>
    </row>
    <row r="2369">
      <c r="A2369" s="95">
        <v>6.52933615952E11</v>
      </c>
      <c r="B2369" s="151" t="s">
        <v>2773</v>
      </c>
      <c r="C2369" s="95" t="s">
        <v>97</v>
      </c>
      <c r="D2369" s="95">
        <v>1.0</v>
      </c>
      <c r="E2369" s="101">
        <v>139.0</v>
      </c>
      <c r="F2369" s="101">
        <f t="shared" si="404"/>
        <v>139</v>
      </c>
      <c r="G2369" s="101">
        <f t="shared" si="405"/>
        <v>34.75</v>
      </c>
      <c r="H2369" s="95" t="s">
        <v>2766</v>
      </c>
      <c r="J2369" s="247" t="s">
        <v>2750</v>
      </c>
      <c r="K2369" s="89"/>
      <c r="L2369" s="90"/>
      <c r="M2369" s="90"/>
      <c r="P2369" s="68"/>
    </row>
    <row r="2370">
      <c r="A2370" s="95">
        <v>6.52933646208E11</v>
      </c>
      <c r="B2370" s="151" t="s">
        <v>2774</v>
      </c>
      <c r="C2370" s="95" t="s">
        <v>97</v>
      </c>
      <c r="D2370" s="95">
        <v>1.0</v>
      </c>
      <c r="E2370" s="101">
        <v>139.0</v>
      </c>
      <c r="F2370" s="101">
        <f t="shared" si="404"/>
        <v>139</v>
      </c>
      <c r="G2370" s="101">
        <f t="shared" si="405"/>
        <v>34.75</v>
      </c>
      <c r="H2370" s="95" t="s">
        <v>2766</v>
      </c>
      <c r="J2370" s="247" t="s">
        <v>2750</v>
      </c>
      <c r="K2370" s="89"/>
      <c r="L2370" s="90"/>
      <c r="M2370" s="90"/>
      <c r="P2370" s="68"/>
    </row>
    <row r="2371">
      <c r="A2371" s="95">
        <v>6.52933667579E11</v>
      </c>
      <c r="B2371" s="151" t="s">
        <v>2775</v>
      </c>
      <c r="C2371" s="95" t="s">
        <v>97</v>
      </c>
      <c r="D2371" s="95">
        <v>3.0</v>
      </c>
      <c r="E2371" s="101">
        <v>49.0</v>
      </c>
      <c r="F2371" s="101">
        <f t="shared" si="404"/>
        <v>147</v>
      </c>
      <c r="G2371" s="101">
        <f t="shared" si="405"/>
        <v>36.75</v>
      </c>
      <c r="H2371" s="95" t="s">
        <v>2749</v>
      </c>
      <c r="J2371" s="247" t="s">
        <v>2750</v>
      </c>
      <c r="K2371" s="89"/>
      <c r="L2371" s="90"/>
      <c r="M2371" s="90"/>
      <c r="P2371" s="68"/>
    </row>
    <row r="2372">
      <c r="A2372" s="95">
        <v>6.52933667593E11</v>
      </c>
      <c r="B2372" s="151" t="s">
        <v>2776</v>
      </c>
      <c r="C2372" s="95" t="s">
        <v>97</v>
      </c>
      <c r="D2372" s="95">
        <v>1.0</v>
      </c>
      <c r="E2372" s="101">
        <v>49.0</v>
      </c>
      <c r="F2372" s="101">
        <f t="shared" si="404"/>
        <v>49</v>
      </c>
      <c r="G2372" s="101">
        <f t="shared" si="405"/>
        <v>12.25</v>
      </c>
      <c r="H2372" s="95" t="s">
        <v>2749</v>
      </c>
      <c r="J2372" s="247" t="s">
        <v>2750</v>
      </c>
      <c r="K2372" s="89"/>
      <c r="L2372" s="90"/>
      <c r="M2372" s="90"/>
      <c r="P2372" s="68"/>
    </row>
    <row r="2373">
      <c r="A2373" s="95">
        <v>6.52933830652E11</v>
      </c>
      <c r="B2373" s="151" t="s">
        <v>2777</v>
      </c>
      <c r="C2373" s="95" t="s">
        <v>97</v>
      </c>
      <c r="D2373" s="95">
        <v>1.0</v>
      </c>
      <c r="E2373" s="101">
        <v>229.0</v>
      </c>
      <c r="F2373" s="101">
        <f t="shared" si="404"/>
        <v>229</v>
      </c>
      <c r="G2373" s="101">
        <f t="shared" si="405"/>
        <v>57.25</v>
      </c>
      <c r="H2373" s="95" t="s">
        <v>2753</v>
      </c>
      <c r="J2373" s="247" t="s">
        <v>2750</v>
      </c>
      <c r="K2373" s="89"/>
      <c r="L2373" s="90"/>
      <c r="M2373" s="90"/>
      <c r="P2373" s="68"/>
    </row>
    <row r="2374">
      <c r="A2374" s="95">
        <v>6.52933838269E11</v>
      </c>
      <c r="B2374" s="151" t="s">
        <v>2778</v>
      </c>
      <c r="C2374" s="95" t="s">
        <v>97</v>
      </c>
      <c r="D2374" s="95">
        <v>1.0</v>
      </c>
      <c r="E2374" s="101">
        <v>109.0</v>
      </c>
      <c r="F2374" s="101">
        <f t="shared" si="404"/>
        <v>109</v>
      </c>
      <c r="G2374" s="101">
        <f t="shared" si="405"/>
        <v>27.25</v>
      </c>
      <c r="H2374" s="95" t="s">
        <v>2766</v>
      </c>
      <c r="J2374" s="247" t="s">
        <v>2750</v>
      </c>
      <c r="K2374" s="89"/>
      <c r="L2374" s="90"/>
      <c r="M2374" s="90"/>
      <c r="P2374" s="68"/>
    </row>
    <row r="2375">
      <c r="A2375" s="95">
        <v>6.52933891646E11</v>
      </c>
      <c r="B2375" s="151" t="s">
        <v>2779</v>
      </c>
      <c r="C2375" s="95" t="s">
        <v>97</v>
      </c>
      <c r="D2375" s="95">
        <v>1.0</v>
      </c>
      <c r="E2375" s="101">
        <v>199.0</v>
      </c>
      <c r="F2375" s="101">
        <f t="shared" si="404"/>
        <v>199</v>
      </c>
      <c r="G2375" s="101">
        <f t="shared" si="405"/>
        <v>49.75</v>
      </c>
      <c r="H2375" s="95" t="s">
        <v>2753</v>
      </c>
      <c r="J2375" s="247" t="s">
        <v>2750</v>
      </c>
      <c r="K2375" s="89"/>
      <c r="L2375" s="90"/>
      <c r="M2375" s="90"/>
      <c r="P2375" s="68"/>
    </row>
    <row r="2376">
      <c r="A2376" s="95">
        <v>6.52933972543E11</v>
      </c>
      <c r="B2376" s="151" t="s">
        <v>2780</v>
      </c>
      <c r="C2376" s="95" t="s">
        <v>97</v>
      </c>
      <c r="D2376" s="95">
        <v>2.0</v>
      </c>
      <c r="E2376" s="101">
        <v>75.0</v>
      </c>
      <c r="F2376" s="101">
        <f t="shared" si="404"/>
        <v>150</v>
      </c>
      <c r="G2376" s="101">
        <f t="shared" si="405"/>
        <v>37.5</v>
      </c>
      <c r="H2376" s="95" t="s">
        <v>2753</v>
      </c>
      <c r="J2376" s="247" t="s">
        <v>2750</v>
      </c>
      <c r="K2376" s="89"/>
      <c r="L2376" s="90"/>
      <c r="M2376" s="90"/>
      <c r="P2376" s="68"/>
    </row>
    <row r="2377">
      <c r="A2377" s="95">
        <v>6.52933981972E11</v>
      </c>
      <c r="B2377" s="151" t="s">
        <v>2781</v>
      </c>
      <c r="C2377" s="95" t="s">
        <v>97</v>
      </c>
      <c r="D2377" s="95">
        <v>1.0</v>
      </c>
      <c r="E2377" s="101">
        <v>109.0</v>
      </c>
      <c r="F2377" s="101">
        <f t="shared" si="404"/>
        <v>109</v>
      </c>
      <c r="G2377" s="101">
        <f t="shared" si="405"/>
        <v>27.25</v>
      </c>
      <c r="H2377" s="95" t="s">
        <v>2766</v>
      </c>
      <c r="J2377" s="247" t="s">
        <v>2750</v>
      </c>
      <c r="K2377" s="89"/>
      <c r="L2377" s="90"/>
      <c r="M2377" s="90"/>
      <c r="P2377" s="68"/>
    </row>
    <row r="2378">
      <c r="A2378" s="95">
        <v>6.52933992268E11</v>
      </c>
      <c r="B2378" s="151" t="s">
        <v>2782</v>
      </c>
      <c r="C2378" s="95" t="s">
        <v>97</v>
      </c>
      <c r="D2378" s="95">
        <v>1.0</v>
      </c>
      <c r="E2378" s="101">
        <v>279.0</v>
      </c>
      <c r="F2378" s="101">
        <f t="shared" si="404"/>
        <v>279</v>
      </c>
      <c r="G2378" s="101">
        <f t="shared" si="405"/>
        <v>69.75</v>
      </c>
      <c r="H2378" s="95" t="s">
        <v>2753</v>
      </c>
      <c r="J2378" s="247" t="s">
        <v>2750</v>
      </c>
      <c r="K2378" s="89"/>
      <c r="L2378" s="90"/>
      <c r="M2378" s="90"/>
      <c r="P2378" s="68"/>
    </row>
    <row r="2379">
      <c r="A2379" s="95">
        <v>7.97532570919E11</v>
      </c>
      <c r="B2379" s="151" t="s">
        <v>2783</v>
      </c>
      <c r="C2379" s="95" t="s">
        <v>97</v>
      </c>
      <c r="D2379" s="95">
        <v>1.0</v>
      </c>
      <c r="E2379" s="101">
        <v>69.0</v>
      </c>
      <c r="F2379" s="101">
        <f t="shared" si="404"/>
        <v>69</v>
      </c>
      <c r="G2379" s="101">
        <f t="shared" si="405"/>
        <v>17.25</v>
      </c>
      <c r="H2379" s="95" t="s">
        <v>2749</v>
      </c>
      <c r="J2379" s="247" t="s">
        <v>2750</v>
      </c>
      <c r="K2379" s="89"/>
      <c r="L2379" s="90"/>
      <c r="M2379" s="90"/>
      <c r="P2379" s="68"/>
    </row>
    <row r="2380">
      <c r="A2380" s="95">
        <v>7.97532570964E11</v>
      </c>
      <c r="B2380" s="151" t="s">
        <v>2784</v>
      </c>
      <c r="C2380" s="95" t="s">
        <v>97</v>
      </c>
      <c r="D2380" s="95">
        <v>1.0</v>
      </c>
      <c r="E2380" s="101">
        <v>69.0</v>
      </c>
      <c r="F2380" s="101">
        <f t="shared" si="404"/>
        <v>69</v>
      </c>
      <c r="G2380" s="101">
        <f t="shared" si="405"/>
        <v>17.25</v>
      </c>
      <c r="H2380" s="95" t="s">
        <v>2749</v>
      </c>
      <c r="J2380" s="247" t="s">
        <v>2750</v>
      </c>
      <c r="K2380" s="89"/>
      <c r="L2380" s="90"/>
      <c r="M2380" s="90"/>
      <c r="P2380" s="68"/>
    </row>
    <row r="2381">
      <c r="A2381" s="211"/>
      <c r="B2381" s="231" t="s">
        <v>2785</v>
      </c>
      <c r="C2381" s="234" t="str">
        <f>MID($B2381,6,7)</f>
        <v>XM18866</v>
      </c>
      <c r="D2381" s="231"/>
      <c r="E2381" s="231"/>
      <c r="F2381" s="231"/>
      <c r="G2381" s="231"/>
      <c r="H2381" s="235">
        <v>44560.0</v>
      </c>
      <c r="J2381" s="108" t="str">
        <f>IF(LEFT(B2381,3)="Box","BOX","COUNT")</f>
        <v>BOX</v>
      </c>
      <c r="K2381" s="99">
        <f>SUMIF($J$4:$J$8712,$C2381,$D$4:$D$8712)</f>
        <v>37</v>
      </c>
      <c r="L2381" s="50">
        <f>SUMIF($J$4:$J$8712,$C2381,$F$4:$F$8712)</f>
        <v>5916</v>
      </c>
      <c r="M2381" s="50">
        <f>SUMIF($J$4:$J$8712,$C2381,$G$4:$G$8712)</f>
        <v>1479</v>
      </c>
      <c r="N2381" s="70" t="str">
        <f>C2381</f>
        <v>XM18866</v>
      </c>
      <c r="O2381" s="70" t="str">
        <f>J2382</f>
        <v>NSHIP</v>
      </c>
      <c r="P2381" s="68">
        <f>M2381</f>
        <v>1479</v>
      </c>
    </row>
    <row r="2382">
      <c r="A2382" s="211"/>
      <c r="B2382" s="231"/>
      <c r="C2382" s="109"/>
      <c r="D2382" s="109"/>
      <c r="E2382" s="116"/>
      <c r="F2382" s="116"/>
      <c r="G2382" s="116"/>
      <c r="H2382" s="109"/>
      <c r="J2382" s="108" t="str">
        <f>IF(B2382="","NSHIP","SHIP")</f>
        <v>NSHIP</v>
      </c>
      <c r="K2382" s="99">
        <f>IF($J2382="NSHIP",0,-SUMIF($J$4:$J$8712,$C2381,$D$4:$D$8712))</f>
        <v>0</v>
      </c>
      <c r="L2382" s="50">
        <f>IF($J2382="NSHIP",0,-SUMIF($J$4:$J$8710,$C2381,$F$4:$F$8710))</f>
        <v>0</v>
      </c>
      <c r="M2382" s="50">
        <f>IF($J2382="NSHIP",0,-SUMIF($J$4:$J$8710,$C2381,$G$4:$G$8710))</f>
        <v>0</v>
      </c>
      <c r="P2382" s="68"/>
    </row>
    <row r="2383">
      <c r="A2383" s="95">
        <v>6.95159730337E11</v>
      </c>
      <c r="B2383" s="151" t="s">
        <v>2786</v>
      </c>
      <c r="C2383" s="95" t="s">
        <v>97</v>
      </c>
      <c r="D2383" s="95">
        <v>1.0</v>
      </c>
      <c r="E2383" s="101">
        <v>108.0</v>
      </c>
      <c r="F2383" s="101">
        <f t="shared" ref="F2383:F2402" si="406">E2383*D2383</f>
        <v>108</v>
      </c>
      <c r="G2383" s="101">
        <f t="shared" ref="G2383:G2402" si="407">F2383/4</f>
        <v>27</v>
      </c>
      <c r="H2383" s="95" t="s">
        <v>2787</v>
      </c>
      <c r="J2383" s="247" t="s">
        <v>2788</v>
      </c>
      <c r="K2383" s="89"/>
      <c r="L2383" s="90"/>
      <c r="M2383" s="90"/>
      <c r="P2383" s="68"/>
    </row>
    <row r="2384">
      <c r="A2384" s="95">
        <v>8.84002226718E11</v>
      </c>
      <c r="B2384" s="151" t="s">
        <v>2789</v>
      </c>
      <c r="C2384" s="95" t="s">
        <v>97</v>
      </c>
      <c r="D2384" s="95">
        <v>1.0</v>
      </c>
      <c r="E2384" s="101">
        <v>85.0</v>
      </c>
      <c r="F2384" s="101">
        <f t="shared" si="406"/>
        <v>85</v>
      </c>
      <c r="G2384" s="101">
        <f t="shared" si="407"/>
        <v>21.25</v>
      </c>
      <c r="H2384" s="95" t="s">
        <v>2790</v>
      </c>
      <c r="J2384" s="247" t="s">
        <v>2788</v>
      </c>
      <c r="K2384" s="89"/>
      <c r="L2384" s="90"/>
      <c r="M2384" s="90"/>
      <c r="P2384" s="68"/>
    </row>
    <row r="2385">
      <c r="A2385" s="95">
        <v>8.84002787059E11</v>
      </c>
      <c r="B2385" s="151" t="s">
        <v>2791</v>
      </c>
      <c r="C2385" s="95" t="s">
        <v>97</v>
      </c>
      <c r="D2385" s="95">
        <v>1.0</v>
      </c>
      <c r="E2385" s="101">
        <v>169.0</v>
      </c>
      <c r="F2385" s="101">
        <f t="shared" si="406"/>
        <v>169</v>
      </c>
      <c r="G2385" s="101">
        <f t="shared" si="407"/>
        <v>42.25</v>
      </c>
      <c r="H2385" s="95" t="s">
        <v>2792</v>
      </c>
      <c r="J2385" s="247" t="s">
        <v>2788</v>
      </c>
      <c r="K2385" s="89"/>
      <c r="L2385" s="90"/>
      <c r="M2385" s="90"/>
      <c r="P2385" s="68"/>
    </row>
    <row r="2386">
      <c r="A2386" s="95">
        <v>8.84002852955E11</v>
      </c>
      <c r="B2386" s="151" t="s">
        <v>2793</v>
      </c>
      <c r="C2386" s="95" t="s">
        <v>97</v>
      </c>
      <c r="D2386" s="95">
        <v>1.0</v>
      </c>
      <c r="E2386" s="101">
        <v>249.0</v>
      </c>
      <c r="F2386" s="101">
        <f t="shared" si="406"/>
        <v>249</v>
      </c>
      <c r="G2386" s="101">
        <f t="shared" si="407"/>
        <v>62.25</v>
      </c>
      <c r="H2386" s="95" t="s">
        <v>2794</v>
      </c>
      <c r="J2386" s="247" t="s">
        <v>2788</v>
      </c>
      <c r="K2386" s="89"/>
      <c r="L2386" s="90"/>
      <c r="M2386" s="90"/>
      <c r="P2386" s="68"/>
    </row>
    <row r="2387">
      <c r="A2387" s="95">
        <v>8.84002899004E11</v>
      </c>
      <c r="B2387" s="151" t="s">
        <v>2795</v>
      </c>
      <c r="C2387" s="95" t="s">
        <v>97</v>
      </c>
      <c r="D2387" s="95">
        <v>1.0</v>
      </c>
      <c r="E2387" s="101">
        <v>179.0</v>
      </c>
      <c r="F2387" s="101">
        <f t="shared" si="406"/>
        <v>179</v>
      </c>
      <c r="G2387" s="101">
        <f t="shared" si="407"/>
        <v>44.75</v>
      </c>
      <c r="H2387" s="95" t="s">
        <v>2792</v>
      </c>
      <c r="J2387" s="247" t="s">
        <v>2788</v>
      </c>
      <c r="K2387" s="89"/>
      <c r="L2387" s="90"/>
      <c r="M2387" s="90"/>
      <c r="P2387" s="68"/>
    </row>
    <row r="2388">
      <c r="A2388" s="95">
        <v>8.84002909611E11</v>
      </c>
      <c r="B2388" s="151" t="s">
        <v>2796</v>
      </c>
      <c r="C2388" s="95" t="s">
        <v>97</v>
      </c>
      <c r="D2388" s="95">
        <v>1.0</v>
      </c>
      <c r="E2388" s="101">
        <v>209.0</v>
      </c>
      <c r="F2388" s="101">
        <f t="shared" si="406"/>
        <v>209</v>
      </c>
      <c r="G2388" s="101">
        <f t="shared" si="407"/>
        <v>52.25</v>
      </c>
      <c r="H2388" s="95" t="s">
        <v>2792</v>
      </c>
      <c r="J2388" s="247" t="s">
        <v>2788</v>
      </c>
      <c r="K2388" s="89"/>
      <c r="L2388" s="90"/>
      <c r="M2388" s="90"/>
      <c r="P2388" s="68"/>
    </row>
    <row r="2389">
      <c r="A2389" s="95">
        <v>8.84002909765E11</v>
      </c>
      <c r="B2389" s="151" t="s">
        <v>2797</v>
      </c>
      <c r="C2389" s="95" t="s">
        <v>97</v>
      </c>
      <c r="D2389" s="95">
        <v>1.0</v>
      </c>
      <c r="E2389" s="101">
        <v>209.0</v>
      </c>
      <c r="F2389" s="101">
        <f t="shared" si="406"/>
        <v>209</v>
      </c>
      <c r="G2389" s="101">
        <f t="shared" si="407"/>
        <v>52.25</v>
      </c>
      <c r="H2389" s="95" t="s">
        <v>2792</v>
      </c>
      <c r="J2389" s="247" t="s">
        <v>2788</v>
      </c>
      <c r="K2389" s="89"/>
      <c r="L2389" s="90"/>
      <c r="M2389" s="90"/>
      <c r="P2389" s="68"/>
    </row>
    <row r="2390">
      <c r="A2390" s="95">
        <v>8.84002910464E11</v>
      </c>
      <c r="B2390" s="151" t="s">
        <v>2798</v>
      </c>
      <c r="C2390" s="95" t="s">
        <v>97</v>
      </c>
      <c r="D2390" s="95">
        <v>1.0</v>
      </c>
      <c r="E2390" s="101">
        <v>109.99</v>
      </c>
      <c r="F2390" s="101">
        <f t="shared" si="406"/>
        <v>109.99</v>
      </c>
      <c r="G2390" s="101">
        <f t="shared" si="407"/>
        <v>27.4975</v>
      </c>
      <c r="H2390" s="95" t="s">
        <v>2799</v>
      </c>
      <c r="J2390" s="247" t="s">
        <v>2788</v>
      </c>
      <c r="K2390" s="89"/>
      <c r="L2390" s="90"/>
      <c r="M2390" s="90"/>
      <c r="P2390" s="68"/>
    </row>
    <row r="2391">
      <c r="A2391" s="95">
        <v>8.84002916152E11</v>
      </c>
      <c r="B2391" s="151" t="s">
        <v>2800</v>
      </c>
      <c r="C2391" s="95" t="s">
        <v>97</v>
      </c>
      <c r="D2391" s="95">
        <v>1.0</v>
      </c>
      <c r="E2391" s="101">
        <v>129.0</v>
      </c>
      <c r="F2391" s="101">
        <f t="shared" si="406"/>
        <v>129</v>
      </c>
      <c r="G2391" s="101">
        <f t="shared" si="407"/>
        <v>32.25</v>
      </c>
      <c r="H2391" s="95" t="s">
        <v>2799</v>
      </c>
      <c r="J2391" s="247" t="s">
        <v>2788</v>
      </c>
      <c r="K2391" s="89"/>
      <c r="L2391" s="90"/>
      <c r="M2391" s="90"/>
      <c r="P2391" s="68"/>
    </row>
    <row r="2392">
      <c r="A2392" s="95">
        <v>8.84002917173E11</v>
      </c>
      <c r="B2392" s="151" t="s">
        <v>2801</v>
      </c>
      <c r="C2392" s="95" t="s">
        <v>97</v>
      </c>
      <c r="D2392" s="95">
        <v>1.0</v>
      </c>
      <c r="E2392" s="101">
        <v>199.0</v>
      </c>
      <c r="F2392" s="101">
        <f t="shared" si="406"/>
        <v>199</v>
      </c>
      <c r="G2392" s="101">
        <f t="shared" si="407"/>
        <v>49.75</v>
      </c>
      <c r="H2392" s="95" t="s">
        <v>2792</v>
      </c>
      <c r="J2392" s="247" t="s">
        <v>2788</v>
      </c>
      <c r="K2392" s="89"/>
      <c r="L2392" s="90"/>
      <c r="M2392" s="90"/>
      <c r="P2392" s="68"/>
    </row>
    <row r="2393">
      <c r="A2393" s="95">
        <v>8.84002918019E11</v>
      </c>
      <c r="B2393" s="151" t="s">
        <v>2802</v>
      </c>
      <c r="C2393" s="95" t="s">
        <v>97</v>
      </c>
      <c r="D2393" s="95">
        <v>1.0</v>
      </c>
      <c r="E2393" s="101">
        <v>239.0</v>
      </c>
      <c r="F2393" s="101">
        <f t="shared" si="406"/>
        <v>239</v>
      </c>
      <c r="G2393" s="101">
        <f t="shared" si="407"/>
        <v>59.75</v>
      </c>
      <c r="H2393" s="95" t="s">
        <v>2790</v>
      </c>
      <c r="J2393" s="247" t="s">
        <v>2788</v>
      </c>
      <c r="K2393" s="89"/>
      <c r="L2393" s="90"/>
      <c r="M2393" s="90"/>
      <c r="P2393" s="68"/>
    </row>
    <row r="2394">
      <c r="A2394" s="95">
        <v>8.84002918071E11</v>
      </c>
      <c r="B2394" s="151" t="s">
        <v>2803</v>
      </c>
      <c r="C2394" s="95" t="s">
        <v>97</v>
      </c>
      <c r="D2394" s="95">
        <v>1.0</v>
      </c>
      <c r="E2394" s="101">
        <v>159.0</v>
      </c>
      <c r="F2394" s="101">
        <f t="shared" si="406"/>
        <v>159</v>
      </c>
      <c r="G2394" s="101">
        <f t="shared" si="407"/>
        <v>39.75</v>
      </c>
      <c r="H2394" s="95" t="s">
        <v>2794</v>
      </c>
      <c r="J2394" s="247" t="s">
        <v>2788</v>
      </c>
      <c r="K2394" s="89"/>
      <c r="L2394" s="90"/>
      <c r="M2394" s="90"/>
      <c r="P2394" s="68"/>
    </row>
    <row r="2395">
      <c r="A2395" s="95">
        <v>8.84002918866E11</v>
      </c>
      <c r="B2395" s="151" t="s">
        <v>2804</v>
      </c>
      <c r="C2395" s="95" t="s">
        <v>97</v>
      </c>
      <c r="D2395" s="95">
        <v>1.0</v>
      </c>
      <c r="E2395" s="101">
        <v>199.0</v>
      </c>
      <c r="F2395" s="101">
        <f t="shared" si="406"/>
        <v>199</v>
      </c>
      <c r="G2395" s="101">
        <f t="shared" si="407"/>
        <v>49.75</v>
      </c>
      <c r="H2395" s="95" t="s">
        <v>2792</v>
      </c>
      <c r="J2395" s="247" t="s">
        <v>2788</v>
      </c>
      <c r="K2395" s="89"/>
      <c r="L2395" s="90"/>
      <c r="M2395" s="90"/>
      <c r="P2395" s="68"/>
    </row>
    <row r="2396">
      <c r="A2396" s="95">
        <v>8.84002922122E11</v>
      </c>
      <c r="B2396" s="151" t="s">
        <v>2805</v>
      </c>
      <c r="C2396" s="95" t="s">
        <v>97</v>
      </c>
      <c r="D2396" s="95">
        <v>1.0</v>
      </c>
      <c r="E2396" s="101">
        <v>139.0</v>
      </c>
      <c r="F2396" s="101">
        <f t="shared" si="406"/>
        <v>139</v>
      </c>
      <c r="G2396" s="101">
        <f t="shared" si="407"/>
        <v>34.75</v>
      </c>
      <c r="H2396" s="95" t="s">
        <v>2790</v>
      </c>
      <c r="J2396" s="247" t="s">
        <v>2788</v>
      </c>
      <c r="K2396" s="89"/>
      <c r="L2396" s="90"/>
      <c r="M2396" s="90"/>
      <c r="P2396" s="68"/>
    </row>
    <row r="2397">
      <c r="A2397" s="95">
        <v>8.84002925666E11</v>
      </c>
      <c r="B2397" s="151" t="s">
        <v>2803</v>
      </c>
      <c r="C2397" s="95" t="s">
        <v>97</v>
      </c>
      <c r="D2397" s="95">
        <v>1.0</v>
      </c>
      <c r="E2397" s="101">
        <v>159.0</v>
      </c>
      <c r="F2397" s="101">
        <f t="shared" si="406"/>
        <v>159</v>
      </c>
      <c r="G2397" s="101">
        <f t="shared" si="407"/>
        <v>39.75</v>
      </c>
      <c r="H2397" s="95" t="s">
        <v>2794</v>
      </c>
      <c r="J2397" s="247" t="s">
        <v>2788</v>
      </c>
      <c r="K2397" s="89"/>
      <c r="L2397" s="90"/>
      <c r="M2397" s="90"/>
      <c r="P2397" s="68"/>
    </row>
    <row r="2398">
      <c r="A2398" s="95">
        <v>8.84002925673E11</v>
      </c>
      <c r="B2398" s="151" t="s">
        <v>2803</v>
      </c>
      <c r="C2398" s="95" t="s">
        <v>97</v>
      </c>
      <c r="D2398" s="95">
        <v>1.0</v>
      </c>
      <c r="E2398" s="101">
        <v>159.0</v>
      </c>
      <c r="F2398" s="101">
        <f t="shared" si="406"/>
        <v>159</v>
      </c>
      <c r="G2398" s="101">
        <f t="shared" si="407"/>
        <v>39.75</v>
      </c>
      <c r="H2398" s="95" t="s">
        <v>2790</v>
      </c>
      <c r="J2398" s="247" t="s">
        <v>2788</v>
      </c>
      <c r="K2398" s="89"/>
      <c r="L2398" s="90"/>
      <c r="M2398" s="90"/>
      <c r="P2398" s="68"/>
    </row>
    <row r="2399">
      <c r="A2399" s="95">
        <v>8.84002926069E11</v>
      </c>
      <c r="B2399" s="151" t="s">
        <v>2806</v>
      </c>
      <c r="C2399" s="95" t="s">
        <v>97</v>
      </c>
      <c r="D2399" s="95">
        <v>1.0</v>
      </c>
      <c r="E2399" s="101">
        <v>159.0</v>
      </c>
      <c r="F2399" s="101">
        <f t="shared" si="406"/>
        <v>159</v>
      </c>
      <c r="G2399" s="101">
        <f t="shared" si="407"/>
        <v>39.75</v>
      </c>
      <c r="H2399" s="95" t="s">
        <v>2792</v>
      </c>
      <c r="J2399" s="247" t="s">
        <v>2788</v>
      </c>
      <c r="K2399" s="89"/>
      <c r="L2399" s="90"/>
      <c r="M2399" s="90"/>
      <c r="P2399" s="68"/>
    </row>
    <row r="2400">
      <c r="A2400" s="95">
        <v>8.84002927394E11</v>
      </c>
      <c r="B2400" s="151" t="s">
        <v>2807</v>
      </c>
      <c r="C2400" s="95" t="s">
        <v>97</v>
      </c>
      <c r="D2400" s="95">
        <v>1.0</v>
      </c>
      <c r="E2400" s="101">
        <v>169.0</v>
      </c>
      <c r="F2400" s="101">
        <f t="shared" si="406"/>
        <v>169</v>
      </c>
      <c r="G2400" s="101">
        <f t="shared" si="407"/>
        <v>42.25</v>
      </c>
      <c r="H2400" s="95" t="s">
        <v>2792</v>
      </c>
      <c r="J2400" s="247" t="s">
        <v>2788</v>
      </c>
      <c r="K2400" s="89"/>
      <c r="L2400" s="90"/>
      <c r="M2400" s="90"/>
      <c r="P2400" s="68"/>
    </row>
    <row r="2401">
      <c r="A2401" s="95">
        <v>8.84002967819E11</v>
      </c>
      <c r="B2401" s="151" t="s">
        <v>2808</v>
      </c>
      <c r="C2401" s="95" t="s">
        <v>97</v>
      </c>
      <c r="D2401" s="95">
        <v>1.0</v>
      </c>
      <c r="E2401" s="101">
        <v>185.0</v>
      </c>
      <c r="F2401" s="101">
        <f t="shared" si="406"/>
        <v>185</v>
      </c>
      <c r="G2401" s="101">
        <f t="shared" si="407"/>
        <v>46.25</v>
      </c>
      <c r="H2401" s="95" t="s">
        <v>2792</v>
      </c>
      <c r="J2401" s="247" t="s">
        <v>2788</v>
      </c>
      <c r="K2401" s="89"/>
      <c r="L2401" s="90"/>
      <c r="M2401" s="90"/>
      <c r="P2401" s="68"/>
    </row>
    <row r="2402">
      <c r="A2402" s="95">
        <v>8.8400298751E11</v>
      </c>
      <c r="B2402" s="151" t="s">
        <v>2809</v>
      </c>
      <c r="C2402" s="95" t="s">
        <v>97</v>
      </c>
      <c r="D2402" s="95">
        <v>1.0</v>
      </c>
      <c r="E2402" s="101">
        <v>195.0</v>
      </c>
      <c r="F2402" s="101">
        <f t="shared" si="406"/>
        <v>195</v>
      </c>
      <c r="G2402" s="101">
        <f t="shared" si="407"/>
        <v>48.75</v>
      </c>
      <c r="H2402" s="95" t="s">
        <v>2792</v>
      </c>
      <c r="J2402" s="247" t="s">
        <v>2788</v>
      </c>
      <c r="K2402" s="89"/>
      <c r="L2402" s="90"/>
      <c r="M2402" s="90"/>
      <c r="P2402" s="68"/>
    </row>
    <row r="2403">
      <c r="A2403" s="211"/>
      <c r="B2403" s="231" t="s">
        <v>2810</v>
      </c>
      <c r="C2403" s="234" t="str">
        <f>MID($B2403,6,7)</f>
        <v>XM18867</v>
      </c>
      <c r="D2403" s="231"/>
      <c r="E2403" s="231"/>
      <c r="F2403" s="231"/>
      <c r="G2403" s="231"/>
      <c r="H2403" s="235">
        <v>44560.0</v>
      </c>
      <c r="J2403" s="108" t="str">
        <f>IF(LEFT(B2403,3)="Box","BOX","COUNT")</f>
        <v>BOX</v>
      </c>
      <c r="K2403" s="99">
        <f>SUMIF($J$4:$J$8712,$C2403,$D$4:$D$8712)</f>
        <v>20</v>
      </c>
      <c r="L2403" s="50">
        <f>SUMIF($J$4:$J$8712,$C2403,$F$4:$F$8712)</f>
        <v>3407.99</v>
      </c>
      <c r="M2403" s="50">
        <f>SUMIF($J$4:$J$8712,$C2403,$G$4:$G$8712)</f>
        <v>851.9975</v>
      </c>
      <c r="N2403" s="70" t="str">
        <f>C2403</f>
        <v>XM18867</v>
      </c>
      <c r="O2403" s="70" t="str">
        <f>J2404</f>
        <v>NSHIP</v>
      </c>
      <c r="P2403" s="68">
        <f>M2403</f>
        <v>851.9975</v>
      </c>
    </row>
    <row r="2404">
      <c r="A2404" s="211"/>
      <c r="B2404" s="231"/>
      <c r="C2404" s="109"/>
      <c r="D2404" s="109"/>
      <c r="E2404" s="116"/>
      <c r="F2404" s="116"/>
      <c r="G2404" s="116"/>
      <c r="H2404" s="109"/>
      <c r="J2404" s="108" t="str">
        <f>IF(B2404="","NSHIP","SHIP")</f>
        <v>NSHIP</v>
      </c>
      <c r="K2404" s="99">
        <f>IF($J2404="NSHIP",0,-SUMIF($J$4:$J$8712,$C2403,$D$4:$D$8712))</f>
        <v>0</v>
      </c>
      <c r="L2404" s="50">
        <f>IF($J2404="NSHIP",0,-SUMIF($J$4:$J$8710,$C2403,$F$4:$F$8710))</f>
        <v>0</v>
      </c>
      <c r="M2404" s="50">
        <f>IF($J2404="NSHIP",0,-SUMIF($J$4:$J$8710,$C2403,$G$4:$G$8710))</f>
        <v>0</v>
      </c>
      <c r="P2404" s="68"/>
    </row>
    <row r="2405">
      <c r="A2405" s="95">
        <v>6.52933063357E11</v>
      </c>
      <c r="B2405" s="151" t="s">
        <v>2811</v>
      </c>
      <c r="C2405" s="95" t="s">
        <v>97</v>
      </c>
      <c r="D2405" s="95">
        <v>1.0</v>
      </c>
      <c r="E2405" s="101">
        <v>229.0</v>
      </c>
      <c r="F2405" s="101">
        <f t="shared" ref="F2405:F2423" si="408">E2405*D2405</f>
        <v>229</v>
      </c>
      <c r="G2405" s="101">
        <f t="shared" ref="G2405:G2423" si="409">F2405/4</f>
        <v>57.25</v>
      </c>
      <c r="H2405" s="95" t="s">
        <v>2753</v>
      </c>
      <c r="J2405" s="247" t="s">
        <v>2812</v>
      </c>
      <c r="K2405" s="89"/>
      <c r="L2405" s="90"/>
      <c r="M2405" s="90"/>
      <c r="P2405" s="68"/>
    </row>
    <row r="2406">
      <c r="A2406" s="95">
        <v>6.52933063425E11</v>
      </c>
      <c r="B2406" s="151" t="s">
        <v>2813</v>
      </c>
      <c r="C2406" s="95" t="s">
        <v>97</v>
      </c>
      <c r="D2406" s="95">
        <v>1.0</v>
      </c>
      <c r="E2406" s="101">
        <v>229.0</v>
      </c>
      <c r="F2406" s="101">
        <f t="shared" si="408"/>
        <v>229</v>
      </c>
      <c r="G2406" s="101">
        <f t="shared" si="409"/>
        <v>57.25</v>
      </c>
      <c r="H2406" s="95" t="s">
        <v>2753</v>
      </c>
      <c r="J2406" s="247" t="s">
        <v>2812</v>
      </c>
      <c r="K2406" s="89"/>
      <c r="L2406" s="90"/>
      <c r="M2406" s="90"/>
      <c r="P2406" s="68"/>
    </row>
    <row r="2407">
      <c r="A2407" s="95">
        <v>6.52933201148E11</v>
      </c>
      <c r="B2407" s="151" t="s">
        <v>2814</v>
      </c>
      <c r="C2407" s="95" t="s">
        <v>97</v>
      </c>
      <c r="D2407" s="95">
        <v>1.0</v>
      </c>
      <c r="E2407" s="101">
        <v>199.0</v>
      </c>
      <c r="F2407" s="101">
        <f t="shared" si="408"/>
        <v>199</v>
      </c>
      <c r="G2407" s="101">
        <f t="shared" si="409"/>
        <v>49.75</v>
      </c>
      <c r="H2407" s="95" t="s">
        <v>2749</v>
      </c>
      <c r="J2407" s="247" t="s">
        <v>2812</v>
      </c>
      <c r="K2407" s="89"/>
      <c r="L2407" s="90"/>
      <c r="M2407" s="90"/>
      <c r="P2407" s="68"/>
    </row>
    <row r="2408">
      <c r="A2408" s="95">
        <v>6.52933284462E11</v>
      </c>
      <c r="B2408" s="151" t="s">
        <v>2756</v>
      </c>
      <c r="C2408" s="95" t="s">
        <v>97</v>
      </c>
      <c r="D2408" s="95">
        <v>1.0</v>
      </c>
      <c r="E2408" s="101">
        <v>239.0</v>
      </c>
      <c r="F2408" s="101">
        <f t="shared" si="408"/>
        <v>239</v>
      </c>
      <c r="G2408" s="101">
        <f t="shared" si="409"/>
        <v>59.75</v>
      </c>
      <c r="H2408" s="95" t="s">
        <v>2749</v>
      </c>
      <c r="J2408" s="247" t="s">
        <v>2812</v>
      </c>
      <c r="K2408" s="89"/>
      <c r="L2408" s="90"/>
      <c r="M2408" s="90"/>
      <c r="P2408" s="68"/>
    </row>
    <row r="2409">
      <c r="A2409" s="95">
        <v>6.52933338172E11</v>
      </c>
      <c r="B2409" s="151" t="s">
        <v>2815</v>
      </c>
      <c r="C2409" s="95" t="s">
        <v>97</v>
      </c>
      <c r="D2409" s="95">
        <v>1.0</v>
      </c>
      <c r="E2409" s="101">
        <v>159.0</v>
      </c>
      <c r="F2409" s="101">
        <f t="shared" si="408"/>
        <v>159</v>
      </c>
      <c r="G2409" s="101">
        <f t="shared" si="409"/>
        <v>39.75</v>
      </c>
      <c r="H2409" s="95" t="s">
        <v>2753</v>
      </c>
      <c r="J2409" s="247" t="s">
        <v>2812</v>
      </c>
      <c r="K2409" s="89"/>
      <c r="L2409" s="90"/>
      <c r="M2409" s="90"/>
      <c r="P2409" s="68"/>
    </row>
    <row r="2410">
      <c r="A2410" s="95">
        <v>6.52933420518E11</v>
      </c>
      <c r="B2410" s="151" t="s">
        <v>2816</v>
      </c>
      <c r="C2410" s="95" t="s">
        <v>97</v>
      </c>
      <c r="D2410" s="95">
        <v>1.0</v>
      </c>
      <c r="E2410" s="101">
        <v>239.0</v>
      </c>
      <c r="F2410" s="101">
        <f t="shared" si="408"/>
        <v>239</v>
      </c>
      <c r="G2410" s="101">
        <f t="shared" si="409"/>
        <v>59.75</v>
      </c>
      <c r="H2410" s="95" t="s">
        <v>2749</v>
      </c>
      <c r="J2410" s="247" t="s">
        <v>2812</v>
      </c>
      <c r="K2410" s="89"/>
      <c r="L2410" s="90"/>
      <c r="M2410" s="90"/>
      <c r="P2410" s="68"/>
    </row>
    <row r="2411">
      <c r="A2411" s="95">
        <v>6.5293343737E11</v>
      </c>
      <c r="B2411" s="151" t="s">
        <v>2817</v>
      </c>
      <c r="C2411" s="95" t="s">
        <v>97</v>
      </c>
      <c r="D2411" s="95">
        <v>1.0</v>
      </c>
      <c r="E2411" s="101">
        <v>229.0</v>
      </c>
      <c r="F2411" s="101">
        <f t="shared" si="408"/>
        <v>229</v>
      </c>
      <c r="G2411" s="101">
        <f t="shared" si="409"/>
        <v>57.25</v>
      </c>
      <c r="H2411" s="95" t="s">
        <v>2749</v>
      </c>
      <c r="J2411" s="247" t="s">
        <v>2812</v>
      </c>
      <c r="K2411" s="89"/>
      <c r="L2411" s="90"/>
      <c r="M2411" s="90"/>
      <c r="P2411" s="68"/>
    </row>
    <row r="2412">
      <c r="A2412" s="95">
        <v>6.5293343964E11</v>
      </c>
      <c r="B2412" s="151" t="s">
        <v>2818</v>
      </c>
      <c r="C2412" s="95" t="s">
        <v>97</v>
      </c>
      <c r="D2412" s="95">
        <v>1.0</v>
      </c>
      <c r="E2412" s="101">
        <v>209.0</v>
      </c>
      <c r="F2412" s="101">
        <f t="shared" si="408"/>
        <v>209</v>
      </c>
      <c r="G2412" s="101">
        <f t="shared" si="409"/>
        <v>52.25</v>
      </c>
      <c r="H2412" s="95" t="s">
        <v>2753</v>
      </c>
      <c r="J2412" s="247" t="s">
        <v>2812</v>
      </c>
      <c r="K2412" s="89"/>
      <c r="L2412" s="90"/>
      <c r="M2412" s="90"/>
      <c r="P2412" s="68"/>
    </row>
    <row r="2413">
      <c r="A2413" s="95">
        <v>6.52933563642E11</v>
      </c>
      <c r="B2413" s="151" t="s">
        <v>2819</v>
      </c>
      <c r="C2413" s="95" t="s">
        <v>97</v>
      </c>
      <c r="D2413" s="95">
        <v>1.0</v>
      </c>
      <c r="E2413" s="101">
        <v>179.0</v>
      </c>
      <c r="F2413" s="101">
        <f t="shared" si="408"/>
        <v>179</v>
      </c>
      <c r="G2413" s="101">
        <f t="shared" si="409"/>
        <v>44.75</v>
      </c>
      <c r="H2413" s="95" t="s">
        <v>2753</v>
      </c>
      <c r="J2413" s="247" t="s">
        <v>2812</v>
      </c>
      <c r="K2413" s="89"/>
      <c r="L2413" s="90"/>
      <c r="M2413" s="90"/>
      <c r="P2413" s="68"/>
    </row>
    <row r="2414">
      <c r="A2414" s="95">
        <v>6.52933563659E11</v>
      </c>
      <c r="B2414" s="151" t="s">
        <v>2820</v>
      </c>
      <c r="C2414" s="95" t="s">
        <v>97</v>
      </c>
      <c r="D2414" s="95">
        <v>1.0</v>
      </c>
      <c r="E2414" s="101">
        <v>179.0</v>
      </c>
      <c r="F2414" s="101">
        <f t="shared" si="408"/>
        <v>179</v>
      </c>
      <c r="G2414" s="101">
        <f t="shared" si="409"/>
        <v>44.75</v>
      </c>
      <c r="H2414" s="95" t="s">
        <v>2753</v>
      </c>
      <c r="J2414" s="247" t="s">
        <v>2812</v>
      </c>
      <c r="K2414" s="89"/>
      <c r="L2414" s="90"/>
      <c r="M2414" s="90"/>
      <c r="P2414" s="68"/>
    </row>
    <row r="2415">
      <c r="A2415" s="95">
        <v>6.52933563703E11</v>
      </c>
      <c r="B2415" s="151" t="s">
        <v>2821</v>
      </c>
      <c r="C2415" s="95" t="s">
        <v>97</v>
      </c>
      <c r="D2415" s="95">
        <v>1.0</v>
      </c>
      <c r="E2415" s="101">
        <v>179.0</v>
      </c>
      <c r="F2415" s="101">
        <f t="shared" si="408"/>
        <v>179</v>
      </c>
      <c r="G2415" s="101">
        <f t="shared" si="409"/>
        <v>44.75</v>
      </c>
      <c r="H2415" s="95" t="s">
        <v>2753</v>
      </c>
      <c r="J2415" s="247" t="s">
        <v>2812</v>
      </c>
      <c r="K2415" s="89"/>
      <c r="L2415" s="90"/>
      <c r="M2415" s="90"/>
      <c r="P2415" s="68"/>
    </row>
    <row r="2416">
      <c r="A2416" s="95">
        <v>6.52933586627E11</v>
      </c>
      <c r="B2416" s="151" t="s">
        <v>2822</v>
      </c>
      <c r="C2416" s="95" t="s">
        <v>97</v>
      </c>
      <c r="D2416" s="95">
        <v>1.0</v>
      </c>
      <c r="E2416" s="101">
        <v>129.0</v>
      </c>
      <c r="F2416" s="101">
        <f t="shared" si="408"/>
        <v>129</v>
      </c>
      <c r="G2416" s="101">
        <f t="shared" si="409"/>
        <v>32.25</v>
      </c>
      <c r="H2416" s="95" t="s">
        <v>2749</v>
      </c>
      <c r="J2416" s="247" t="s">
        <v>2812</v>
      </c>
      <c r="K2416" s="89"/>
      <c r="L2416" s="90"/>
      <c r="M2416" s="90"/>
      <c r="P2416" s="68"/>
    </row>
    <row r="2417">
      <c r="A2417" s="95">
        <v>6.52933586658E11</v>
      </c>
      <c r="B2417" s="151" t="s">
        <v>2823</v>
      </c>
      <c r="C2417" s="95" t="s">
        <v>97</v>
      </c>
      <c r="D2417" s="95">
        <v>1.0</v>
      </c>
      <c r="E2417" s="101">
        <v>129.0</v>
      </c>
      <c r="F2417" s="101">
        <f t="shared" si="408"/>
        <v>129</v>
      </c>
      <c r="G2417" s="101">
        <f t="shared" si="409"/>
        <v>32.25</v>
      </c>
      <c r="H2417" s="95" t="s">
        <v>2749</v>
      </c>
      <c r="J2417" s="247" t="s">
        <v>2812</v>
      </c>
      <c r="K2417" s="89"/>
      <c r="L2417" s="90"/>
      <c r="M2417" s="90"/>
      <c r="P2417" s="68"/>
    </row>
    <row r="2418">
      <c r="A2418" s="95">
        <v>6.52933603058E11</v>
      </c>
      <c r="B2418" s="151" t="s">
        <v>2770</v>
      </c>
      <c r="C2418" s="95" t="s">
        <v>97</v>
      </c>
      <c r="D2418" s="95">
        <v>1.0</v>
      </c>
      <c r="E2418" s="101">
        <v>159.0</v>
      </c>
      <c r="F2418" s="101">
        <f t="shared" si="408"/>
        <v>159</v>
      </c>
      <c r="G2418" s="101">
        <f t="shared" si="409"/>
        <v>39.75</v>
      </c>
      <c r="H2418" s="95" t="s">
        <v>2749</v>
      </c>
      <c r="J2418" s="247" t="s">
        <v>2812</v>
      </c>
      <c r="K2418" s="89"/>
      <c r="L2418" s="90"/>
      <c r="M2418" s="90"/>
      <c r="P2418" s="68"/>
    </row>
    <row r="2419">
      <c r="A2419" s="95">
        <v>6.5293361854E11</v>
      </c>
      <c r="B2419" s="151" t="s">
        <v>2824</v>
      </c>
      <c r="C2419" s="95" t="s">
        <v>97</v>
      </c>
      <c r="D2419" s="95">
        <v>1.0</v>
      </c>
      <c r="E2419" s="101">
        <v>219.0</v>
      </c>
      <c r="F2419" s="101">
        <f t="shared" si="408"/>
        <v>219</v>
      </c>
      <c r="G2419" s="101">
        <f t="shared" si="409"/>
        <v>54.75</v>
      </c>
      <c r="H2419" s="95" t="s">
        <v>2753</v>
      </c>
      <c r="J2419" s="247" t="s">
        <v>2812</v>
      </c>
      <c r="K2419" s="89"/>
      <c r="L2419" s="90"/>
      <c r="M2419" s="90"/>
      <c r="P2419" s="68"/>
    </row>
    <row r="2420">
      <c r="A2420" s="95">
        <v>6.5293377864E11</v>
      </c>
      <c r="B2420" s="151" t="s">
        <v>2825</v>
      </c>
      <c r="C2420" s="95" t="s">
        <v>97</v>
      </c>
      <c r="D2420" s="95">
        <v>1.0</v>
      </c>
      <c r="E2420" s="101">
        <v>249.0</v>
      </c>
      <c r="F2420" s="101">
        <f t="shared" si="408"/>
        <v>249</v>
      </c>
      <c r="G2420" s="101">
        <f t="shared" si="409"/>
        <v>62.25</v>
      </c>
      <c r="H2420" s="95" t="s">
        <v>2753</v>
      </c>
      <c r="J2420" s="247" t="s">
        <v>2812</v>
      </c>
      <c r="K2420" s="89"/>
      <c r="L2420" s="90"/>
      <c r="M2420" s="90"/>
      <c r="P2420" s="68"/>
    </row>
    <row r="2421">
      <c r="A2421" s="95">
        <v>6.52933951128E11</v>
      </c>
      <c r="B2421" s="151" t="s">
        <v>2826</v>
      </c>
      <c r="C2421" s="95" t="s">
        <v>97</v>
      </c>
      <c r="D2421" s="95">
        <v>1.0</v>
      </c>
      <c r="E2421" s="101">
        <v>199.0</v>
      </c>
      <c r="F2421" s="101">
        <f t="shared" si="408"/>
        <v>199</v>
      </c>
      <c r="G2421" s="101">
        <f t="shared" si="409"/>
        <v>49.75</v>
      </c>
      <c r="H2421" s="95" t="s">
        <v>2753</v>
      </c>
      <c r="J2421" s="247" t="s">
        <v>2812</v>
      </c>
      <c r="K2421" s="89"/>
      <c r="L2421" s="90"/>
      <c r="M2421" s="90"/>
      <c r="P2421" s="68"/>
    </row>
    <row r="2422">
      <c r="A2422" s="95">
        <v>7.97532570919E11</v>
      </c>
      <c r="B2422" s="151" t="s">
        <v>2783</v>
      </c>
      <c r="C2422" s="95" t="s">
        <v>97</v>
      </c>
      <c r="D2422" s="95">
        <v>1.0</v>
      </c>
      <c r="E2422" s="101">
        <v>69.0</v>
      </c>
      <c r="F2422" s="101">
        <f t="shared" si="408"/>
        <v>69</v>
      </c>
      <c r="G2422" s="101">
        <f t="shared" si="409"/>
        <v>17.25</v>
      </c>
      <c r="H2422" s="95" t="s">
        <v>2749</v>
      </c>
      <c r="J2422" s="247" t="s">
        <v>2812</v>
      </c>
      <c r="K2422" s="89"/>
      <c r="L2422" s="90"/>
      <c r="M2422" s="90"/>
      <c r="P2422" s="68"/>
    </row>
    <row r="2423">
      <c r="A2423" s="95">
        <v>7.97532570964E11</v>
      </c>
      <c r="B2423" s="151" t="s">
        <v>2784</v>
      </c>
      <c r="C2423" s="95" t="s">
        <v>97</v>
      </c>
      <c r="D2423" s="95">
        <v>1.0</v>
      </c>
      <c r="E2423" s="101">
        <v>69.0</v>
      </c>
      <c r="F2423" s="101">
        <f t="shared" si="408"/>
        <v>69</v>
      </c>
      <c r="G2423" s="101">
        <f t="shared" si="409"/>
        <v>17.25</v>
      </c>
      <c r="H2423" s="95" t="s">
        <v>2749</v>
      </c>
      <c r="J2423" s="247" t="s">
        <v>2812</v>
      </c>
      <c r="K2423" s="89"/>
      <c r="L2423" s="90"/>
      <c r="M2423" s="90"/>
      <c r="P2423" s="68"/>
    </row>
    <row r="2424">
      <c r="A2424" s="211"/>
      <c r="B2424" s="231" t="s">
        <v>2827</v>
      </c>
      <c r="C2424" s="234" t="str">
        <f>MID($B2424,6,7)</f>
        <v>XM18868</v>
      </c>
      <c r="D2424" s="231"/>
      <c r="E2424" s="231"/>
      <c r="F2424" s="231"/>
      <c r="G2424" s="231"/>
      <c r="H2424" s="235">
        <v>44560.0</v>
      </c>
      <c r="J2424" s="108" t="str">
        <f>IF(LEFT(B2424,3)="Box","BOX","COUNT")</f>
        <v>BOX</v>
      </c>
      <c r="K2424" s="99">
        <f>SUMIF($J$4:$J$8712,$C2424,$D$4:$D$8712)</f>
        <v>19</v>
      </c>
      <c r="L2424" s="50">
        <f>SUMIF($J$4:$J$8712,$C2424,$F$4:$F$8712)</f>
        <v>3491</v>
      </c>
      <c r="M2424" s="50">
        <f>SUMIF($J$4:$J$8712,$C2424,$G$4:$G$8712)</f>
        <v>872.75</v>
      </c>
      <c r="N2424" s="70" t="str">
        <f>C2424</f>
        <v>XM18868</v>
      </c>
      <c r="O2424" s="70" t="str">
        <f>J2425</f>
        <v>NSHIP</v>
      </c>
      <c r="P2424" s="68">
        <f>M2424</f>
        <v>872.75</v>
      </c>
    </row>
    <row r="2425">
      <c r="A2425" s="211"/>
      <c r="B2425" s="231"/>
      <c r="C2425" s="109"/>
      <c r="D2425" s="109"/>
      <c r="E2425" s="116"/>
      <c r="F2425" s="116"/>
      <c r="G2425" s="116"/>
      <c r="H2425" s="109"/>
      <c r="J2425" s="108" t="str">
        <f>IF(B2425="","NSHIP","SHIP")</f>
        <v>NSHIP</v>
      </c>
      <c r="K2425" s="99">
        <f>IF($J2425="NSHIP",0,-SUMIF($J$4:$J$8712,$C2424,$D$4:$D$8712))</f>
        <v>0</v>
      </c>
      <c r="L2425" s="50">
        <f>IF($J2425="NSHIP",0,-SUMIF($J$4:$J$8710,$C2424,$F$4:$F$8710))</f>
        <v>0</v>
      </c>
      <c r="M2425" s="50">
        <f>IF($J2425="NSHIP",0,-SUMIF($J$4:$J$8710,$C2424,$G$4:$G$8710))</f>
        <v>0</v>
      </c>
      <c r="P2425" s="68"/>
    </row>
    <row r="2426">
      <c r="A2426" s="95">
        <v>1.92541907471E11</v>
      </c>
      <c r="B2426" s="151" t="s">
        <v>2828</v>
      </c>
      <c r="C2426" s="95" t="s">
        <v>97</v>
      </c>
      <c r="D2426" s="95">
        <v>1.0</v>
      </c>
      <c r="E2426" s="101">
        <v>89.0</v>
      </c>
      <c r="F2426" s="101">
        <f t="shared" ref="F2426:F2454" si="410">E2426*D2426</f>
        <v>89</v>
      </c>
      <c r="G2426" s="101">
        <f t="shared" ref="G2426:G2454" si="411">F2426/4</f>
        <v>22.25</v>
      </c>
      <c r="H2426" s="95" t="s">
        <v>2829</v>
      </c>
      <c r="J2426" s="247" t="s">
        <v>2830</v>
      </c>
      <c r="K2426" s="89"/>
      <c r="L2426" s="90"/>
      <c r="M2426" s="90"/>
      <c r="P2426" s="68"/>
    </row>
    <row r="2427">
      <c r="A2427" s="95">
        <v>1.92541984816E11</v>
      </c>
      <c r="B2427" s="151" t="s">
        <v>2831</v>
      </c>
      <c r="C2427" s="95" t="s">
        <v>97</v>
      </c>
      <c r="D2427" s="95">
        <v>1.0</v>
      </c>
      <c r="E2427" s="101">
        <v>33.98</v>
      </c>
      <c r="F2427" s="101">
        <f t="shared" si="410"/>
        <v>33.98</v>
      </c>
      <c r="G2427" s="101">
        <f t="shared" si="411"/>
        <v>8.495</v>
      </c>
      <c r="H2427" s="95" t="s">
        <v>2832</v>
      </c>
      <c r="J2427" s="247" t="s">
        <v>2830</v>
      </c>
      <c r="K2427" s="89"/>
      <c r="L2427" s="90"/>
      <c r="M2427" s="90"/>
      <c r="P2427" s="68"/>
    </row>
    <row r="2428">
      <c r="A2428" s="95">
        <v>1.93327269721E11</v>
      </c>
      <c r="B2428" s="151" t="s">
        <v>2833</v>
      </c>
      <c r="C2428" s="95" t="s">
        <v>97</v>
      </c>
      <c r="D2428" s="95">
        <v>1.0</v>
      </c>
      <c r="E2428" s="101">
        <v>108.0</v>
      </c>
      <c r="F2428" s="101">
        <f t="shared" si="410"/>
        <v>108</v>
      </c>
      <c r="G2428" s="101">
        <f t="shared" si="411"/>
        <v>27</v>
      </c>
      <c r="H2428" s="95" t="s">
        <v>2829</v>
      </c>
      <c r="J2428" s="247" t="s">
        <v>2830</v>
      </c>
      <c r="K2428" s="89"/>
      <c r="L2428" s="90"/>
      <c r="M2428" s="90"/>
      <c r="P2428" s="68"/>
    </row>
    <row r="2429">
      <c r="A2429" s="95">
        <v>1.9332739357E11</v>
      </c>
      <c r="B2429" s="151" t="s">
        <v>2834</v>
      </c>
      <c r="C2429" s="95" t="s">
        <v>97</v>
      </c>
      <c r="D2429" s="95">
        <v>1.0</v>
      </c>
      <c r="E2429" s="101">
        <v>98.0</v>
      </c>
      <c r="F2429" s="101">
        <f t="shared" si="410"/>
        <v>98</v>
      </c>
      <c r="G2429" s="101">
        <f t="shared" si="411"/>
        <v>24.5</v>
      </c>
      <c r="H2429" s="95" t="s">
        <v>2829</v>
      </c>
      <c r="J2429" s="247" t="s">
        <v>2830</v>
      </c>
      <c r="K2429" s="89"/>
      <c r="L2429" s="90"/>
      <c r="M2429" s="90"/>
      <c r="P2429" s="68"/>
    </row>
    <row r="2430">
      <c r="A2430" s="95">
        <v>1.93327468896E11</v>
      </c>
      <c r="B2430" s="151" t="s">
        <v>2835</v>
      </c>
      <c r="C2430" s="95" t="s">
        <v>97</v>
      </c>
      <c r="D2430" s="95">
        <v>1.0</v>
      </c>
      <c r="E2430" s="101">
        <v>98.0</v>
      </c>
      <c r="F2430" s="101">
        <f t="shared" si="410"/>
        <v>98</v>
      </c>
      <c r="G2430" s="101">
        <f t="shared" si="411"/>
        <v>24.5</v>
      </c>
      <c r="H2430" s="95" t="s">
        <v>2836</v>
      </c>
      <c r="J2430" s="247" t="s">
        <v>2830</v>
      </c>
      <c r="K2430" s="89"/>
      <c r="L2430" s="90"/>
      <c r="M2430" s="90"/>
      <c r="P2430" s="68"/>
    </row>
    <row r="2431">
      <c r="A2431" s="95">
        <v>1.9332747095E11</v>
      </c>
      <c r="B2431" s="151" t="s">
        <v>2837</v>
      </c>
      <c r="C2431" s="95" t="s">
        <v>97</v>
      </c>
      <c r="D2431" s="95">
        <v>2.0</v>
      </c>
      <c r="E2431" s="101">
        <v>69.0</v>
      </c>
      <c r="F2431" s="101">
        <f t="shared" si="410"/>
        <v>138</v>
      </c>
      <c r="G2431" s="101">
        <f t="shared" si="411"/>
        <v>34.5</v>
      </c>
      <c r="H2431" s="95" t="s">
        <v>2829</v>
      </c>
      <c r="J2431" s="247" t="s">
        <v>2830</v>
      </c>
      <c r="K2431" s="89"/>
      <c r="L2431" s="90"/>
      <c r="M2431" s="90"/>
      <c r="P2431" s="68"/>
    </row>
    <row r="2432">
      <c r="A2432" s="95">
        <v>1.93327471032E11</v>
      </c>
      <c r="B2432" s="151" t="s">
        <v>2838</v>
      </c>
      <c r="C2432" s="95" t="s">
        <v>97</v>
      </c>
      <c r="D2432" s="95">
        <v>1.0</v>
      </c>
      <c r="E2432" s="101">
        <v>69.0</v>
      </c>
      <c r="F2432" s="101">
        <f t="shared" si="410"/>
        <v>69</v>
      </c>
      <c r="G2432" s="101">
        <f t="shared" si="411"/>
        <v>17.25</v>
      </c>
      <c r="H2432" s="95" t="s">
        <v>2829</v>
      </c>
      <c r="J2432" s="247" t="s">
        <v>2830</v>
      </c>
      <c r="K2432" s="89"/>
      <c r="L2432" s="90"/>
      <c r="M2432" s="90"/>
      <c r="P2432" s="68"/>
    </row>
    <row r="2433">
      <c r="A2433" s="95">
        <v>1.93327471056E11</v>
      </c>
      <c r="B2433" s="151" t="s">
        <v>2839</v>
      </c>
      <c r="C2433" s="95" t="s">
        <v>97</v>
      </c>
      <c r="D2433" s="95">
        <v>1.0</v>
      </c>
      <c r="E2433" s="101">
        <v>69.0</v>
      </c>
      <c r="F2433" s="101">
        <f t="shared" si="410"/>
        <v>69</v>
      </c>
      <c r="G2433" s="101">
        <f t="shared" si="411"/>
        <v>17.25</v>
      </c>
      <c r="H2433" s="95" t="s">
        <v>2829</v>
      </c>
      <c r="J2433" s="247" t="s">
        <v>2830</v>
      </c>
      <c r="K2433" s="89"/>
      <c r="L2433" s="90"/>
      <c r="M2433" s="90"/>
      <c r="P2433" s="68"/>
    </row>
    <row r="2434">
      <c r="A2434" s="95">
        <v>1.93327471063E11</v>
      </c>
      <c r="B2434" s="151" t="s">
        <v>2840</v>
      </c>
      <c r="C2434" s="95" t="s">
        <v>97</v>
      </c>
      <c r="D2434" s="95">
        <v>1.0</v>
      </c>
      <c r="E2434" s="101">
        <v>69.0</v>
      </c>
      <c r="F2434" s="101">
        <f t="shared" si="410"/>
        <v>69</v>
      </c>
      <c r="G2434" s="101">
        <f t="shared" si="411"/>
        <v>17.25</v>
      </c>
      <c r="H2434" s="95" t="s">
        <v>2829</v>
      </c>
      <c r="J2434" s="247" t="s">
        <v>2830</v>
      </c>
      <c r="K2434" s="89"/>
      <c r="L2434" s="90"/>
      <c r="M2434" s="90"/>
      <c r="P2434" s="68"/>
    </row>
    <row r="2435">
      <c r="A2435" s="95">
        <v>1.93327519307E11</v>
      </c>
      <c r="B2435" s="151" t="s">
        <v>2841</v>
      </c>
      <c r="C2435" s="95" t="s">
        <v>97</v>
      </c>
      <c r="D2435" s="95">
        <v>1.0</v>
      </c>
      <c r="E2435" s="101">
        <v>108.0</v>
      </c>
      <c r="F2435" s="101">
        <f t="shared" si="410"/>
        <v>108</v>
      </c>
      <c r="G2435" s="101">
        <f t="shared" si="411"/>
        <v>27</v>
      </c>
      <c r="H2435" s="95" t="s">
        <v>2829</v>
      </c>
      <c r="J2435" s="247" t="s">
        <v>2830</v>
      </c>
      <c r="K2435" s="89"/>
      <c r="L2435" s="90"/>
      <c r="M2435" s="90"/>
      <c r="P2435" s="68"/>
    </row>
    <row r="2436">
      <c r="A2436" s="95">
        <v>1.93327680601E11</v>
      </c>
      <c r="B2436" s="151" t="s">
        <v>2842</v>
      </c>
      <c r="C2436" s="95" t="s">
        <v>97</v>
      </c>
      <c r="D2436" s="95">
        <v>1.0</v>
      </c>
      <c r="E2436" s="101">
        <v>69.0</v>
      </c>
      <c r="F2436" s="101">
        <f t="shared" si="410"/>
        <v>69</v>
      </c>
      <c r="G2436" s="101">
        <f t="shared" si="411"/>
        <v>17.25</v>
      </c>
      <c r="H2436" s="95" t="s">
        <v>2829</v>
      </c>
      <c r="J2436" s="247" t="s">
        <v>2830</v>
      </c>
      <c r="K2436" s="89"/>
      <c r="L2436" s="90"/>
      <c r="M2436" s="90"/>
      <c r="P2436" s="68"/>
    </row>
    <row r="2437">
      <c r="A2437" s="95">
        <v>1.93327680762E11</v>
      </c>
      <c r="B2437" s="151" t="s">
        <v>2843</v>
      </c>
      <c r="C2437" s="95" t="s">
        <v>97</v>
      </c>
      <c r="D2437" s="95">
        <v>1.0</v>
      </c>
      <c r="E2437" s="101">
        <v>79.0</v>
      </c>
      <c r="F2437" s="101">
        <f t="shared" si="410"/>
        <v>79</v>
      </c>
      <c r="G2437" s="101">
        <f t="shared" si="411"/>
        <v>19.75</v>
      </c>
      <c r="H2437" s="95" t="s">
        <v>2829</v>
      </c>
      <c r="J2437" s="247" t="s">
        <v>2830</v>
      </c>
      <c r="K2437" s="89"/>
      <c r="L2437" s="90"/>
      <c r="M2437" s="90"/>
      <c r="P2437" s="68"/>
    </row>
    <row r="2438">
      <c r="A2438" s="95">
        <v>1.93327719301E11</v>
      </c>
      <c r="B2438" s="151" t="s">
        <v>2844</v>
      </c>
      <c r="C2438" s="95" t="s">
        <v>97</v>
      </c>
      <c r="D2438" s="95">
        <v>1.0</v>
      </c>
      <c r="E2438" s="101">
        <v>128.0</v>
      </c>
      <c r="F2438" s="101">
        <f t="shared" si="410"/>
        <v>128</v>
      </c>
      <c r="G2438" s="101">
        <f t="shared" si="411"/>
        <v>32</v>
      </c>
      <c r="H2438" s="95" t="s">
        <v>2829</v>
      </c>
      <c r="J2438" s="247" t="s">
        <v>2830</v>
      </c>
      <c r="K2438" s="89"/>
      <c r="L2438" s="90"/>
      <c r="M2438" s="90"/>
      <c r="P2438" s="68"/>
    </row>
    <row r="2439">
      <c r="A2439" s="95">
        <v>1.93327728228E11</v>
      </c>
      <c r="B2439" s="151" t="s">
        <v>2845</v>
      </c>
      <c r="C2439" s="95" t="s">
        <v>97</v>
      </c>
      <c r="D2439" s="95">
        <v>1.0</v>
      </c>
      <c r="E2439" s="101">
        <v>39.0</v>
      </c>
      <c r="F2439" s="101">
        <f t="shared" si="410"/>
        <v>39</v>
      </c>
      <c r="G2439" s="101">
        <f t="shared" si="411"/>
        <v>9.75</v>
      </c>
      <c r="H2439" s="95" t="s">
        <v>2829</v>
      </c>
      <c r="J2439" s="247" t="s">
        <v>2830</v>
      </c>
      <c r="K2439" s="89"/>
      <c r="L2439" s="90"/>
      <c r="M2439" s="90"/>
      <c r="P2439" s="68"/>
    </row>
    <row r="2440">
      <c r="A2440" s="95">
        <v>1.95124047663E11</v>
      </c>
      <c r="B2440" s="151" t="s">
        <v>2846</v>
      </c>
      <c r="C2440" s="95" t="s">
        <v>97</v>
      </c>
      <c r="D2440" s="95">
        <v>1.0</v>
      </c>
      <c r="E2440" s="101">
        <v>108.0</v>
      </c>
      <c r="F2440" s="101">
        <f t="shared" si="410"/>
        <v>108</v>
      </c>
      <c r="G2440" s="101">
        <f t="shared" si="411"/>
        <v>27</v>
      </c>
      <c r="H2440" s="95" t="s">
        <v>2829</v>
      </c>
      <c r="J2440" s="247" t="s">
        <v>2830</v>
      </c>
      <c r="K2440" s="89"/>
      <c r="L2440" s="90"/>
      <c r="M2440" s="90"/>
      <c r="P2440" s="68"/>
    </row>
    <row r="2441">
      <c r="A2441" s="95">
        <v>1.95124053763E11</v>
      </c>
      <c r="B2441" s="151" t="s">
        <v>2847</v>
      </c>
      <c r="C2441" s="95" t="s">
        <v>97</v>
      </c>
      <c r="D2441" s="95">
        <v>1.0</v>
      </c>
      <c r="E2441" s="101">
        <v>69.0</v>
      </c>
      <c r="F2441" s="101">
        <f t="shared" si="410"/>
        <v>69</v>
      </c>
      <c r="G2441" s="101">
        <f t="shared" si="411"/>
        <v>17.25</v>
      </c>
      <c r="H2441" s="95" t="s">
        <v>2829</v>
      </c>
      <c r="J2441" s="247" t="s">
        <v>2830</v>
      </c>
      <c r="K2441" s="89"/>
      <c r="L2441" s="90"/>
      <c r="M2441" s="90"/>
      <c r="P2441" s="68"/>
    </row>
    <row r="2442">
      <c r="A2442" s="95">
        <v>1.95124054364E11</v>
      </c>
      <c r="B2442" s="151" t="s">
        <v>2848</v>
      </c>
      <c r="C2442" s="95" t="s">
        <v>97</v>
      </c>
      <c r="D2442" s="95">
        <v>1.0</v>
      </c>
      <c r="E2442" s="101">
        <v>79.0</v>
      </c>
      <c r="F2442" s="101">
        <f t="shared" si="410"/>
        <v>79</v>
      </c>
      <c r="G2442" s="101">
        <f t="shared" si="411"/>
        <v>19.75</v>
      </c>
      <c r="H2442" s="95" t="s">
        <v>2829</v>
      </c>
      <c r="J2442" s="247" t="s">
        <v>2830</v>
      </c>
      <c r="K2442" s="89"/>
      <c r="L2442" s="90"/>
      <c r="M2442" s="90"/>
      <c r="P2442" s="68"/>
    </row>
    <row r="2443">
      <c r="A2443" s="95">
        <v>8.88807431391E11</v>
      </c>
      <c r="B2443" s="151" t="s">
        <v>363</v>
      </c>
      <c r="C2443" s="95" t="s">
        <v>97</v>
      </c>
      <c r="D2443" s="95">
        <v>1.0</v>
      </c>
      <c r="E2443" s="101">
        <v>128.0</v>
      </c>
      <c r="F2443" s="101">
        <f t="shared" si="410"/>
        <v>128</v>
      </c>
      <c r="G2443" s="101">
        <f t="shared" si="411"/>
        <v>32</v>
      </c>
      <c r="H2443" s="95" t="s">
        <v>364</v>
      </c>
      <c r="J2443" s="247" t="s">
        <v>2830</v>
      </c>
      <c r="K2443" s="89"/>
      <c r="L2443" s="90"/>
      <c r="M2443" s="90"/>
      <c r="P2443" s="68"/>
    </row>
    <row r="2444">
      <c r="A2444" s="95">
        <v>8.88807467789E11</v>
      </c>
      <c r="B2444" s="151" t="s">
        <v>2849</v>
      </c>
      <c r="C2444" s="95" t="s">
        <v>97</v>
      </c>
      <c r="D2444" s="95">
        <v>1.0</v>
      </c>
      <c r="E2444" s="101">
        <v>128.0</v>
      </c>
      <c r="F2444" s="101">
        <f t="shared" si="410"/>
        <v>128</v>
      </c>
      <c r="G2444" s="101">
        <f t="shared" si="411"/>
        <v>32</v>
      </c>
      <c r="H2444" s="95" t="s">
        <v>364</v>
      </c>
      <c r="J2444" s="247" t="s">
        <v>2830</v>
      </c>
      <c r="K2444" s="89"/>
      <c r="L2444" s="90"/>
      <c r="M2444" s="90"/>
      <c r="P2444" s="68"/>
    </row>
    <row r="2445">
      <c r="A2445" s="95">
        <v>8.88807470345E11</v>
      </c>
      <c r="B2445" s="151" t="s">
        <v>2850</v>
      </c>
      <c r="C2445" s="95" t="s">
        <v>97</v>
      </c>
      <c r="D2445" s="95">
        <v>1.0</v>
      </c>
      <c r="E2445" s="101">
        <v>128.0</v>
      </c>
      <c r="F2445" s="101">
        <f t="shared" si="410"/>
        <v>128</v>
      </c>
      <c r="G2445" s="101">
        <f t="shared" si="411"/>
        <v>32</v>
      </c>
      <c r="H2445" s="95" t="s">
        <v>364</v>
      </c>
      <c r="J2445" s="247" t="s">
        <v>2830</v>
      </c>
      <c r="K2445" s="89"/>
      <c r="L2445" s="90"/>
      <c r="M2445" s="90"/>
      <c r="P2445" s="68"/>
    </row>
    <row r="2446">
      <c r="A2446" s="95">
        <v>8.88807472097E11</v>
      </c>
      <c r="B2446" s="151" t="s">
        <v>2851</v>
      </c>
      <c r="C2446" s="95" t="s">
        <v>97</v>
      </c>
      <c r="D2446" s="95">
        <v>1.0</v>
      </c>
      <c r="E2446" s="101">
        <v>218.0</v>
      </c>
      <c r="F2446" s="101">
        <f t="shared" si="410"/>
        <v>218</v>
      </c>
      <c r="G2446" s="101">
        <f t="shared" si="411"/>
        <v>54.5</v>
      </c>
      <c r="H2446" s="95" t="s">
        <v>2852</v>
      </c>
      <c r="J2446" s="247" t="s">
        <v>2830</v>
      </c>
      <c r="K2446" s="89"/>
      <c r="L2446" s="90"/>
      <c r="M2446" s="90"/>
      <c r="P2446" s="68"/>
    </row>
    <row r="2447">
      <c r="A2447" s="95">
        <v>8.88807474848E11</v>
      </c>
      <c r="B2447" s="151" t="s">
        <v>2853</v>
      </c>
      <c r="C2447" s="95" t="s">
        <v>97</v>
      </c>
      <c r="D2447" s="95">
        <v>1.0</v>
      </c>
      <c r="E2447" s="101">
        <v>118.0</v>
      </c>
      <c r="F2447" s="101">
        <f t="shared" si="410"/>
        <v>118</v>
      </c>
      <c r="G2447" s="101">
        <f t="shared" si="411"/>
        <v>29.5</v>
      </c>
      <c r="H2447" s="95" t="s">
        <v>364</v>
      </c>
      <c r="J2447" s="247" t="s">
        <v>2830</v>
      </c>
      <c r="K2447" s="89"/>
      <c r="L2447" s="90"/>
      <c r="M2447" s="90"/>
      <c r="P2447" s="68"/>
    </row>
    <row r="2448">
      <c r="A2448" s="95">
        <v>8.88807476149E11</v>
      </c>
      <c r="B2448" s="151" t="s">
        <v>2854</v>
      </c>
      <c r="C2448" s="95" t="s">
        <v>97</v>
      </c>
      <c r="D2448" s="95">
        <v>1.0</v>
      </c>
      <c r="E2448" s="101">
        <v>108.0</v>
      </c>
      <c r="F2448" s="101">
        <f t="shared" si="410"/>
        <v>108</v>
      </c>
      <c r="G2448" s="101">
        <f t="shared" si="411"/>
        <v>27</v>
      </c>
      <c r="H2448" s="95" t="s">
        <v>2832</v>
      </c>
      <c r="J2448" s="247" t="s">
        <v>2830</v>
      </c>
      <c r="K2448" s="89"/>
      <c r="L2448" s="90"/>
      <c r="M2448" s="90"/>
      <c r="P2448" s="68"/>
    </row>
    <row r="2449">
      <c r="A2449" s="95">
        <v>8.8880747617E11</v>
      </c>
      <c r="B2449" s="151" t="s">
        <v>2854</v>
      </c>
      <c r="C2449" s="95" t="s">
        <v>97</v>
      </c>
      <c r="D2449" s="95">
        <v>1.0</v>
      </c>
      <c r="E2449" s="101">
        <v>108.0</v>
      </c>
      <c r="F2449" s="101">
        <f t="shared" si="410"/>
        <v>108</v>
      </c>
      <c r="G2449" s="101">
        <f t="shared" si="411"/>
        <v>27</v>
      </c>
      <c r="H2449" s="95" t="s">
        <v>2832</v>
      </c>
      <c r="J2449" s="247" t="s">
        <v>2830</v>
      </c>
      <c r="K2449" s="89"/>
      <c r="L2449" s="90"/>
      <c r="M2449" s="90"/>
      <c r="P2449" s="68"/>
    </row>
    <row r="2450">
      <c r="A2450" s="95">
        <v>8.88807476187E11</v>
      </c>
      <c r="B2450" s="151" t="s">
        <v>2854</v>
      </c>
      <c r="C2450" s="95" t="s">
        <v>97</v>
      </c>
      <c r="D2450" s="95">
        <v>1.0</v>
      </c>
      <c r="E2450" s="101">
        <v>108.0</v>
      </c>
      <c r="F2450" s="101">
        <f t="shared" si="410"/>
        <v>108</v>
      </c>
      <c r="G2450" s="101">
        <f t="shared" si="411"/>
        <v>27</v>
      </c>
      <c r="H2450" s="95" t="s">
        <v>2832</v>
      </c>
      <c r="J2450" s="247" t="s">
        <v>2830</v>
      </c>
      <c r="K2450" s="89"/>
      <c r="L2450" s="90"/>
      <c r="M2450" s="90"/>
      <c r="P2450" s="68"/>
    </row>
    <row r="2451">
      <c r="A2451" s="95">
        <v>8.88807477412E11</v>
      </c>
      <c r="B2451" s="151" t="s">
        <v>2855</v>
      </c>
      <c r="C2451" s="95" t="s">
        <v>97</v>
      </c>
      <c r="D2451" s="95">
        <v>2.0</v>
      </c>
      <c r="E2451" s="101">
        <v>118.0</v>
      </c>
      <c r="F2451" s="101">
        <f t="shared" si="410"/>
        <v>236</v>
      </c>
      <c r="G2451" s="101">
        <f t="shared" si="411"/>
        <v>59</v>
      </c>
      <c r="H2451" s="95" t="s">
        <v>2832</v>
      </c>
      <c r="J2451" s="247" t="s">
        <v>2830</v>
      </c>
      <c r="K2451" s="89"/>
      <c r="L2451" s="90"/>
      <c r="M2451" s="90"/>
      <c r="P2451" s="68"/>
    </row>
    <row r="2452">
      <c r="A2452" s="95">
        <v>8.88807477467E11</v>
      </c>
      <c r="B2452" s="151" t="s">
        <v>2855</v>
      </c>
      <c r="C2452" s="95" t="s">
        <v>97</v>
      </c>
      <c r="D2452" s="95">
        <v>1.0</v>
      </c>
      <c r="E2452" s="101">
        <v>118.0</v>
      </c>
      <c r="F2452" s="101">
        <f t="shared" si="410"/>
        <v>118</v>
      </c>
      <c r="G2452" s="101">
        <f t="shared" si="411"/>
        <v>29.5</v>
      </c>
      <c r="H2452" s="95" t="s">
        <v>364</v>
      </c>
      <c r="J2452" s="247" t="s">
        <v>2830</v>
      </c>
      <c r="K2452" s="89"/>
      <c r="L2452" s="90"/>
      <c r="M2452" s="90"/>
      <c r="P2452" s="68"/>
    </row>
    <row r="2453">
      <c r="A2453" s="95">
        <v>8.888075714E11</v>
      </c>
      <c r="B2453" s="151" t="s">
        <v>365</v>
      </c>
      <c r="C2453" s="95" t="s">
        <v>97</v>
      </c>
      <c r="D2453" s="95">
        <v>1.0</v>
      </c>
      <c r="E2453" s="101">
        <v>118.0</v>
      </c>
      <c r="F2453" s="101">
        <f t="shared" si="410"/>
        <v>118</v>
      </c>
      <c r="G2453" s="101">
        <f t="shared" si="411"/>
        <v>29.5</v>
      </c>
      <c r="H2453" s="95" t="s">
        <v>364</v>
      </c>
      <c r="J2453" s="247" t="s">
        <v>2830</v>
      </c>
      <c r="K2453" s="89"/>
      <c r="L2453" s="90"/>
      <c r="M2453" s="90"/>
      <c r="P2453" s="68"/>
    </row>
    <row r="2454">
      <c r="A2454" s="95">
        <v>7.621097102687E12</v>
      </c>
      <c r="B2454" s="151" t="s">
        <v>2856</v>
      </c>
      <c r="C2454" s="95" t="s">
        <v>97</v>
      </c>
      <c r="D2454" s="95">
        <v>1.0</v>
      </c>
      <c r="E2454" s="101">
        <v>108.0</v>
      </c>
      <c r="F2454" s="101">
        <f t="shared" si="410"/>
        <v>108</v>
      </c>
      <c r="G2454" s="101">
        <f t="shared" si="411"/>
        <v>27</v>
      </c>
      <c r="H2454" s="95" t="s">
        <v>2829</v>
      </c>
      <c r="J2454" s="247" t="s">
        <v>2830</v>
      </c>
      <c r="K2454" s="89"/>
      <c r="L2454" s="90"/>
      <c r="M2454" s="90"/>
      <c r="P2454" s="68"/>
    </row>
    <row r="2455">
      <c r="A2455" s="211"/>
      <c r="B2455" s="231" t="s">
        <v>2857</v>
      </c>
      <c r="C2455" s="234" t="str">
        <f>MID($B2455,6,7)</f>
        <v>XM18869</v>
      </c>
      <c r="D2455" s="231"/>
      <c r="E2455" s="231"/>
      <c r="F2455" s="231"/>
      <c r="G2455" s="231"/>
      <c r="H2455" s="235">
        <v>44560.0</v>
      </c>
      <c r="J2455" s="108" t="str">
        <f>IF(LEFT(B2455,3)="Box","BOX","COUNT")</f>
        <v>BOX</v>
      </c>
      <c r="K2455" s="99">
        <f>SUMIF($J$4:$J$8712,$C2455,$D$4:$D$8712)</f>
        <v>31</v>
      </c>
      <c r="L2455" s="50">
        <f>SUMIF($J$4:$J$8712,$C2455,$F$4:$F$8712)</f>
        <v>3074.98</v>
      </c>
      <c r="M2455" s="50">
        <f>SUMIF($J$4:$J$8712,$C2455,$G$4:$G$8712)</f>
        <v>768.745</v>
      </c>
      <c r="N2455" s="70" t="str">
        <f>C2455</f>
        <v>XM18869</v>
      </c>
      <c r="O2455" s="70" t="str">
        <f>J2456</f>
        <v>NSHIP</v>
      </c>
      <c r="P2455" s="68">
        <f>M2455</f>
        <v>768.745</v>
      </c>
    </row>
    <row r="2456">
      <c r="A2456" s="211"/>
      <c r="B2456" s="231"/>
      <c r="C2456" s="109"/>
      <c r="D2456" s="109"/>
      <c r="E2456" s="116"/>
      <c r="F2456" s="116"/>
      <c r="G2456" s="116"/>
      <c r="H2456" s="109"/>
      <c r="J2456" s="108" t="str">
        <f>IF(B2456="","NSHIP","SHIP")</f>
        <v>NSHIP</v>
      </c>
      <c r="K2456" s="99">
        <f>IF($J2456="NSHIP",0,-SUMIF($J$4:$J$8712,$C2455,$D$4:$D$8712))</f>
        <v>0</v>
      </c>
      <c r="L2456" s="50">
        <f>IF($J2456="NSHIP",0,-SUMIF($J$4:$J$8710,$C2455,$F$4:$F$8710))</f>
        <v>0</v>
      </c>
      <c r="M2456" s="50">
        <f>IF($J2456="NSHIP",0,-SUMIF($J$4:$J$8710,$C2455,$G$4:$G$8710))</f>
        <v>0</v>
      </c>
      <c r="P2456" s="68"/>
    </row>
    <row r="2457">
      <c r="A2457" s="95">
        <v>8.89177360373E11</v>
      </c>
      <c r="B2457" s="151" t="s">
        <v>2858</v>
      </c>
      <c r="C2457" s="95" t="s">
        <v>97</v>
      </c>
      <c r="D2457" s="95">
        <v>1.0</v>
      </c>
      <c r="E2457" s="101">
        <v>109.0</v>
      </c>
      <c r="F2457" s="101">
        <f t="shared" ref="F2457:F2480" si="412">E2457*D2457</f>
        <v>109</v>
      </c>
      <c r="G2457" s="101">
        <f t="shared" ref="G2457:G2480" si="413">F2457/4</f>
        <v>27.25</v>
      </c>
      <c r="H2457" s="95" t="s">
        <v>2859</v>
      </c>
      <c r="J2457" s="247" t="s">
        <v>2860</v>
      </c>
      <c r="K2457" s="89"/>
      <c r="L2457" s="90"/>
      <c r="M2457" s="90"/>
      <c r="P2457" s="68"/>
    </row>
    <row r="2458">
      <c r="A2458" s="95">
        <v>8.89177441362E11</v>
      </c>
      <c r="B2458" s="151" t="s">
        <v>2861</v>
      </c>
      <c r="C2458" s="95" t="s">
        <v>97</v>
      </c>
      <c r="D2458" s="95">
        <v>1.0</v>
      </c>
      <c r="E2458" s="101">
        <v>89.0</v>
      </c>
      <c r="F2458" s="101">
        <f t="shared" si="412"/>
        <v>89</v>
      </c>
      <c r="G2458" s="101">
        <f t="shared" si="413"/>
        <v>22.25</v>
      </c>
      <c r="H2458" s="95" t="s">
        <v>2862</v>
      </c>
      <c r="J2458" s="247" t="s">
        <v>2860</v>
      </c>
      <c r="K2458" s="89"/>
      <c r="L2458" s="90"/>
      <c r="M2458" s="90"/>
      <c r="P2458" s="68"/>
    </row>
    <row r="2459">
      <c r="A2459" s="95">
        <v>8.8917747436E11</v>
      </c>
      <c r="B2459" s="151" t="s">
        <v>2863</v>
      </c>
      <c r="C2459" s="95" t="s">
        <v>97</v>
      </c>
      <c r="D2459" s="95">
        <v>1.0</v>
      </c>
      <c r="E2459" s="101">
        <v>169.0</v>
      </c>
      <c r="F2459" s="101">
        <f t="shared" si="412"/>
        <v>169</v>
      </c>
      <c r="G2459" s="101">
        <f t="shared" si="413"/>
        <v>42.25</v>
      </c>
      <c r="H2459" s="95" t="s">
        <v>2864</v>
      </c>
      <c r="J2459" s="247" t="s">
        <v>2860</v>
      </c>
      <c r="K2459" s="89"/>
      <c r="L2459" s="90"/>
      <c r="M2459" s="90"/>
      <c r="P2459" s="68"/>
    </row>
    <row r="2460">
      <c r="A2460" s="95">
        <v>8.89177480972E11</v>
      </c>
      <c r="B2460" s="151" t="s">
        <v>2865</v>
      </c>
      <c r="C2460" s="95" t="s">
        <v>97</v>
      </c>
      <c r="D2460" s="95">
        <v>1.0</v>
      </c>
      <c r="E2460" s="101">
        <v>109.0</v>
      </c>
      <c r="F2460" s="101">
        <f t="shared" si="412"/>
        <v>109</v>
      </c>
      <c r="G2460" s="101">
        <f t="shared" si="413"/>
        <v>27.25</v>
      </c>
      <c r="H2460" s="95" t="s">
        <v>2866</v>
      </c>
      <c r="J2460" s="247" t="s">
        <v>2860</v>
      </c>
      <c r="K2460" s="89"/>
      <c r="L2460" s="90"/>
      <c r="M2460" s="90"/>
      <c r="P2460" s="68"/>
    </row>
    <row r="2461">
      <c r="A2461" s="95">
        <v>8.89177486028E11</v>
      </c>
      <c r="B2461" s="151" t="s">
        <v>2867</v>
      </c>
      <c r="C2461" s="95" t="s">
        <v>97</v>
      </c>
      <c r="D2461" s="95">
        <v>1.0</v>
      </c>
      <c r="E2461" s="101">
        <v>79.0</v>
      </c>
      <c r="F2461" s="101">
        <f t="shared" si="412"/>
        <v>79</v>
      </c>
      <c r="G2461" s="101">
        <f t="shared" si="413"/>
        <v>19.75</v>
      </c>
      <c r="H2461" s="95" t="s">
        <v>2862</v>
      </c>
      <c r="J2461" s="247" t="s">
        <v>2860</v>
      </c>
      <c r="K2461" s="89"/>
      <c r="L2461" s="90"/>
      <c r="M2461" s="90"/>
      <c r="P2461" s="68"/>
    </row>
    <row r="2462">
      <c r="A2462" s="95">
        <v>8.89177503169E11</v>
      </c>
      <c r="B2462" s="151" t="s">
        <v>2868</v>
      </c>
      <c r="C2462" s="95" t="s">
        <v>97</v>
      </c>
      <c r="D2462" s="95">
        <v>1.0</v>
      </c>
      <c r="E2462" s="101">
        <v>119.0</v>
      </c>
      <c r="F2462" s="101">
        <f t="shared" si="412"/>
        <v>119</v>
      </c>
      <c r="G2462" s="101">
        <f t="shared" si="413"/>
        <v>29.75</v>
      </c>
      <c r="H2462" s="95" t="s">
        <v>2869</v>
      </c>
      <c r="J2462" s="247" t="s">
        <v>2860</v>
      </c>
      <c r="K2462" s="89"/>
      <c r="L2462" s="90"/>
      <c r="M2462" s="90"/>
      <c r="P2462" s="68"/>
    </row>
    <row r="2463">
      <c r="A2463" s="95">
        <v>8.89177505132E11</v>
      </c>
      <c r="B2463" s="151" t="s">
        <v>2870</v>
      </c>
      <c r="C2463" s="95" t="s">
        <v>97</v>
      </c>
      <c r="D2463" s="95">
        <v>1.0</v>
      </c>
      <c r="E2463" s="101">
        <v>159.0</v>
      </c>
      <c r="F2463" s="101">
        <f t="shared" si="412"/>
        <v>159</v>
      </c>
      <c r="G2463" s="101">
        <f t="shared" si="413"/>
        <v>39.75</v>
      </c>
      <c r="H2463" s="95" t="s">
        <v>2869</v>
      </c>
      <c r="J2463" s="247" t="s">
        <v>2860</v>
      </c>
      <c r="K2463" s="89"/>
      <c r="L2463" s="90"/>
      <c r="M2463" s="90"/>
      <c r="P2463" s="68"/>
    </row>
    <row r="2464">
      <c r="A2464" s="95">
        <v>8.89177511737E11</v>
      </c>
      <c r="B2464" s="151" t="s">
        <v>2871</v>
      </c>
      <c r="C2464" s="95" t="s">
        <v>97</v>
      </c>
      <c r="D2464" s="95">
        <v>1.0</v>
      </c>
      <c r="E2464" s="101">
        <v>139.0</v>
      </c>
      <c r="F2464" s="101">
        <f t="shared" si="412"/>
        <v>139</v>
      </c>
      <c r="G2464" s="101">
        <f t="shared" si="413"/>
        <v>34.75</v>
      </c>
      <c r="H2464" s="95" t="s">
        <v>2869</v>
      </c>
      <c r="J2464" s="247" t="s">
        <v>2860</v>
      </c>
      <c r="K2464" s="89"/>
      <c r="L2464" s="90"/>
      <c r="M2464" s="90"/>
      <c r="P2464" s="68"/>
    </row>
    <row r="2465">
      <c r="A2465" s="95">
        <v>8.89177519993E11</v>
      </c>
      <c r="B2465" s="151" t="s">
        <v>2872</v>
      </c>
      <c r="C2465" s="95" t="s">
        <v>97</v>
      </c>
      <c r="D2465" s="95">
        <v>1.0</v>
      </c>
      <c r="E2465" s="101">
        <v>119.0</v>
      </c>
      <c r="F2465" s="101">
        <f t="shared" si="412"/>
        <v>119</v>
      </c>
      <c r="G2465" s="101">
        <f t="shared" si="413"/>
        <v>29.75</v>
      </c>
      <c r="H2465" s="95" t="s">
        <v>2859</v>
      </c>
      <c r="J2465" s="247" t="s">
        <v>2860</v>
      </c>
      <c r="K2465" s="89"/>
      <c r="L2465" s="90"/>
      <c r="M2465" s="90"/>
      <c r="P2465" s="68"/>
    </row>
    <row r="2466">
      <c r="A2466" s="95">
        <v>8.89177525062E11</v>
      </c>
      <c r="B2466" s="151" t="s">
        <v>2873</v>
      </c>
      <c r="C2466" s="95" t="s">
        <v>97</v>
      </c>
      <c r="D2466" s="95">
        <v>1.0</v>
      </c>
      <c r="E2466" s="101">
        <v>119.0</v>
      </c>
      <c r="F2466" s="101">
        <f t="shared" si="412"/>
        <v>119</v>
      </c>
      <c r="G2466" s="101">
        <f t="shared" si="413"/>
        <v>29.75</v>
      </c>
      <c r="H2466" s="95" t="s">
        <v>2864</v>
      </c>
      <c r="J2466" s="247" t="s">
        <v>2860</v>
      </c>
      <c r="K2466" s="89"/>
      <c r="L2466" s="90"/>
      <c r="M2466" s="90"/>
      <c r="P2466" s="68"/>
    </row>
    <row r="2467">
      <c r="A2467" s="95">
        <v>8.89177530622E11</v>
      </c>
      <c r="B2467" s="151" t="s">
        <v>2874</v>
      </c>
      <c r="C2467" s="95" t="s">
        <v>97</v>
      </c>
      <c r="D2467" s="95">
        <v>1.0</v>
      </c>
      <c r="E2467" s="101">
        <v>79.0</v>
      </c>
      <c r="F2467" s="101">
        <f t="shared" si="412"/>
        <v>79</v>
      </c>
      <c r="G2467" s="101">
        <f t="shared" si="413"/>
        <v>19.75</v>
      </c>
      <c r="H2467" s="95" t="s">
        <v>2862</v>
      </c>
      <c r="J2467" s="247" t="s">
        <v>2860</v>
      </c>
      <c r="K2467" s="89"/>
      <c r="L2467" s="90"/>
      <c r="M2467" s="90"/>
      <c r="P2467" s="68"/>
    </row>
    <row r="2468">
      <c r="A2468" s="95">
        <v>8.89177530653E11</v>
      </c>
      <c r="B2468" s="151" t="s">
        <v>2874</v>
      </c>
      <c r="C2468" s="95" t="s">
        <v>97</v>
      </c>
      <c r="D2468" s="95">
        <v>1.0</v>
      </c>
      <c r="E2468" s="101">
        <v>79.0</v>
      </c>
      <c r="F2468" s="101">
        <f t="shared" si="412"/>
        <v>79</v>
      </c>
      <c r="G2468" s="101">
        <f t="shared" si="413"/>
        <v>19.75</v>
      </c>
      <c r="H2468" s="95" t="s">
        <v>2862</v>
      </c>
      <c r="J2468" s="247" t="s">
        <v>2860</v>
      </c>
      <c r="K2468" s="89"/>
      <c r="L2468" s="90"/>
      <c r="M2468" s="90"/>
      <c r="P2468" s="68"/>
    </row>
    <row r="2469">
      <c r="A2469" s="95">
        <v>8.89177531346E11</v>
      </c>
      <c r="B2469" s="151" t="s">
        <v>2875</v>
      </c>
      <c r="C2469" s="95" t="s">
        <v>97</v>
      </c>
      <c r="D2469" s="95">
        <v>1.0</v>
      </c>
      <c r="E2469" s="101">
        <v>99.0</v>
      </c>
      <c r="F2469" s="101">
        <f t="shared" si="412"/>
        <v>99</v>
      </c>
      <c r="G2469" s="101">
        <f t="shared" si="413"/>
        <v>24.75</v>
      </c>
      <c r="H2469" s="95" t="s">
        <v>2862</v>
      </c>
      <c r="J2469" s="247" t="s">
        <v>2860</v>
      </c>
      <c r="K2469" s="89"/>
      <c r="L2469" s="90"/>
      <c r="M2469" s="90"/>
      <c r="P2469" s="68"/>
    </row>
    <row r="2470">
      <c r="A2470" s="95">
        <v>8.89177535115E11</v>
      </c>
      <c r="B2470" s="151" t="s">
        <v>2876</v>
      </c>
      <c r="C2470" s="95" t="s">
        <v>97</v>
      </c>
      <c r="D2470" s="95">
        <v>1.0</v>
      </c>
      <c r="E2470" s="101">
        <v>139.0</v>
      </c>
      <c r="F2470" s="101">
        <f t="shared" si="412"/>
        <v>139</v>
      </c>
      <c r="G2470" s="101">
        <f t="shared" si="413"/>
        <v>34.75</v>
      </c>
      <c r="H2470" s="95" t="s">
        <v>2864</v>
      </c>
      <c r="J2470" s="247" t="s">
        <v>2860</v>
      </c>
      <c r="K2470" s="89"/>
      <c r="L2470" s="90"/>
      <c r="M2470" s="90"/>
      <c r="P2470" s="68"/>
    </row>
    <row r="2471">
      <c r="A2471" s="95">
        <v>8.89177536426E11</v>
      </c>
      <c r="B2471" s="151" t="s">
        <v>2877</v>
      </c>
      <c r="C2471" s="95" t="s">
        <v>97</v>
      </c>
      <c r="D2471" s="95">
        <v>1.0</v>
      </c>
      <c r="E2471" s="101">
        <v>89.0</v>
      </c>
      <c r="F2471" s="101">
        <f t="shared" si="412"/>
        <v>89</v>
      </c>
      <c r="G2471" s="101">
        <f t="shared" si="413"/>
        <v>22.25</v>
      </c>
      <c r="H2471" s="95" t="s">
        <v>2862</v>
      </c>
      <c r="J2471" s="247" t="s">
        <v>2860</v>
      </c>
      <c r="K2471" s="89"/>
      <c r="L2471" s="90"/>
      <c r="M2471" s="90"/>
      <c r="P2471" s="68"/>
    </row>
    <row r="2472">
      <c r="A2472" s="95">
        <v>8.89177537614E11</v>
      </c>
      <c r="B2472" s="151" t="s">
        <v>2878</v>
      </c>
      <c r="C2472" s="95" t="s">
        <v>97</v>
      </c>
      <c r="D2472" s="95">
        <v>1.0</v>
      </c>
      <c r="E2472" s="101">
        <v>159.0</v>
      </c>
      <c r="F2472" s="101">
        <f t="shared" si="412"/>
        <v>159</v>
      </c>
      <c r="G2472" s="101">
        <f t="shared" si="413"/>
        <v>39.75</v>
      </c>
      <c r="H2472" s="95" t="s">
        <v>2864</v>
      </c>
      <c r="J2472" s="247" t="s">
        <v>2860</v>
      </c>
      <c r="K2472" s="89"/>
      <c r="L2472" s="90"/>
      <c r="M2472" s="90"/>
      <c r="P2472" s="68"/>
    </row>
    <row r="2473">
      <c r="A2473" s="95">
        <v>8.89177537942E11</v>
      </c>
      <c r="B2473" s="151" t="s">
        <v>2879</v>
      </c>
      <c r="C2473" s="95" t="s">
        <v>97</v>
      </c>
      <c r="D2473" s="95">
        <v>1.0</v>
      </c>
      <c r="E2473" s="101">
        <v>139.0</v>
      </c>
      <c r="F2473" s="101">
        <f t="shared" si="412"/>
        <v>139</v>
      </c>
      <c r="G2473" s="101">
        <f t="shared" si="413"/>
        <v>34.75</v>
      </c>
      <c r="H2473" s="95" t="s">
        <v>2859</v>
      </c>
      <c r="J2473" s="247" t="s">
        <v>2860</v>
      </c>
      <c r="K2473" s="89"/>
      <c r="L2473" s="90"/>
      <c r="M2473" s="90"/>
      <c r="P2473" s="68"/>
    </row>
    <row r="2474">
      <c r="A2474" s="95">
        <v>8.89177540904E11</v>
      </c>
      <c r="B2474" s="151" t="s">
        <v>2880</v>
      </c>
      <c r="C2474" s="95" t="s">
        <v>97</v>
      </c>
      <c r="D2474" s="95">
        <v>1.0</v>
      </c>
      <c r="E2474" s="101">
        <v>89.0</v>
      </c>
      <c r="F2474" s="101">
        <f t="shared" si="412"/>
        <v>89</v>
      </c>
      <c r="G2474" s="101">
        <f t="shared" si="413"/>
        <v>22.25</v>
      </c>
      <c r="H2474" s="95" t="s">
        <v>2862</v>
      </c>
      <c r="J2474" s="247" t="s">
        <v>2860</v>
      </c>
      <c r="K2474" s="89"/>
      <c r="L2474" s="90"/>
      <c r="M2474" s="90"/>
      <c r="P2474" s="68"/>
    </row>
    <row r="2475">
      <c r="A2475" s="95">
        <v>8.89177543363E11</v>
      </c>
      <c r="B2475" s="151" t="s">
        <v>2881</v>
      </c>
      <c r="C2475" s="95" t="s">
        <v>97</v>
      </c>
      <c r="D2475" s="95">
        <v>1.0</v>
      </c>
      <c r="E2475" s="101">
        <v>139.0</v>
      </c>
      <c r="F2475" s="101">
        <f t="shared" si="412"/>
        <v>139</v>
      </c>
      <c r="G2475" s="101">
        <f t="shared" si="413"/>
        <v>34.75</v>
      </c>
      <c r="H2475" s="95" t="s">
        <v>2864</v>
      </c>
      <c r="J2475" s="247" t="s">
        <v>2860</v>
      </c>
      <c r="K2475" s="89"/>
      <c r="L2475" s="90"/>
      <c r="M2475" s="90"/>
      <c r="P2475" s="68"/>
    </row>
    <row r="2476">
      <c r="A2476" s="95">
        <v>8.89177545572E11</v>
      </c>
      <c r="B2476" s="151" t="s">
        <v>2882</v>
      </c>
      <c r="C2476" s="95" t="s">
        <v>97</v>
      </c>
      <c r="D2476" s="95">
        <v>1.0</v>
      </c>
      <c r="E2476" s="101">
        <v>89.0</v>
      </c>
      <c r="F2476" s="101">
        <f t="shared" si="412"/>
        <v>89</v>
      </c>
      <c r="G2476" s="101">
        <f t="shared" si="413"/>
        <v>22.25</v>
      </c>
      <c r="H2476" s="95" t="s">
        <v>2862</v>
      </c>
      <c r="J2476" s="247" t="s">
        <v>2860</v>
      </c>
      <c r="K2476" s="89"/>
      <c r="L2476" s="90"/>
      <c r="M2476" s="90"/>
      <c r="P2476" s="68"/>
    </row>
    <row r="2477">
      <c r="A2477" s="95">
        <v>8.89177545916E11</v>
      </c>
      <c r="B2477" s="151" t="s">
        <v>2883</v>
      </c>
      <c r="C2477" s="95" t="s">
        <v>97</v>
      </c>
      <c r="D2477" s="95">
        <v>1.0</v>
      </c>
      <c r="E2477" s="101">
        <v>59.0</v>
      </c>
      <c r="F2477" s="101">
        <f t="shared" si="412"/>
        <v>59</v>
      </c>
      <c r="G2477" s="101">
        <f t="shared" si="413"/>
        <v>14.75</v>
      </c>
      <c r="H2477" s="95" t="s">
        <v>2862</v>
      </c>
      <c r="J2477" s="247" t="s">
        <v>2860</v>
      </c>
      <c r="K2477" s="89"/>
      <c r="L2477" s="90"/>
      <c r="M2477" s="90"/>
      <c r="P2477" s="68"/>
    </row>
    <row r="2478">
      <c r="A2478" s="95">
        <v>8.89177545923E11</v>
      </c>
      <c r="B2478" s="151" t="s">
        <v>2883</v>
      </c>
      <c r="C2478" s="95" t="s">
        <v>97</v>
      </c>
      <c r="D2478" s="95">
        <v>1.0</v>
      </c>
      <c r="E2478" s="101">
        <v>59.0</v>
      </c>
      <c r="F2478" s="101">
        <f t="shared" si="412"/>
        <v>59</v>
      </c>
      <c r="G2478" s="101">
        <f t="shared" si="413"/>
        <v>14.75</v>
      </c>
      <c r="H2478" s="95" t="s">
        <v>2862</v>
      </c>
      <c r="J2478" s="247" t="s">
        <v>2860</v>
      </c>
      <c r="K2478" s="89"/>
      <c r="L2478" s="90"/>
      <c r="M2478" s="90"/>
      <c r="P2478" s="68"/>
    </row>
    <row r="2479">
      <c r="A2479" s="95">
        <v>8.89177571441E11</v>
      </c>
      <c r="B2479" s="151" t="s">
        <v>2884</v>
      </c>
      <c r="C2479" s="95" t="s">
        <v>97</v>
      </c>
      <c r="D2479" s="95">
        <v>1.0</v>
      </c>
      <c r="E2479" s="101">
        <v>139.0</v>
      </c>
      <c r="F2479" s="101">
        <f t="shared" si="412"/>
        <v>139</v>
      </c>
      <c r="G2479" s="101">
        <f t="shared" si="413"/>
        <v>34.75</v>
      </c>
      <c r="H2479" s="95" t="s">
        <v>2866</v>
      </c>
      <c r="J2479" s="247" t="s">
        <v>2860</v>
      </c>
      <c r="K2479" s="89"/>
      <c r="L2479" s="90"/>
      <c r="M2479" s="90"/>
      <c r="P2479" s="68"/>
    </row>
    <row r="2480">
      <c r="A2480" s="95">
        <v>8.89177571571E11</v>
      </c>
      <c r="B2480" s="151" t="s">
        <v>2885</v>
      </c>
      <c r="C2480" s="95" t="s">
        <v>97</v>
      </c>
      <c r="D2480" s="95">
        <v>1.0</v>
      </c>
      <c r="E2480" s="101">
        <v>129.0</v>
      </c>
      <c r="F2480" s="101">
        <f t="shared" si="412"/>
        <v>129</v>
      </c>
      <c r="G2480" s="101">
        <f t="shared" si="413"/>
        <v>32.25</v>
      </c>
      <c r="H2480" s="95" t="s">
        <v>2864</v>
      </c>
      <c r="J2480" s="247" t="s">
        <v>2860</v>
      </c>
      <c r="K2480" s="89"/>
      <c r="L2480" s="90"/>
      <c r="M2480" s="90"/>
      <c r="P2480" s="68"/>
    </row>
    <row r="2481">
      <c r="A2481" s="211"/>
      <c r="B2481" s="231" t="s">
        <v>2886</v>
      </c>
      <c r="C2481" s="234" t="str">
        <f>MID($B2481,6,7)</f>
        <v>XM18870</v>
      </c>
      <c r="D2481" s="231"/>
      <c r="E2481" s="231"/>
      <c r="F2481" s="231"/>
      <c r="G2481" s="231"/>
      <c r="H2481" s="235">
        <v>44560.0</v>
      </c>
      <c r="J2481" s="108" t="str">
        <f>IF(LEFT(B2481,3)="Box","BOX","COUNT")</f>
        <v>BOX</v>
      </c>
      <c r="K2481" s="99">
        <f>SUMIF($J$4:$J$8712,$C2481,$D$4:$D$8712)</f>
        <v>24</v>
      </c>
      <c r="L2481" s="50">
        <f>SUMIF($J$4:$J$8712,$C2481,$F$4:$F$8712)</f>
        <v>2696</v>
      </c>
      <c r="M2481" s="50">
        <f>SUMIF($J$4:$J$8712,$C2481,$G$4:$G$8712)</f>
        <v>674</v>
      </c>
      <c r="N2481" s="70" t="str">
        <f>C2481</f>
        <v>XM18870</v>
      </c>
      <c r="O2481" s="70" t="str">
        <f>J2482</f>
        <v>NSHIP</v>
      </c>
      <c r="P2481" s="68">
        <f>M2481</f>
        <v>674</v>
      </c>
    </row>
    <row r="2482">
      <c r="A2482" s="211"/>
      <c r="B2482" s="231"/>
      <c r="C2482" s="109"/>
      <c r="D2482" s="109"/>
      <c r="E2482" s="116"/>
      <c r="F2482" s="116"/>
      <c r="G2482" s="116"/>
      <c r="H2482" s="109"/>
      <c r="J2482" s="108" t="str">
        <f>IF(B2482="","NSHIP","SHIP")</f>
        <v>NSHIP</v>
      </c>
      <c r="K2482" s="99">
        <f>IF($J2482="NSHIP",0,-SUMIF($J$4:$J$8712,$C2481,$D$4:$D$8712))</f>
        <v>0</v>
      </c>
      <c r="L2482" s="50">
        <f>IF($J2482="NSHIP",0,-SUMIF($J$4:$J$8710,$C2481,$F$4:$F$8710))</f>
        <v>0</v>
      </c>
      <c r="M2482" s="50">
        <f>IF($J2482="NSHIP",0,-SUMIF($J$4:$J$8710,$C2481,$G$4:$G$8710))</f>
        <v>0</v>
      </c>
      <c r="P2482" s="68"/>
    </row>
    <row r="2483">
      <c r="A2483" s="95">
        <v>9.3487606322E10</v>
      </c>
      <c r="B2483" s="151" t="s">
        <v>2887</v>
      </c>
      <c r="C2483" s="95" t="s">
        <v>97</v>
      </c>
      <c r="D2483" s="95">
        <v>1.0</v>
      </c>
      <c r="E2483" s="101">
        <v>139.0</v>
      </c>
      <c r="F2483" s="101">
        <f t="shared" ref="F2483:F2511" si="414">E2483*D2483</f>
        <v>139</v>
      </c>
      <c r="G2483" s="101">
        <f t="shared" ref="G2483:G2511" si="415">F2483/4</f>
        <v>34.75</v>
      </c>
      <c r="H2483" s="95" t="s">
        <v>2888</v>
      </c>
      <c r="J2483" s="247" t="s">
        <v>2889</v>
      </c>
      <c r="K2483" s="89"/>
      <c r="L2483" s="90"/>
      <c r="M2483" s="90"/>
      <c r="P2483" s="68"/>
    </row>
    <row r="2484">
      <c r="A2484" s="95">
        <v>9.3487764077E10</v>
      </c>
      <c r="B2484" s="151" t="s">
        <v>2890</v>
      </c>
      <c r="C2484" s="95" t="s">
        <v>97</v>
      </c>
      <c r="D2484" s="95">
        <v>1.0</v>
      </c>
      <c r="E2484" s="101">
        <v>99.0</v>
      </c>
      <c r="F2484" s="101">
        <f t="shared" si="414"/>
        <v>99</v>
      </c>
      <c r="G2484" s="101">
        <f t="shared" si="415"/>
        <v>24.75</v>
      </c>
      <c r="H2484" s="95" t="s">
        <v>2891</v>
      </c>
      <c r="J2484" s="247" t="s">
        <v>2889</v>
      </c>
      <c r="K2484" s="89"/>
      <c r="L2484" s="90"/>
      <c r="M2484" s="90"/>
      <c r="P2484" s="68"/>
    </row>
    <row r="2485">
      <c r="A2485" s="95">
        <v>9.3487793961E10</v>
      </c>
      <c r="B2485" s="151" t="s">
        <v>2892</v>
      </c>
      <c r="C2485" s="95" t="s">
        <v>97</v>
      </c>
      <c r="D2485" s="95">
        <v>1.0</v>
      </c>
      <c r="E2485" s="101">
        <v>109.0</v>
      </c>
      <c r="F2485" s="101">
        <f t="shared" si="414"/>
        <v>109</v>
      </c>
      <c r="G2485" s="101">
        <f t="shared" si="415"/>
        <v>27.25</v>
      </c>
      <c r="H2485" s="95" t="s">
        <v>2893</v>
      </c>
      <c r="J2485" s="247" t="s">
        <v>2889</v>
      </c>
      <c r="K2485" s="89"/>
      <c r="L2485" s="90"/>
      <c r="M2485" s="90"/>
      <c r="P2485" s="68"/>
    </row>
    <row r="2486">
      <c r="A2486" s="95">
        <v>9.3487876633E10</v>
      </c>
      <c r="B2486" s="151" t="s">
        <v>2894</v>
      </c>
      <c r="C2486" s="95" t="s">
        <v>97</v>
      </c>
      <c r="D2486" s="95">
        <v>1.0</v>
      </c>
      <c r="E2486" s="101">
        <v>139.0</v>
      </c>
      <c r="F2486" s="101">
        <f t="shared" si="414"/>
        <v>139</v>
      </c>
      <c r="G2486" s="101">
        <f t="shared" si="415"/>
        <v>34.75</v>
      </c>
      <c r="H2486" s="95" t="s">
        <v>2891</v>
      </c>
      <c r="J2486" s="247" t="s">
        <v>2889</v>
      </c>
      <c r="K2486" s="89"/>
      <c r="L2486" s="90"/>
      <c r="M2486" s="90"/>
      <c r="P2486" s="68"/>
    </row>
    <row r="2487">
      <c r="A2487" s="95">
        <v>9.3487877654E10</v>
      </c>
      <c r="B2487" s="151" t="s">
        <v>2895</v>
      </c>
      <c r="C2487" s="95" t="s">
        <v>97</v>
      </c>
      <c r="D2487" s="95">
        <v>1.0</v>
      </c>
      <c r="E2487" s="101">
        <v>99.0</v>
      </c>
      <c r="F2487" s="101">
        <f t="shared" si="414"/>
        <v>99</v>
      </c>
      <c r="G2487" s="101">
        <f t="shared" si="415"/>
        <v>24.75</v>
      </c>
      <c r="H2487" s="95" t="s">
        <v>2891</v>
      </c>
      <c r="J2487" s="247" t="s">
        <v>2889</v>
      </c>
      <c r="K2487" s="89"/>
      <c r="L2487" s="90"/>
      <c r="M2487" s="90"/>
      <c r="P2487" s="68"/>
    </row>
    <row r="2488">
      <c r="A2488" s="95">
        <v>9.3487988732E10</v>
      </c>
      <c r="B2488" s="151" t="s">
        <v>2896</v>
      </c>
      <c r="C2488" s="95" t="s">
        <v>97</v>
      </c>
      <c r="D2488" s="95">
        <v>1.0</v>
      </c>
      <c r="E2488" s="101">
        <v>129.0</v>
      </c>
      <c r="F2488" s="101">
        <f t="shared" si="414"/>
        <v>129</v>
      </c>
      <c r="G2488" s="101">
        <f t="shared" si="415"/>
        <v>32.25</v>
      </c>
      <c r="H2488" s="95" t="s">
        <v>2891</v>
      </c>
      <c r="J2488" s="247" t="s">
        <v>2889</v>
      </c>
      <c r="K2488" s="89"/>
      <c r="L2488" s="90"/>
      <c r="M2488" s="90"/>
      <c r="P2488" s="68"/>
    </row>
    <row r="2489">
      <c r="A2489" s="95">
        <v>9.348799416E10</v>
      </c>
      <c r="B2489" s="151" t="s">
        <v>2897</v>
      </c>
      <c r="C2489" s="95" t="s">
        <v>97</v>
      </c>
      <c r="D2489" s="95">
        <v>1.0</v>
      </c>
      <c r="E2489" s="101">
        <v>89.0</v>
      </c>
      <c r="F2489" s="101">
        <f t="shared" si="414"/>
        <v>89</v>
      </c>
      <c r="G2489" s="101">
        <f t="shared" si="415"/>
        <v>22.25</v>
      </c>
      <c r="H2489" s="95" t="s">
        <v>2891</v>
      </c>
      <c r="J2489" s="247" t="s">
        <v>2889</v>
      </c>
      <c r="K2489" s="89"/>
      <c r="L2489" s="90"/>
      <c r="M2489" s="90"/>
      <c r="P2489" s="68"/>
    </row>
    <row r="2490">
      <c r="A2490" s="95">
        <v>9.3487994191E10</v>
      </c>
      <c r="B2490" s="151" t="s">
        <v>2898</v>
      </c>
      <c r="C2490" s="95" t="s">
        <v>97</v>
      </c>
      <c r="D2490" s="95">
        <v>1.0</v>
      </c>
      <c r="E2490" s="101">
        <v>89.0</v>
      </c>
      <c r="F2490" s="101">
        <f t="shared" si="414"/>
        <v>89</v>
      </c>
      <c r="G2490" s="101">
        <f t="shared" si="415"/>
        <v>22.25</v>
      </c>
      <c r="H2490" s="95" t="s">
        <v>2891</v>
      </c>
      <c r="J2490" s="247" t="s">
        <v>2889</v>
      </c>
      <c r="K2490" s="89"/>
      <c r="L2490" s="90"/>
      <c r="M2490" s="90"/>
      <c r="P2490" s="68"/>
    </row>
    <row r="2491">
      <c r="A2491" s="95">
        <v>9.3487994207E10</v>
      </c>
      <c r="B2491" s="151" t="s">
        <v>2899</v>
      </c>
      <c r="C2491" s="95" t="s">
        <v>97</v>
      </c>
      <c r="D2491" s="95">
        <v>1.0</v>
      </c>
      <c r="E2491" s="101">
        <v>89.0</v>
      </c>
      <c r="F2491" s="101">
        <f t="shared" si="414"/>
        <v>89</v>
      </c>
      <c r="G2491" s="101">
        <f t="shared" si="415"/>
        <v>22.25</v>
      </c>
      <c r="H2491" s="95" t="s">
        <v>2891</v>
      </c>
      <c r="J2491" s="247" t="s">
        <v>2889</v>
      </c>
      <c r="K2491" s="89"/>
      <c r="L2491" s="90"/>
      <c r="M2491" s="90"/>
      <c r="P2491" s="68"/>
    </row>
    <row r="2492">
      <c r="A2492" s="95">
        <v>9.3487994214E10</v>
      </c>
      <c r="B2492" s="151" t="s">
        <v>2900</v>
      </c>
      <c r="C2492" s="95" t="s">
        <v>97</v>
      </c>
      <c r="D2492" s="95">
        <v>1.0</v>
      </c>
      <c r="E2492" s="101">
        <v>89.0</v>
      </c>
      <c r="F2492" s="101">
        <f t="shared" si="414"/>
        <v>89</v>
      </c>
      <c r="G2492" s="101">
        <f t="shared" si="415"/>
        <v>22.25</v>
      </c>
      <c r="H2492" s="95" t="s">
        <v>2891</v>
      </c>
      <c r="J2492" s="247" t="s">
        <v>2889</v>
      </c>
      <c r="K2492" s="89"/>
      <c r="L2492" s="90"/>
      <c r="M2492" s="90"/>
      <c r="P2492" s="68"/>
    </row>
    <row r="2493">
      <c r="A2493" s="95">
        <v>9.348799614E10</v>
      </c>
      <c r="B2493" s="151" t="s">
        <v>2901</v>
      </c>
      <c r="C2493" s="95" t="s">
        <v>97</v>
      </c>
      <c r="D2493" s="95">
        <v>1.0</v>
      </c>
      <c r="E2493" s="101">
        <v>79.0</v>
      </c>
      <c r="F2493" s="101">
        <f t="shared" si="414"/>
        <v>79</v>
      </c>
      <c r="G2493" s="101">
        <f t="shared" si="415"/>
        <v>19.75</v>
      </c>
      <c r="H2493" s="95" t="s">
        <v>2888</v>
      </c>
      <c r="J2493" s="247" t="s">
        <v>2889</v>
      </c>
      <c r="K2493" s="89"/>
      <c r="L2493" s="90"/>
      <c r="M2493" s="90"/>
      <c r="P2493" s="68"/>
    </row>
    <row r="2494">
      <c r="A2494" s="95">
        <v>9.3488111306E10</v>
      </c>
      <c r="B2494" s="151" t="s">
        <v>2902</v>
      </c>
      <c r="C2494" s="95" t="s">
        <v>97</v>
      </c>
      <c r="D2494" s="95">
        <v>1.0</v>
      </c>
      <c r="E2494" s="101">
        <v>59.0</v>
      </c>
      <c r="F2494" s="101">
        <f t="shared" si="414"/>
        <v>59</v>
      </c>
      <c r="G2494" s="101">
        <f t="shared" si="415"/>
        <v>14.75</v>
      </c>
      <c r="H2494" s="95" t="s">
        <v>2903</v>
      </c>
      <c r="J2494" s="247" t="s">
        <v>2889</v>
      </c>
      <c r="K2494" s="89"/>
      <c r="L2494" s="90"/>
      <c r="M2494" s="90"/>
      <c r="P2494" s="68"/>
    </row>
    <row r="2495">
      <c r="A2495" s="95">
        <v>9.3488111313E10</v>
      </c>
      <c r="B2495" s="151" t="s">
        <v>2904</v>
      </c>
      <c r="C2495" s="95" t="s">
        <v>97</v>
      </c>
      <c r="D2495" s="95">
        <v>1.0</v>
      </c>
      <c r="E2495" s="101">
        <v>59.0</v>
      </c>
      <c r="F2495" s="101">
        <f t="shared" si="414"/>
        <v>59</v>
      </c>
      <c r="G2495" s="101">
        <f t="shared" si="415"/>
        <v>14.75</v>
      </c>
      <c r="H2495" s="95" t="s">
        <v>2903</v>
      </c>
      <c r="J2495" s="247" t="s">
        <v>2889</v>
      </c>
      <c r="K2495" s="89"/>
      <c r="L2495" s="90"/>
      <c r="M2495" s="90"/>
      <c r="P2495" s="68"/>
    </row>
    <row r="2496">
      <c r="A2496" s="95">
        <v>9.3488114772E10</v>
      </c>
      <c r="B2496" s="151" t="s">
        <v>2905</v>
      </c>
      <c r="C2496" s="95" t="s">
        <v>97</v>
      </c>
      <c r="D2496" s="95">
        <v>1.0</v>
      </c>
      <c r="E2496" s="101">
        <v>79.0</v>
      </c>
      <c r="F2496" s="101">
        <f t="shared" si="414"/>
        <v>79</v>
      </c>
      <c r="G2496" s="101">
        <f t="shared" si="415"/>
        <v>19.75</v>
      </c>
      <c r="H2496" s="95" t="s">
        <v>2891</v>
      </c>
      <c r="J2496" s="247" t="s">
        <v>2889</v>
      </c>
      <c r="K2496" s="89"/>
      <c r="L2496" s="90"/>
      <c r="M2496" s="90"/>
      <c r="P2496" s="68"/>
    </row>
    <row r="2497">
      <c r="A2497" s="95">
        <v>9.3488148388E10</v>
      </c>
      <c r="B2497" s="151" t="s">
        <v>2906</v>
      </c>
      <c r="C2497" s="95" t="s">
        <v>97</v>
      </c>
      <c r="D2497" s="95">
        <v>1.0</v>
      </c>
      <c r="E2497" s="101">
        <v>119.0</v>
      </c>
      <c r="F2497" s="101">
        <f t="shared" si="414"/>
        <v>119</v>
      </c>
      <c r="G2497" s="101">
        <f t="shared" si="415"/>
        <v>29.75</v>
      </c>
      <c r="H2497" s="95" t="s">
        <v>2891</v>
      </c>
      <c r="J2497" s="247" t="s">
        <v>2889</v>
      </c>
      <c r="K2497" s="89"/>
      <c r="L2497" s="90"/>
      <c r="M2497" s="90"/>
      <c r="P2497" s="68"/>
    </row>
    <row r="2498">
      <c r="A2498" s="95">
        <v>9.3488165484E10</v>
      </c>
      <c r="B2498" s="151" t="s">
        <v>2907</v>
      </c>
      <c r="C2498" s="95" t="s">
        <v>97</v>
      </c>
      <c r="D2498" s="95">
        <v>1.0</v>
      </c>
      <c r="E2498" s="101">
        <v>79.0</v>
      </c>
      <c r="F2498" s="101">
        <f t="shared" si="414"/>
        <v>79</v>
      </c>
      <c r="G2498" s="101">
        <f t="shared" si="415"/>
        <v>19.75</v>
      </c>
      <c r="H2498" s="95" t="s">
        <v>2903</v>
      </c>
      <c r="J2498" s="247" t="s">
        <v>2889</v>
      </c>
      <c r="K2498" s="89"/>
      <c r="L2498" s="90"/>
      <c r="M2498" s="90"/>
      <c r="P2498" s="68"/>
    </row>
    <row r="2499">
      <c r="A2499" s="95">
        <v>9.3488166436E10</v>
      </c>
      <c r="B2499" s="151" t="s">
        <v>2908</v>
      </c>
      <c r="C2499" s="95" t="s">
        <v>97</v>
      </c>
      <c r="D2499" s="95">
        <v>1.0</v>
      </c>
      <c r="E2499" s="101">
        <v>139.0</v>
      </c>
      <c r="F2499" s="101">
        <f t="shared" si="414"/>
        <v>139</v>
      </c>
      <c r="G2499" s="101">
        <f t="shared" si="415"/>
        <v>34.75</v>
      </c>
      <c r="H2499" s="95" t="s">
        <v>2903</v>
      </c>
      <c r="J2499" s="247" t="s">
        <v>2889</v>
      </c>
      <c r="K2499" s="89"/>
      <c r="L2499" s="90"/>
      <c r="M2499" s="90"/>
      <c r="P2499" s="68"/>
    </row>
    <row r="2500">
      <c r="A2500" s="95">
        <v>9.3488249283E10</v>
      </c>
      <c r="B2500" s="151" t="s">
        <v>2909</v>
      </c>
      <c r="C2500" s="95" t="s">
        <v>97</v>
      </c>
      <c r="D2500" s="95">
        <v>1.0</v>
      </c>
      <c r="E2500" s="101">
        <v>129.0</v>
      </c>
      <c r="F2500" s="101">
        <f t="shared" si="414"/>
        <v>129</v>
      </c>
      <c r="G2500" s="101">
        <f t="shared" si="415"/>
        <v>32.25</v>
      </c>
      <c r="H2500" s="95" t="s">
        <v>2891</v>
      </c>
      <c r="J2500" s="247" t="s">
        <v>2889</v>
      </c>
      <c r="K2500" s="89"/>
      <c r="L2500" s="90"/>
      <c r="M2500" s="90"/>
      <c r="P2500" s="68"/>
    </row>
    <row r="2501">
      <c r="A2501" s="95">
        <v>9.348824929E10</v>
      </c>
      <c r="B2501" s="151" t="s">
        <v>2910</v>
      </c>
      <c r="C2501" s="95" t="s">
        <v>97</v>
      </c>
      <c r="D2501" s="95">
        <v>1.0</v>
      </c>
      <c r="E2501" s="101">
        <v>129.0</v>
      </c>
      <c r="F2501" s="101">
        <f t="shared" si="414"/>
        <v>129</v>
      </c>
      <c r="G2501" s="101">
        <f t="shared" si="415"/>
        <v>32.25</v>
      </c>
      <c r="H2501" s="95" t="s">
        <v>2891</v>
      </c>
      <c r="J2501" s="247" t="s">
        <v>2889</v>
      </c>
      <c r="K2501" s="89"/>
      <c r="L2501" s="90"/>
      <c r="M2501" s="90"/>
      <c r="P2501" s="68"/>
    </row>
    <row r="2502">
      <c r="A2502" s="95">
        <v>9.3488249351E10</v>
      </c>
      <c r="B2502" s="151" t="s">
        <v>2911</v>
      </c>
      <c r="C2502" s="95" t="s">
        <v>97</v>
      </c>
      <c r="D2502" s="95">
        <v>1.0</v>
      </c>
      <c r="E2502" s="101">
        <v>129.0</v>
      </c>
      <c r="F2502" s="101">
        <f t="shared" si="414"/>
        <v>129</v>
      </c>
      <c r="G2502" s="101">
        <f t="shared" si="415"/>
        <v>32.25</v>
      </c>
      <c r="H2502" s="95" t="s">
        <v>2891</v>
      </c>
      <c r="J2502" s="247" t="s">
        <v>2889</v>
      </c>
      <c r="K2502" s="89"/>
      <c r="L2502" s="90"/>
      <c r="M2502" s="90"/>
      <c r="P2502" s="68"/>
    </row>
    <row r="2503">
      <c r="A2503" s="95">
        <v>9.348827692E10</v>
      </c>
      <c r="B2503" s="151" t="s">
        <v>2912</v>
      </c>
      <c r="C2503" s="95" t="s">
        <v>97</v>
      </c>
      <c r="D2503" s="95">
        <v>1.0</v>
      </c>
      <c r="E2503" s="101">
        <v>129.0</v>
      </c>
      <c r="F2503" s="101">
        <f t="shared" si="414"/>
        <v>129</v>
      </c>
      <c r="G2503" s="101">
        <f t="shared" si="415"/>
        <v>32.25</v>
      </c>
      <c r="H2503" s="95" t="s">
        <v>2891</v>
      </c>
      <c r="J2503" s="247" t="s">
        <v>2889</v>
      </c>
      <c r="K2503" s="89"/>
      <c r="L2503" s="90"/>
      <c r="M2503" s="90"/>
      <c r="P2503" s="68"/>
    </row>
    <row r="2504">
      <c r="A2504" s="95">
        <v>9.3488378877E10</v>
      </c>
      <c r="B2504" s="151" t="s">
        <v>2913</v>
      </c>
      <c r="C2504" s="95" t="s">
        <v>97</v>
      </c>
      <c r="D2504" s="95">
        <v>1.0</v>
      </c>
      <c r="E2504" s="101">
        <v>89.0</v>
      </c>
      <c r="F2504" s="101">
        <f t="shared" si="414"/>
        <v>89</v>
      </c>
      <c r="G2504" s="101">
        <f t="shared" si="415"/>
        <v>22.25</v>
      </c>
      <c r="H2504" s="95" t="s">
        <v>2891</v>
      </c>
      <c r="J2504" s="247" t="s">
        <v>2889</v>
      </c>
      <c r="K2504" s="89"/>
      <c r="L2504" s="90"/>
      <c r="M2504" s="90"/>
      <c r="P2504" s="68"/>
    </row>
    <row r="2505">
      <c r="A2505" s="95">
        <v>9.348840024E10</v>
      </c>
      <c r="B2505" s="151" t="s">
        <v>2914</v>
      </c>
      <c r="C2505" s="95" t="s">
        <v>97</v>
      </c>
      <c r="D2505" s="95">
        <v>1.0</v>
      </c>
      <c r="E2505" s="101">
        <v>89.0</v>
      </c>
      <c r="F2505" s="101">
        <f t="shared" si="414"/>
        <v>89</v>
      </c>
      <c r="G2505" s="101">
        <f t="shared" si="415"/>
        <v>22.25</v>
      </c>
      <c r="H2505" s="95" t="s">
        <v>2903</v>
      </c>
      <c r="J2505" s="247" t="s">
        <v>2889</v>
      </c>
      <c r="K2505" s="89"/>
      <c r="L2505" s="90"/>
      <c r="M2505" s="90"/>
      <c r="P2505" s="68"/>
    </row>
    <row r="2506">
      <c r="A2506" s="95">
        <v>9.3488400288E10</v>
      </c>
      <c r="B2506" s="151" t="s">
        <v>2915</v>
      </c>
      <c r="C2506" s="95" t="s">
        <v>97</v>
      </c>
      <c r="D2506" s="95">
        <v>1.0</v>
      </c>
      <c r="E2506" s="101">
        <v>89.0</v>
      </c>
      <c r="F2506" s="101">
        <f t="shared" si="414"/>
        <v>89</v>
      </c>
      <c r="G2506" s="101">
        <f t="shared" si="415"/>
        <v>22.25</v>
      </c>
      <c r="H2506" s="95" t="s">
        <v>2903</v>
      </c>
      <c r="J2506" s="247" t="s">
        <v>2889</v>
      </c>
      <c r="K2506" s="89"/>
      <c r="L2506" s="90"/>
      <c r="M2506" s="90"/>
      <c r="P2506" s="68"/>
    </row>
    <row r="2507">
      <c r="A2507" s="95">
        <v>9.3488421672E10</v>
      </c>
      <c r="B2507" s="151" t="s">
        <v>2916</v>
      </c>
      <c r="C2507" s="95" t="s">
        <v>97</v>
      </c>
      <c r="D2507" s="95">
        <v>1.0</v>
      </c>
      <c r="E2507" s="101">
        <v>89.0</v>
      </c>
      <c r="F2507" s="101">
        <f t="shared" si="414"/>
        <v>89</v>
      </c>
      <c r="G2507" s="101">
        <f t="shared" si="415"/>
        <v>22.25</v>
      </c>
      <c r="H2507" s="95" t="s">
        <v>2891</v>
      </c>
      <c r="J2507" s="247" t="s">
        <v>2889</v>
      </c>
      <c r="K2507" s="89"/>
      <c r="L2507" s="90"/>
      <c r="M2507" s="90"/>
      <c r="P2507" s="68"/>
    </row>
    <row r="2508">
      <c r="A2508" s="95">
        <v>9.3488465775E10</v>
      </c>
      <c r="B2508" s="151" t="s">
        <v>2917</v>
      </c>
      <c r="C2508" s="95" t="s">
        <v>97</v>
      </c>
      <c r="D2508" s="95">
        <v>1.0</v>
      </c>
      <c r="E2508" s="101">
        <v>89.0</v>
      </c>
      <c r="F2508" s="101">
        <f t="shared" si="414"/>
        <v>89</v>
      </c>
      <c r="G2508" s="101">
        <f t="shared" si="415"/>
        <v>22.25</v>
      </c>
      <c r="H2508" s="95" t="s">
        <v>2891</v>
      </c>
      <c r="J2508" s="247" t="s">
        <v>2889</v>
      </c>
      <c r="K2508" s="89"/>
      <c r="L2508" s="90"/>
      <c r="M2508" s="90"/>
      <c r="P2508" s="68"/>
    </row>
    <row r="2509">
      <c r="A2509" s="95">
        <v>9.348852649E10</v>
      </c>
      <c r="B2509" s="151" t="s">
        <v>2918</v>
      </c>
      <c r="C2509" s="95" t="s">
        <v>97</v>
      </c>
      <c r="D2509" s="95">
        <v>1.0</v>
      </c>
      <c r="E2509" s="101">
        <v>149.0</v>
      </c>
      <c r="F2509" s="101">
        <f t="shared" si="414"/>
        <v>149</v>
      </c>
      <c r="G2509" s="101">
        <f t="shared" si="415"/>
        <v>37.25</v>
      </c>
      <c r="H2509" s="95" t="s">
        <v>2903</v>
      </c>
      <c r="J2509" s="247" t="s">
        <v>2889</v>
      </c>
      <c r="K2509" s="89"/>
      <c r="L2509" s="90"/>
      <c r="M2509" s="90"/>
      <c r="P2509" s="68"/>
    </row>
    <row r="2510">
      <c r="A2510" s="95">
        <v>9.3488529927E10</v>
      </c>
      <c r="B2510" s="151" t="s">
        <v>2919</v>
      </c>
      <c r="C2510" s="95" t="s">
        <v>97</v>
      </c>
      <c r="D2510" s="95">
        <v>1.0</v>
      </c>
      <c r="E2510" s="101">
        <v>89.0</v>
      </c>
      <c r="F2510" s="101">
        <f t="shared" si="414"/>
        <v>89</v>
      </c>
      <c r="G2510" s="101">
        <f t="shared" si="415"/>
        <v>22.25</v>
      </c>
      <c r="H2510" s="95" t="s">
        <v>2893</v>
      </c>
      <c r="J2510" s="247" t="s">
        <v>2889</v>
      </c>
      <c r="K2510" s="89"/>
      <c r="L2510" s="90"/>
      <c r="M2510" s="90"/>
      <c r="P2510" s="68"/>
    </row>
    <row r="2511">
      <c r="A2511" s="95">
        <v>9.3488550082E10</v>
      </c>
      <c r="B2511" s="151" t="s">
        <v>2920</v>
      </c>
      <c r="C2511" s="95" t="s">
        <v>97</v>
      </c>
      <c r="D2511" s="95">
        <v>1.0</v>
      </c>
      <c r="E2511" s="101">
        <v>59.0</v>
      </c>
      <c r="F2511" s="101">
        <f t="shared" si="414"/>
        <v>59</v>
      </c>
      <c r="G2511" s="101">
        <f t="shared" si="415"/>
        <v>14.75</v>
      </c>
      <c r="H2511" s="95" t="s">
        <v>2903</v>
      </c>
      <c r="J2511" s="247" t="s">
        <v>2889</v>
      </c>
      <c r="K2511" s="89"/>
      <c r="L2511" s="90"/>
      <c r="M2511" s="90"/>
      <c r="P2511" s="68"/>
    </row>
    <row r="2512">
      <c r="A2512" s="211"/>
      <c r="B2512" s="231" t="s">
        <v>2921</v>
      </c>
      <c r="C2512" s="234" t="str">
        <f>MID($B2512,6,7)</f>
        <v>XM18871</v>
      </c>
      <c r="D2512" s="231"/>
      <c r="E2512" s="231"/>
      <c r="F2512" s="231"/>
      <c r="G2512" s="231"/>
      <c r="H2512" s="235">
        <v>44560.0</v>
      </c>
      <c r="J2512" s="108" t="str">
        <f>IF(LEFT(B2512,3)="Box","BOX","COUNT")</f>
        <v>BOX</v>
      </c>
      <c r="K2512" s="99">
        <f>SUMIF($J$4:$J$8712,$C2512,$D$4:$D$8712)</f>
        <v>29</v>
      </c>
      <c r="L2512" s="50">
        <f>SUMIF($J$4:$J$8712,$C2512,$F$4:$F$8712)</f>
        <v>2941</v>
      </c>
      <c r="M2512" s="50">
        <f>SUMIF($J$4:$J$8712,$C2512,$G$4:$G$8712)</f>
        <v>735.25</v>
      </c>
      <c r="N2512" s="70" t="str">
        <f>C2512</f>
        <v>XM18871</v>
      </c>
      <c r="O2512" s="70" t="str">
        <f>J2513</f>
        <v>NSHIP</v>
      </c>
      <c r="P2512" s="68">
        <f>M2512</f>
        <v>735.25</v>
      </c>
    </row>
    <row r="2513">
      <c r="A2513" s="211"/>
      <c r="B2513" s="231"/>
      <c r="C2513" s="109"/>
      <c r="D2513" s="109"/>
      <c r="E2513" s="116"/>
      <c r="F2513" s="116"/>
      <c r="G2513" s="116"/>
      <c r="H2513" s="109"/>
      <c r="J2513" s="108" t="str">
        <f>IF(B2513="","NSHIP","SHIP")</f>
        <v>NSHIP</v>
      </c>
      <c r="K2513" s="99">
        <f>IF($J2513="NSHIP",0,-SUMIF($J$4:$J$8712,$C2512,$D$4:$D$8712))</f>
        <v>0</v>
      </c>
      <c r="L2513" s="50">
        <f>IF($J2513="NSHIP",0,-SUMIF($J$4:$J$8710,$C2512,$F$4:$F$8710))</f>
        <v>0</v>
      </c>
      <c r="M2513" s="50">
        <f>IF($J2513="NSHIP",0,-SUMIF($J$4:$J$8710,$C2512,$G$4:$G$8710))</f>
        <v>0</v>
      </c>
      <c r="P2513" s="68"/>
    </row>
    <row r="2514">
      <c r="A2514" s="95">
        <v>2.9927435177E10</v>
      </c>
      <c r="B2514" s="151" t="s">
        <v>2544</v>
      </c>
      <c r="C2514" s="95" t="s">
        <v>97</v>
      </c>
      <c r="D2514" s="95">
        <v>1.0</v>
      </c>
      <c r="E2514" s="101">
        <v>17.99</v>
      </c>
      <c r="F2514" s="101">
        <f t="shared" ref="F2514:F2525" si="416">E2514*D2514</f>
        <v>17.99</v>
      </c>
      <c r="G2514" s="101">
        <f t="shared" ref="G2514:G2525" si="417">F2514/4</f>
        <v>4.4975</v>
      </c>
      <c r="H2514" s="95" t="s">
        <v>2479</v>
      </c>
      <c r="J2514" s="247" t="s">
        <v>2922</v>
      </c>
      <c r="K2514" s="89"/>
      <c r="L2514" s="90"/>
      <c r="M2514" s="90"/>
      <c r="P2514" s="68"/>
    </row>
    <row r="2515">
      <c r="A2515" s="95">
        <v>2.9927440485E10</v>
      </c>
      <c r="B2515" s="151" t="s">
        <v>2488</v>
      </c>
      <c r="C2515" s="95" t="s">
        <v>97</v>
      </c>
      <c r="D2515" s="95">
        <v>1.0</v>
      </c>
      <c r="E2515" s="101">
        <v>14.99</v>
      </c>
      <c r="F2515" s="101">
        <f t="shared" si="416"/>
        <v>14.99</v>
      </c>
      <c r="G2515" s="101">
        <f t="shared" si="417"/>
        <v>3.7475</v>
      </c>
      <c r="H2515" s="95" t="s">
        <v>2479</v>
      </c>
      <c r="J2515" s="247" t="s">
        <v>2922</v>
      </c>
      <c r="K2515" s="89"/>
      <c r="L2515" s="90"/>
      <c r="M2515" s="90"/>
      <c r="P2515" s="68"/>
    </row>
    <row r="2516">
      <c r="A2516" s="95">
        <v>4.7293451263E10</v>
      </c>
      <c r="B2516" s="151" t="s">
        <v>2490</v>
      </c>
      <c r="C2516" s="95" t="s">
        <v>97</v>
      </c>
      <c r="D2516" s="95">
        <v>2.0</v>
      </c>
      <c r="E2516" s="101">
        <v>23.99</v>
      </c>
      <c r="F2516" s="101">
        <f t="shared" si="416"/>
        <v>47.98</v>
      </c>
      <c r="G2516" s="101">
        <f t="shared" si="417"/>
        <v>11.995</v>
      </c>
      <c r="H2516" s="95" t="s">
        <v>2491</v>
      </c>
      <c r="J2516" s="247" t="s">
        <v>2922</v>
      </c>
      <c r="K2516" s="89"/>
      <c r="L2516" s="90"/>
      <c r="M2516" s="90"/>
      <c r="P2516" s="68"/>
    </row>
    <row r="2517">
      <c r="A2517" s="95">
        <v>8.6569896711E10</v>
      </c>
      <c r="B2517" s="151" t="s">
        <v>2567</v>
      </c>
      <c r="C2517" s="95" t="s">
        <v>97</v>
      </c>
      <c r="D2517" s="95">
        <v>1.0</v>
      </c>
      <c r="E2517" s="101">
        <v>46.49</v>
      </c>
      <c r="F2517" s="101">
        <f t="shared" si="416"/>
        <v>46.49</v>
      </c>
      <c r="G2517" s="101">
        <f t="shared" si="417"/>
        <v>11.6225</v>
      </c>
      <c r="H2517" s="95" t="s">
        <v>2568</v>
      </c>
      <c r="J2517" s="247" t="s">
        <v>2922</v>
      </c>
      <c r="K2517" s="89"/>
      <c r="L2517" s="90"/>
      <c r="M2517" s="90"/>
      <c r="P2517" s="68"/>
    </row>
    <row r="2518">
      <c r="A2518" s="95">
        <v>8.656990469E10</v>
      </c>
      <c r="B2518" s="151" t="s">
        <v>2923</v>
      </c>
      <c r="C2518" s="95" t="s">
        <v>97</v>
      </c>
      <c r="D2518" s="95">
        <v>1.0</v>
      </c>
      <c r="E2518" s="101">
        <v>27.99</v>
      </c>
      <c r="F2518" s="101">
        <f t="shared" si="416"/>
        <v>27.99</v>
      </c>
      <c r="G2518" s="101">
        <f t="shared" si="417"/>
        <v>6.9975</v>
      </c>
      <c r="H2518" s="95" t="s">
        <v>2483</v>
      </c>
      <c r="J2518" s="247" t="s">
        <v>2922</v>
      </c>
      <c r="K2518" s="89"/>
      <c r="L2518" s="90"/>
      <c r="M2518" s="90"/>
      <c r="P2518" s="68"/>
    </row>
    <row r="2519">
      <c r="A2519" s="95">
        <v>6.35983499611E11</v>
      </c>
      <c r="B2519" s="151" t="s">
        <v>2924</v>
      </c>
      <c r="C2519" s="95" t="s">
        <v>97</v>
      </c>
      <c r="D2519" s="95">
        <v>1.0</v>
      </c>
      <c r="E2519" s="101">
        <v>87.99</v>
      </c>
      <c r="F2519" s="101">
        <f t="shared" si="416"/>
        <v>87.99</v>
      </c>
      <c r="G2519" s="101">
        <f t="shared" si="417"/>
        <v>21.9975</v>
      </c>
      <c r="H2519" s="95" t="s">
        <v>2925</v>
      </c>
      <c r="J2519" s="247" t="s">
        <v>2922</v>
      </c>
      <c r="K2519" s="89"/>
      <c r="L2519" s="90"/>
      <c r="M2519" s="90"/>
      <c r="P2519" s="68"/>
    </row>
    <row r="2520">
      <c r="A2520" s="95">
        <v>6.51896642821E11</v>
      </c>
      <c r="B2520" s="151" t="s">
        <v>2926</v>
      </c>
      <c r="C2520" s="95" t="s">
        <v>97</v>
      </c>
      <c r="D2520" s="95">
        <v>1.0</v>
      </c>
      <c r="E2520" s="101">
        <v>14.99</v>
      </c>
      <c r="F2520" s="101">
        <f t="shared" si="416"/>
        <v>14.99</v>
      </c>
      <c r="G2520" s="101">
        <f t="shared" si="417"/>
        <v>3.7475</v>
      </c>
      <c r="H2520" s="95" t="s">
        <v>2927</v>
      </c>
      <c r="J2520" s="247" t="s">
        <v>2922</v>
      </c>
      <c r="K2520" s="89"/>
      <c r="L2520" s="90"/>
      <c r="M2520" s="90"/>
      <c r="P2520" s="68"/>
    </row>
    <row r="2521">
      <c r="A2521" s="95">
        <v>6.75716483531E11</v>
      </c>
      <c r="B2521" s="151" t="s">
        <v>2928</v>
      </c>
      <c r="C2521" s="95" t="s">
        <v>97</v>
      </c>
      <c r="D2521" s="95">
        <v>1.0</v>
      </c>
      <c r="E2521" s="101">
        <v>43.2</v>
      </c>
      <c r="F2521" s="101">
        <f t="shared" si="416"/>
        <v>43.2</v>
      </c>
      <c r="G2521" s="101">
        <f t="shared" si="417"/>
        <v>10.8</v>
      </c>
      <c r="H2521" s="95" t="s">
        <v>2929</v>
      </c>
      <c r="J2521" s="247" t="s">
        <v>2922</v>
      </c>
      <c r="K2521" s="89"/>
      <c r="L2521" s="90"/>
      <c r="M2521" s="90"/>
      <c r="P2521" s="68"/>
    </row>
    <row r="2522">
      <c r="A2522" s="95">
        <v>6.75716925406E11</v>
      </c>
      <c r="B2522" s="151" t="s">
        <v>2930</v>
      </c>
      <c r="C2522" s="95" t="s">
        <v>97</v>
      </c>
      <c r="D2522" s="95">
        <v>1.0</v>
      </c>
      <c r="E2522" s="101">
        <v>301.99</v>
      </c>
      <c r="F2522" s="101">
        <f t="shared" si="416"/>
        <v>301.99</v>
      </c>
      <c r="G2522" s="101">
        <f t="shared" si="417"/>
        <v>75.4975</v>
      </c>
      <c r="H2522" s="95" t="s">
        <v>2483</v>
      </c>
      <c r="J2522" s="247" t="s">
        <v>2922</v>
      </c>
      <c r="K2522" s="89"/>
      <c r="L2522" s="90"/>
      <c r="M2522" s="90"/>
      <c r="P2522" s="68"/>
    </row>
    <row r="2523">
      <c r="A2523" s="189">
        <v>8.18637023633E11</v>
      </c>
      <c r="B2523" s="188" t="s">
        <v>219</v>
      </c>
      <c r="C2523" s="189" t="s">
        <v>97</v>
      </c>
      <c r="D2523" s="189">
        <v>1.0</v>
      </c>
      <c r="E2523" s="190"/>
      <c r="F2523" s="190">
        <f t="shared" si="416"/>
        <v>0</v>
      </c>
      <c r="G2523" s="190">
        <f t="shared" si="417"/>
        <v>0</v>
      </c>
      <c r="H2523" s="189"/>
      <c r="J2523" s="247" t="s">
        <v>2922</v>
      </c>
      <c r="K2523" s="89"/>
      <c r="L2523" s="90"/>
      <c r="M2523" s="90"/>
      <c r="P2523" s="68"/>
    </row>
    <row r="2524">
      <c r="A2524" s="95">
        <v>8.48742001264E11</v>
      </c>
      <c r="B2524" s="151" t="s">
        <v>2931</v>
      </c>
      <c r="C2524" s="95" t="s">
        <v>97</v>
      </c>
      <c r="D2524" s="95">
        <v>1.0</v>
      </c>
      <c r="E2524" s="101">
        <v>57.99</v>
      </c>
      <c r="F2524" s="101">
        <f t="shared" si="416"/>
        <v>57.99</v>
      </c>
      <c r="G2524" s="101">
        <f t="shared" si="417"/>
        <v>14.4975</v>
      </c>
      <c r="H2524" s="95" t="s">
        <v>2592</v>
      </c>
      <c r="J2524" s="247" t="s">
        <v>2922</v>
      </c>
      <c r="K2524" s="89"/>
      <c r="L2524" s="90"/>
      <c r="M2524" s="90"/>
      <c r="P2524" s="68"/>
    </row>
    <row r="2525">
      <c r="A2525" s="95">
        <v>8.85308097101E11</v>
      </c>
      <c r="B2525" s="151" t="s">
        <v>2574</v>
      </c>
      <c r="C2525" s="95" t="s">
        <v>97</v>
      </c>
      <c r="D2525" s="95">
        <v>2.0</v>
      </c>
      <c r="E2525" s="101">
        <v>26.99</v>
      </c>
      <c r="F2525" s="101">
        <f t="shared" si="416"/>
        <v>53.98</v>
      </c>
      <c r="G2525" s="101">
        <f t="shared" si="417"/>
        <v>13.495</v>
      </c>
      <c r="H2525" s="95" t="s">
        <v>2575</v>
      </c>
      <c r="J2525" s="247" t="s">
        <v>2922</v>
      </c>
      <c r="K2525" s="89"/>
      <c r="L2525" s="90"/>
      <c r="M2525" s="90"/>
      <c r="P2525" s="68"/>
    </row>
    <row r="2526">
      <c r="A2526" s="211"/>
      <c r="B2526" s="231" t="s">
        <v>2932</v>
      </c>
      <c r="C2526" s="234" t="str">
        <f>MID($B2526,6,7)</f>
        <v>XM18872</v>
      </c>
      <c r="D2526" s="231"/>
      <c r="E2526" s="231"/>
      <c r="F2526" s="231"/>
      <c r="G2526" s="231"/>
      <c r="H2526" s="235">
        <v>44560.0</v>
      </c>
      <c r="J2526" s="108" t="str">
        <f>IF(LEFT(B2526,3)="Box","BOX","COUNT")</f>
        <v>BOX</v>
      </c>
      <c r="K2526" s="99">
        <f>SUMIF($J$4:$J$8712,$C2526,$D$4:$D$8712)</f>
        <v>14</v>
      </c>
      <c r="L2526" s="50">
        <f>SUMIF($J$4:$J$8712,$C2526,$F$4:$F$8712)</f>
        <v>715.58</v>
      </c>
      <c r="M2526" s="50">
        <f>SUMIF($J$4:$J$8712,$C2526,$G$4:$G$8712)</f>
        <v>178.895</v>
      </c>
      <c r="N2526" s="70" t="str">
        <f>C2526</f>
        <v>XM18872</v>
      </c>
      <c r="O2526" s="70" t="str">
        <f>J2527</f>
        <v>NSHIP</v>
      </c>
      <c r="P2526" s="68">
        <f>M2526</f>
        <v>178.895</v>
      </c>
    </row>
    <row r="2527">
      <c r="A2527" s="211"/>
      <c r="B2527" s="231"/>
      <c r="C2527" s="109"/>
      <c r="D2527" s="109"/>
      <c r="E2527" s="116"/>
      <c r="F2527" s="116"/>
      <c r="G2527" s="116"/>
      <c r="H2527" s="109"/>
      <c r="J2527" s="108" t="str">
        <f>IF(B2527="","NSHIP","SHIP")</f>
        <v>NSHIP</v>
      </c>
      <c r="K2527" s="99">
        <f>IF($J2527="NSHIP",0,-SUMIF($J$4:$J$8712,$C2526,$D$4:$D$8712))</f>
        <v>0</v>
      </c>
      <c r="L2527" s="50">
        <f>IF($J2527="NSHIP",0,-SUMIF($J$4:$J$8710,$C2526,$F$4:$F$8710))</f>
        <v>0</v>
      </c>
      <c r="M2527" s="50">
        <f>IF($J2527="NSHIP",0,-SUMIF($J$4:$J$8710,$C2526,$G$4:$G$8710))</f>
        <v>0</v>
      </c>
      <c r="P2527" s="68"/>
    </row>
    <row r="2528">
      <c r="A2528" s="95">
        <v>7.638901246E10</v>
      </c>
      <c r="B2528" s="151" t="s">
        <v>2492</v>
      </c>
      <c r="C2528" s="95" t="s">
        <v>97</v>
      </c>
      <c r="D2528" s="95">
        <v>1.0</v>
      </c>
      <c r="E2528" s="101">
        <v>28.99</v>
      </c>
      <c r="F2528" s="101">
        <f t="shared" ref="F2528:F2539" si="418">E2528*D2528</f>
        <v>28.99</v>
      </c>
      <c r="G2528" s="101">
        <f t="shared" ref="G2528:G2539" si="419">F2528/4</f>
        <v>7.2475</v>
      </c>
      <c r="H2528" s="95" t="s">
        <v>2493</v>
      </c>
      <c r="J2528" s="247" t="s">
        <v>2933</v>
      </c>
      <c r="K2528" s="89"/>
      <c r="L2528" s="90"/>
      <c r="M2528" s="90"/>
      <c r="P2528" s="68"/>
    </row>
    <row r="2529">
      <c r="A2529" s="95">
        <v>8.6569097477E10</v>
      </c>
      <c r="B2529" s="151" t="s">
        <v>2934</v>
      </c>
      <c r="C2529" s="95" t="s">
        <v>97</v>
      </c>
      <c r="D2529" s="95">
        <v>1.0</v>
      </c>
      <c r="E2529" s="101">
        <v>79.99</v>
      </c>
      <c r="F2529" s="101">
        <f t="shared" si="418"/>
        <v>79.99</v>
      </c>
      <c r="G2529" s="101">
        <f t="shared" si="419"/>
        <v>19.9975</v>
      </c>
      <c r="H2529" s="95" t="s">
        <v>2935</v>
      </c>
      <c r="J2529" s="247" t="s">
        <v>2933</v>
      </c>
      <c r="K2529" s="89"/>
      <c r="L2529" s="90"/>
      <c r="M2529" s="90"/>
      <c r="P2529" s="68"/>
    </row>
    <row r="2530">
      <c r="A2530" s="95">
        <v>8.6569295347E10</v>
      </c>
      <c r="B2530" s="151" t="s">
        <v>2936</v>
      </c>
      <c r="C2530" s="95" t="s">
        <v>97</v>
      </c>
      <c r="D2530" s="95">
        <v>1.0</v>
      </c>
      <c r="E2530" s="101">
        <v>58.2</v>
      </c>
      <c r="F2530" s="101">
        <f t="shared" si="418"/>
        <v>58.2</v>
      </c>
      <c r="G2530" s="101">
        <f t="shared" si="419"/>
        <v>14.55</v>
      </c>
      <c r="H2530" s="95" t="s">
        <v>2937</v>
      </c>
      <c r="J2530" s="247" t="s">
        <v>2933</v>
      </c>
      <c r="K2530" s="89"/>
      <c r="L2530" s="90"/>
      <c r="M2530" s="90"/>
      <c r="P2530" s="68"/>
    </row>
    <row r="2531">
      <c r="A2531" s="95">
        <v>6.75716550752E11</v>
      </c>
      <c r="B2531" s="151" t="s">
        <v>2484</v>
      </c>
      <c r="C2531" s="95" t="s">
        <v>97</v>
      </c>
      <c r="D2531" s="95">
        <v>4.0</v>
      </c>
      <c r="E2531" s="101">
        <v>34.99</v>
      </c>
      <c r="F2531" s="101">
        <f t="shared" si="418"/>
        <v>139.96</v>
      </c>
      <c r="G2531" s="101">
        <f t="shared" si="419"/>
        <v>34.99</v>
      </c>
      <c r="H2531" s="95" t="s">
        <v>2483</v>
      </c>
      <c r="J2531" s="247" t="s">
        <v>2933</v>
      </c>
      <c r="K2531" s="89"/>
      <c r="L2531" s="90"/>
      <c r="M2531" s="90"/>
      <c r="P2531" s="68"/>
    </row>
    <row r="2532">
      <c r="A2532" s="95">
        <v>6.7571662488E11</v>
      </c>
      <c r="B2532" s="151" t="s">
        <v>2938</v>
      </c>
      <c r="C2532" s="95" t="s">
        <v>97</v>
      </c>
      <c r="D2532" s="95">
        <v>1.0</v>
      </c>
      <c r="E2532" s="101">
        <v>94.99</v>
      </c>
      <c r="F2532" s="101">
        <f t="shared" si="418"/>
        <v>94.99</v>
      </c>
      <c r="G2532" s="101">
        <f t="shared" si="419"/>
        <v>23.7475</v>
      </c>
      <c r="H2532" s="95" t="s">
        <v>2568</v>
      </c>
      <c r="J2532" s="247" t="s">
        <v>2933</v>
      </c>
      <c r="K2532" s="89"/>
      <c r="L2532" s="90"/>
      <c r="M2532" s="90"/>
      <c r="P2532" s="68"/>
    </row>
    <row r="2533">
      <c r="A2533" s="95">
        <v>6.75716850012E11</v>
      </c>
      <c r="B2533" s="151" t="s">
        <v>2939</v>
      </c>
      <c r="C2533" s="95" t="s">
        <v>97</v>
      </c>
      <c r="D2533" s="95">
        <v>1.0</v>
      </c>
      <c r="E2533" s="101">
        <v>20.99</v>
      </c>
      <c r="F2533" s="101">
        <f t="shared" si="418"/>
        <v>20.99</v>
      </c>
      <c r="G2533" s="101">
        <f t="shared" si="419"/>
        <v>5.2475</v>
      </c>
      <c r="H2533" s="95" t="s">
        <v>2483</v>
      </c>
      <c r="J2533" s="247" t="s">
        <v>2933</v>
      </c>
      <c r="K2533" s="89"/>
      <c r="L2533" s="90"/>
      <c r="M2533" s="90"/>
      <c r="P2533" s="68"/>
    </row>
    <row r="2534">
      <c r="A2534" s="95">
        <v>6.75716902452E11</v>
      </c>
      <c r="B2534" s="151" t="s">
        <v>2940</v>
      </c>
      <c r="C2534" s="95" t="s">
        <v>97</v>
      </c>
      <c r="D2534" s="95">
        <v>1.0</v>
      </c>
      <c r="E2534" s="101">
        <v>97.91</v>
      </c>
      <c r="F2534" s="101">
        <f t="shared" si="418"/>
        <v>97.91</v>
      </c>
      <c r="G2534" s="101">
        <f t="shared" si="419"/>
        <v>24.4775</v>
      </c>
      <c r="H2534" s="95" t="s">
        <v>2568</v>
      </c>
      <c r="J2534" s="247" t="s">
        <v>2933</v>
      </c>
      <c r="K2534" s="89"/>
      <c r="L2534" s="90"/>
      <c r="M2534" s="90"/>
      <c r="P2534" s="68"/>
    </row>
    <row r="2535">
      <c r="A2535" s="95">
        <v>7.11081326759E11</v>
      </c>
      <c r="B2535" s="151" t="s">
        <v>2587</v>
      </c>
      <c r="C2535" s="95" t="s">
        <v>97</v>
      </c>
      <c r="D2535" s="95">
        <v>1.0</v>
      </c>
      <c r="E2535" s="101">
        <v>64.34</v>
      </c>
      <c r="F2535" s="101">
        <f t="shared" si="418"/>
        <v>64.34</v>
      </c>
      <c r="G2535" s="101">
        <f t="shared" si="419"/>
        <v>16.085</v>
      </c>
      <c r="H2535" s="95" t="s">
        <v>2588</v>
      </c>
      <c r="J2535" s="247" t="s">
        <v>2933</v>
      </c>
      <c r="K2535" s="89"/>
      <c r="L2535" s="90"/>
      <c r="M2535" s="90"/>
      <c r="P2535" s="68"/>
    </row>
    <row r="2536">
      <c r="A2536" s="95">
        <v>7.33002693542E11</v>
      </c>
      <c r="B2536" s="151" t="s">
        <v>2941</v>
      </c>
      <c r="C2536" s="95" t="s">
        <v>97</v>
      </c>
      <c r="D2536" s="95">
        <v>1.0</v>
      </c>
      <c r="E2536" s="101">
        <v>39.99</v>
      </c>
      <c r="F2536" s="101">
        <f t="shared" si="418"/>
        <v>39.99</v>
      </c>
      <c r="G2536" s="101">
        <f t="shared" si="419"/>
        <v>9.9975</v>
      </c>
      <c r="H2536" s="95" t="s">
        <v>2942</v>
      </c>
      <c r="J2536" s="247" t="s">
        <v>2933</v>
      </c>
      <c r="K2536" s="89"/>
      <c r="L2536" s="90"/>
      <c r="M2536" s="90"/>
      <c r="P2536" s="68"/>
    </row>
    <row r="2537">
      <c r="A2537" s="95">
        <v>8.43145112746E11</v>
      </c>
      <c r="B2537" s="151" t="s">
        <v>2943</v>
      </c>
      <c r="C2537" s="95" t="s">
        <v>97</v>
      </c>
      <c r="D2537" s="95">
        <v>1.0</v>
      </c>
      <c r="E2537" s="101">
        <v>319.99</v>
      </c>
      <c r="F2537" s="101">
        <f t="shared" si="418"/>
        <v>319.99</v>
      </c>
      <c r="G2537" s="101">
        <f t="shared" si="419"/>
        <v>79.9975</v>
      </c>
      <c r="H2537" s="95" t="s">
        <v>2944</v>
      </c>
      <c r="J2537" s="247" t="s">
        <v>2933</v>
      </c>
      <c r="K2537" s="89"/>
      <c r="L2537" s="90"/>
      <c r="M2537" s="90"/>
      <c r="P2537" s="68"/>
    </row>
    <row r="2538">
      <c r="A2538" s="95">
        <v>8.45951071095E11</v>
      </c>
      <c r="B2538" s="151" t="s">
        <v>2945</v>
      </c>
      <c r="C2538" s="95" t="s">
        <v>97</v>
      </c>
      <c r="D2538" s="95">
        <v>2.0</v>
      </c>
      <c r="E2538" s="101">
        <v>44.99</v>
      </c>
      <c r="F2538" s="101">
        <f t="shared" si="418"/>
        <v>89.98</v>
      </c>
      <c r="G2538" s="101">
        <f t="shared" si="419"/>
        <v>22.495</v>
      </c>
      <c r="H2538" s="95" t="s">
        <v>2946</v>
      </c>
      <c r="J2538" s="247" t="s">
        <v>2933</v>
      </c>
      <c r="K2538" s="89"/>
      <c r="L2538" s="90"/>
      <c r="M2538" s="90"/>
      <c r="P2538" s="68"/>
    </row>
    <row r="2539">
      <c r="A2539" s="95">
        <v>8.85308238726E11</v>
      </c>
      <c r="B2539" s="151" t="s">
        <v>2576</v>
      </c>
      <c r="C2539" s="95" t="s">
        <v>97</v>
      </c>
      <c r="D2539" s="95">
        <v>1.0</v>
      </c>
      <c r="E2539" s="101">
        <v>49.99</v>
      </c>
      <c r="F2539" s="101">
        <f t="shared" si="418"/>
        <v>49.99</v>
      </c>
      <c r="G2539" s="101">
        <f t="shared" si="419"/>
        <v>12.4975</v>
      </c>
      <c r="H2539" s="95" t="s">
        <v>2575</v>
      </c>
      <c r="J2539" s="247" t="s">
        <v>2933</v>
      </c>
      <c r="K2539" s="89"/>
      <c r="L2539" s="90"/>
      <c r="M2539" s="90"/>
      <c r="P2539" s="68"/>
    </row>
    <row r="2540">
      <c r="A2540" s="211"/>
      <c r="B2540" s="231" t="s">
        <v>2947</v>
      </c>
      <c r="C2540" s="234" t="str">
        <f>MID($B2540,6,7)</f>
        <v>XM18873</v>
      </c>
      <c r="D2540" s="231"/>
      <c r="E2540" s="231"/>
      <c r="F2540" s="231"/>
      <c r="G2540" s="231"/>
      <c r="H2540" s="235">
        <v>44560.0</v>
      </c>
      <c r="J2540" s="108" t="str">
        <f>IF(LEFT(B2540,3)="Box","BOX","COUNT")</f>
        <v>BOX</v>
      </c>
      <c r="K2540" s="99">
        <f>SUMIF($J$4:$J$8712,$C2540,$D$4:$D$8712)</f>
        <v>16</v>
      </c>
      <c r="L2540" s="50">
        <f>SUMIF($J$4:$J$8712,$C2540,$F$4:$F$8712)</f>
        <v>1085.32</v>
      </c>
      <c r="M2540" s="50">
        <f>SUMIF($J$4:$J$8712,$C2540,$G$4:$G$8712)</f>
        <v>271.33</v>
      </c>
      <c r="N2540" s="70" t="str">
        <f>C2540</f>
        <v>XM18873</v>
      </c>
      <c r="O2540" s="70" t="str">
        <f>J2541</f>
        <v>NSHIP</v>
      </c>
      <c r="P2540" s="68">
        <f>M2540</f>
        <v>271.33</v>
      </c>
    </row>
    <row r="2541">
      <c r="A2541" s="211"/>
      <c r="B2541" s="231"/>
      <c r="C2541" s="109"/>
      <c r="D2541" s="109"/>
      <c r="E2541" s="116"/>
      <c r="F2541" s="116"/>
      <c r="G2541" s="116"/>
      <c r="H2541" s="109"/>
      <c r="J2541" s="108" t="str">
        <f>IF(B2541="","NSHIP","SHIP")</f>
        <v>NSHIP</v>
      </c>
      <c r="K2541" s="99">
        <f>IF($J2541="NSHIP",0,-SUMIF($J$4:$J$8712,$C2540,$D$4:$D$8712))</f>
        <v>0</v>
      </c>
      <c r="L2541" s="50">
        <f>IF($J2541="NSHIP",0,-SUMIF($J$4:$J$8710,$C2540,$F$4:$F$8710))</f>
        <v>0</v>
      </c>
      <c r="M2541" s="50">
        <f>IF($J2541="NSHIP",0,-SUMIF($J$4:$J$8710,$C2540,$G$4:$G$8710))</f>
        <v>0</v>
      </c>
      <c r="P2541" s="68"/>
    </row>
    <row r="2542">
      <c r="A2542" s="95">
        <v>3.8992917631E10</v>
      </c>
      <c r="B2542" s="151" t="s">
        <v>2948</v>
      </c>
      <c r="C2542" s="95" t="s">
        <v>97</v>
      </c>
      <c r="D2542" s="95">
        <v>1.0</v>
      </c>
      <c r="E2542" s="101">
        <v>279.99</v>
      </c>
      <c r="F2542" s="101">
        <f t="shared" ref="F2542:F2547" si="420">E2542*D2542</f>
        <v>279.99</v>
      </c>
      <c r="G2542" s="101">
        <f t="shared" ref="G2542:G2547" si="421">F2542/4</f>
        <v>69.9975</v>
      </c>
      <c r="H2542" s="95" t="s">
        <v>2566</v>
      </c>
      <c r="J2542" s="247" t="s">
        <v>2949</v>
      </c>
      <c r="K2542" s="89"/>
      <c r="L2542" s="90"/>
      <c r="M2542" s="90"/>
      <c r="P2542" s="68"/>
    </row>
    <row r="2543">
      <c r="A2543" s="95">
        <v>7.638901246E10</v>
      </c>
      <c r="B2543" s="151" t="s">
        <v>2492</v>
      </c>
      <c r="C2543" s="95" t="s">
        <v>97</v>
      </c>
      <c r="D2543" s="95">
        <v>2.0</v>
      </c>
      <c r="E2543" s="101">
        <v>28.99</v>
      </c>
      <c r="F2543" s="101">
        <f t="shared" si="420"/>
        <v>57.98</v>
      </c>
      <c r="G2543" s="101">
        <f t="shared" si="421"/>
        <v>14.495</v>
      </c>
      <c r="H2543" s="95" t="s">
        <v>2493</v>
      </c>
      <c r="J2543" s="247" t="s">
        <v>2949</v>
      </c>
      <c r="K2543" s="89"/>
      <c r="L2543" s="90"/>
      <c r="M2543" s="90"/>
      <c r="P2543" s="68"/>
    </row>
    <row r="2544">
      <c r="A2544" s="95">
        <v>8.6569045041E10</v>
      </c>
      <c r="B2544" s="151" t="s">
        <v>2950</v>
      </c>
      <c r="C2544" s="95" t="s">
        <v>97</v>
      </c>
      <c r="D2544" s="95">
        <v>1.0</v>
      </c>
      <c r="E2544" s="101">
        <v>214.99</v>
      </c>
      <c r="F2544" s="101">
        <f t="shared" si="420"/>
        <v>214.99</v>
      </c>
      <c r="G2544" s="101">
        <f t="shared" si="421"/>
        <v>53.7475</v>
      </c>
      <c r="H2544" s="95" t="s">
        <v>2483</v>
      </c>
      <c r="J2544" s="247" t="s">
        <v>2949</v>
      </c>
      <c r="K2544" s="89"/>
      <c r="L2544" s="90"/>
      <c r="M2544" s="90"/>
      <c r="P2544" s="68"/>
    </row>
    <row r="2545">
      <c r="A2545" s="95">
        <v>8.656931215E10</v>
      </c>
      <c r="B2545" s="151" t="s">
        <v>2951</v>
      </c>
      <c r="C2545" s="95" t="s">
        <v>97</v>
      </c>
      <c r="D2545" s="95">
        <v>1.0</v>
      </c>
      <c r="E2545" s="101">
        <v>72.99</v>
      </c>
      <c r="F2545" s="101">
        <f t="shared" si="420"/>
        <v>72.99</v>
      </c>
      <c r="G2545" s="101">
        <f t="shared" si="421"/>
        <v>18.2475</v>
      </c>
      <c r="H2545" s="95" t="s">
        <v>2483</v>
      </c>
      <c r="J2545" s="247" t="s">
        <v>2949</v>
      </c>
      <c r="K2545" s="89"/>
      <c r="L2545" s="90"/>
      <c r="M2545" s="90"/>
      <c r="P2545" s="68"/>
    </row>
    <row r="2546">
      <c r="A2546" s="95">
        <v>6.79610819083E11</v>
      </c>
      <c r="B2546" s="151" t="s">
        <v>2952</v>
      </c>
      <c r="C2546" s="95" t="s">
        <v>97</v>
      </c>
      <c r="D2546" s="95">
        <v>1.0</v>
      </c>
      <c r="E2546" s="101">
        <v>95.99</v>
      </c>
      <c r="F2546" s="101">
        <f t="shared" si="420"/>
        <v>95.99</v>
      </c>
      <c r="G2546" s="101">
        <f t="shared" si="421"/>
        <v>23.9975</v>
      </c>
      <c r="H2546" s="95" t="s">
        <v>2953</v>
      </c>
      <c r="J2546" s="247" t="s">
        <v>2949</v>
      </c>
      <c r="K2546" s="89"/>
      <c r="L2546" s="90"/>
      <c r="M2546" s="90"/>
      <c r="P2546" s="68"/>
    </row>
    <row r="2547">
      <c r="A2547" s="95">
        <v>8.45951071095E11</v>
      </c>
      <c r="B2547" s="151" t="s">
        <v>2945</v>
      </c>
      <c r="C2547" s="95" t="s">
        <v>97</v>
      </c>
      <c r="D2547" s="95">
        <v>1.0</v>
      </c>
      <c r="E2547" s="101">
        <v>44.99</v>
      </c>
      <c r="F2547" s="101">
        <f t="shared" si="420"/>
        <v>44.99</v>
      </c>
      <c r="G2547" s="101">
        <f t="shared" si="421"/>
        <v>11.2475</v>
      </c>
      <c r="H2547" s="95" t="s">
        <v>2946</v>
      </c>
      <c r="J2547" s="247" t="s">
        <v>2949</v>
      </c>
      <c r="K2547" s="89"/>
      <c r="L2547" s="90"/>
      <c r="M2547" s="90"/>
      <c r="P2547" s="68"/>
    </row>
    <row r="2548">
      <c r="A2548" s="211"/>
      <c r="B2548" s="231" t="s">
        <v>2954</v>
      </c>
      <c r="C2548" s="234" t="str">
        <f>MID($B2548,6,7)</f>
        <v>XM18874</v>
      </c>
      <c r="D2548" s="231"/>
      <c r="E2548" s="231"/>
      <c r="F2548" s="231"/>
      <c r="G2548" s="231"/>
      <c r="H2548" s="235">
        <v>44560.0</v>
      </c>
      <c r="J2548" s="108" t="str">
        <f>IF(LEFT(B2548,3)="Box","BOX","COUNT")</f>
        <v>BOX</v>
      </c>
      <c r="K2548" s="99">
        <f>SUMIF($J$4:$J$8712,$C2548,$D$4:$D$8712)</f>
        <v>7</v>
      </c>
      <c r="L2548" s="50">
        <f>SUMIF($J$4:$J$8712,$C2548,$F$4:$F$8712)</f>
        <v>766.93</v>
      </c>
      <c r="M2548" s="50">
        <f>SUMIF($J$4:$J$8712,$C2548,$G$4:$G$8712)</f>
        <v>191.7325</v>
      </c>
      <c r="N2548" s="70" t="str">
        <f>C2548</f>
        <v>XM18874</v>
      </c>
      <c r="O2548" s="70" t="str">
        <f>J2549</f>
        <v>NSHIP</v>
      </c>
      <c r="P2548" s="68">
        <f>M2548</f>
        <v>191.7325</v>
      </c>
    </row>
    <row r="2549">
      <c r="A2549" s="211"/>
      <c r="B2549" s="231"/>
      <c r="C2549" s="109"/>
      <c r="D2549" s="109"/>
      <c r="E2549" s="116"/>
      <c r="F2549" s="116"/>
      <c r="G2549" s="116"/>
      <c r="H2549" s="109"/>
      <c r="J2549" s="108" t="str">
        <f>IF(B2549="","NSHIP","SHIP")</f>
        <v>NSHIP</v>
      </c>
      <c r="K2549" s="99">
        <f>IF($J2549="NSHIP",0,-SUMIF($J$4:$J$8712,$C2548,$D$4:$D$8712))</f>
        <v>0</v>
      </c>
      <c r="L2549" s="50">
        <f>IF($J2549="NSHIP",0,-SUMIF($J$4:$J$8710,$C2548,$F$4:$F$8710))</f>
        <v>0</v>
      </c>
      <c r="M2549" s="50">
        <f>IF($J2549="NSHIP",0,-SUMIF($J$4:$J$8710,$C2548,$G$4:$G$8710))</f>
        <v>0</v>
      </c>
      <c r="P2549" s="68"/>
    </row>
    <row r="2550">
      <c r="A2550" s="95">
        <v>7.638901246E10</v>
      </c>
      <c r="B2550" s="151" t="s">
        <v>2492</v>
      </c>
      <c r="C2550" s="95" t="s">
        <v>97</v>
      </c>
      <c r="D2550" s="95">
        <v>4.0</v>
      </c>
      <c r="E2550" s="101">
        <v>28.99</v>
      </c>
      <c r="F2550" s="101">
        <f t="shared" ref="F2550:F2555" si="422">E2550*D2550</f>
        <v>115.96</v>
      </c>
      <c r="G2550" s="101">
        <f t="shared" ref="G2550:G2555" si="423">F2550/4</f>
        <v>28.99</v>
      </c>
      <c r="H2550" s="95" t="s">
        <v>2493</v>
      </c>
      <c r="J2550" s="247" t="s">
        <v>2955</v>
      </c>
      <c r="K2550" s="89"/>
      <c r="L2550" s="90"/>
      <c r="M2550" s="90"/>
      <c r="P2550" s="68"/>
    </row>
    <row r="2551">
      <c r="A2551" s="95">
        <v>8.6569915955E10</v>
      </c>
      <c r="B2551" s="151" t="s">
        <v>2558</v>
      </c>
      <c r="C2551" s="95" t="s">
        <v>97</v>
      </c>
      <c r="D2551" s="95">
        <v>1.0</v>
      </c>
      <c r="E2551" s="101">
        <v>199.99</v>
      </c>
      <c r="F2551" s="101">
        <f t="shared" si="422"/>
        <v>199.99</v>
      </c>
      <c r="G2551" s="101">
        <f t="shared" si="423"/>
        <v>49.9975</v>
      </c>
      <c r="H2551" s="95" t="s">
        <v>2510</v>
      </c>
      <c r="J2551" s="247" t="s">
        <v>2955</v>
      </c>
      <c r="K2551" s="89"/>
      <c r="L2551" s="90"/>
      <c r="M2551" s="90"/>
      <c r="P2551" s="68"/>
    </row>
    <row r="2552">
      <c r="A2552" s="95">
        <v>6.75716550752E11</v>
      </c>
      <c r="B2552" s="151" t="s">
        <v>2484</v>
      </c>
      <c r="C2552" s="95" t="s">
        <v>97</v>
      </c>
      <c r="D2552" s="95">
        <v>2.0</v>
      </c>
      <c r="E2552" s="101">
        <v>34.99</v>
      </c>
      <c r="F2552" s="101">
        <f t="shared" si="422"/>
        <v>69.98</v>
      </c>
      <c r="G2552" s="101">
        <f t="shared" si="423"/>
        <v>17.495</v>
      </c>
      <c r="H2552" s="95" t="s">
        <v>2483</v>
      </c>
      <c r="J2552" s="247" t="s">
        <v>2955</v>
      </c>
      <c r="K2552" s="89"/>
      <c r="L2552" s="90"/>
      <c r="M2552" s="90"/>
      <c r="P2552" s="68"/>
    </row>
    <row r="2553">
      <c r="A2553" s="95">
        <v>6.75716562977E11</v>
      </c>
      <c r="B2553" s="151" t="s">
        <v>2956</v>
      </c>
      <c r="C2553" s="95" t="s">
        <v>97</v>
      </c>
      <c r="D2553" s="95">
        <v>1.0</v>
      </c>
      <c r="E2553" s="101">
        <v>33.99</v>
      </c>
      <c r="F2553" s="101">
        <f t="shared" si="422"/>
        <v>33.99</v>
      </c>
      <c r="G2553" s="101">
        <f t="shared" si="423"/>
        <v>8.4975</v>
      </c>
      <c r="H2553" s="95" t="s">
        <v>2483</v>
      </c>
      <c r="J2553" s="247" t="s">
        <v>2955</v>
      </c>
      <c r="K2553" s="89"/>
      <c r="L2553" s="90"/>
      <c r="M2553" s="90"/>
      <c r="P2553" s="68"/>
    </row>
    <row r="2554">
      <c r="A2554" s="95">
        <v>6.75716644185E11</v>
      </c>
      <c r="B2554" s="151" t="s">
        <v>2957</v>
      </c>
      <c r="C2554" s="95" t="s">
        <v>97</v>
      </c>
      <c r="D2554" s="95">
        <v>1.0</v>
      </c>
      <c r="E2554" s="101">
        <v>140.0</v>
      </c>
      <c r="F2554" s="101">
        <f t="shared" si="422"/>
        <v>140</v>
      </c>
      <c r="G2554" s="101">
        <f t="shared" si="423"/>
        <v>35</v>
      </c>
      <c r="H2554" s="95" t="s">
        <v>2483</v>
      </c>
      <c r="J2554" s="247" t="s">
        <v>2955</v>
      </c>
      <c r="K2554" s="89"/>
      <c r="L2554" s="90"/>
      <c r="M2554" s="90"/>
      <c r="P2554" s="68"/>
    </row>
    <row r="2555">
      <c r="A2555" s="95">
        <v>6.75716676391E11</v>
      </c>
      <c r="B2555" s="151" t="s">
        <v>2958</v>
      </c>
      <c r="C2555" s="95" t="s">
        <v>97</v>
      </c>
      <c r="D2555" s="95">
        <v>1.0</v>
      </c>
      <c r="E2555" s="101">
        <v>54.99</v>
      </c>
      <c r="F2555" s="101">
        <f t="shared" si="422"/>
        <v>54.99</v>
      </c>
      <c r="G2555" s="101">
        <f t="shared" si="423"/>
        <v>13.7475</v>
      </c>
      <c r="H2555" s="95" t="s">
        <v>2568</v>
      </c>
      <c r="J2555" s="247" t="s">
        <v>2955</v>
      </c>
      <c r="K2555" s="89"/>
      <c r="L2555" s="90"/>
      <c r="M2555" s="90"/>
      <c r="P2555" s="68"/>
    </row>
    <row r="2556">
      <c r="A2556" s="211"/>
      <c r="B2556" s="231" t="s">
        <v>2959</v>
      </c>
      <c r="C2556" s="234" t="str">
        <f>MID($B2556,6,7)</f>
        <v>XM18875</v>
      </c>
      <c r="D2556" s="231"/>
      <c r="E2556" s="231"/>
      <c r="F2556" s="231"/>
      <c r="G2556" s="231"/>
      <c r="H2556" s="235">
        <v>44560.0</v>
      </c>
      <c r="J2556" s="108" t="str">
        <f>IF(LEFT(B2556,3)="Box","BOX","COUNT")</f>
        <v>BOX</v>
      </c>
      <c r="K2556" s="99">
        <f>SUMIF($J$4:$J$8712,$C2556,$D$4:$D$8712)</f>
        <v>10</v>
      </c>
      <c r="L2556" s="50">
        <f>SUMIF($J$4:$J$8712,$C2556,$F$4:$F$8712)</f>
        <v>614.91</v>
      </c>
      <c r="M2556" s="50">
        <f>SUMIF($J$4:$J$8712,$C2556,$G$4:$G$8712)</f>
        <v>153.7275</v>
      </c>
      <c r="N2556" s="70" t="str">
        <f>C2556</f>
        <v>XM18875</v>
      </c>
      <c r="O2556" s="70" t="str">
        <f>J2557</f>
        <v>NSHIP</v>
      </c>
      <c r="P2556" s="68">
        <f>M2556</f>
        <v>153.7275</v>
      </c>
    </row>
    <row r="2557">
      <c r="A2557" s="211"/>
      <c r="B2557" s="231"/>
      <c r="C2557" s="109"/>
      <c r="D2557" s="109"/>
      <c r="E2557" s="116"/>
      <c r="F2557" s="116"/>
      <c r="G2557" s="116"/>
      <c r="H2557" s="109"/>
      <c r="J2557" s="108" t="str">
        <f>IF(B2557="","NSHIP","SHIP")</f>
        <v>NSHIP</v>
      </c>
      <c r="K2557" s="99">
        <f>IF($J2557="NSHIP",0,-SUMIF($J$4:$J$8712,$C2556,$D$4:$D$8712))</f>
        <v>0</v>
      </c>
      <c r="L2557" s="50">
        <f>IF($J2557="NSHIP",0,-SUMIF($J$4:$J$8710,$C2556,$F$4:$F$8710))</f>
        <v>0</v>
      </c>
      <c r="M2557" s="50">
        <f>IF($J2557="NSHIP",0,-SUMIF($J$4:$J$8710,$C2556,$G$4:$G$8710))</f>
        <v>0</v>
      </c>
      <c r="P2557" s="68"/>
    </row>
    <row r="2558">
      <c r="A2558" s="95">
        <v>1.0482002843E10</v>
      </c>
      <c r="B2558" s="151" t="s">
        <v>2960</v>
      </c>
      <c r="C2558" s="95" t="s">
        <v>97</v>
      </c>
      <c r="D2558" s="95">
        <v>1.0</v>
      </c>
      <c r="E2558" s="101">
        <v>62.99</v>
      </c>
      <c r="F2558" s="101">
        <f t="shared" ref="F2558:F2565" si="424">E2558*D2558</f>
        <v>62.99</v>
      </c>
      <c r="G2558" s="101">
        <f t="shared" ref="G2558:G2565" si="425">F2558/4</f>
        <v>15.7475</v>
      </c>
      <c r="H2558" s="95" t="s">
        <v>2961</v>
      </c>
      <c r="J2558" s="247" t="s">
        <v>2962</v>
      </c>
      <c r="K2558" s="89"/>
      <c r="L2558" s="90"/>
      <c r="M2558" s="90"/>
      <c r="P2558" s="68"/>
    </row>
    <row r="2559">
      <c r="A2559" s="95">
        <v>2.7399035567E10</v>
      </c>
      <c r="B2559" s="151" t="s">
        <v>2963</v>
      </c>
      <c r="C2559" s="95" t="s">
        <v>97</v>
      </c>
      <c r="D2559" s="95">
        <v>1.0</v>
      </c>
      <c r="E2559" s="101">
        <v>29.99</v>
      </c>
      <c r="F2559" s="101">
        <f t="shared" si="424"/>
        <v>29.99</v>
      </c>
      <c r="G2559" s="101">
        <f t="shared" si="425"/>
        <v>7.4975</v>
      </c>
      <c r="H2559" s="95" t="s">
        <v>2537</v>
      </c>
      <c r="J2559" s="247" t="s">
        <v>2962</v>
      </c>
      <c r="K2559" s="89"/>
      <c r="L2559" s="90"/>
      <c r="M2559" s="90"/>
      <c r="P2559" s="68"/>
    </row>
    <row r="2560">
      <c r="A2560" s="95">
        <v>8.6569037237E10</v>
      </c>
      <c r="B2560" s="151" t="s">
        <v>2556</v>
      </c>
      <c r="C2560" s="95" t="s">
        <v>97</v>
      </c>
      <c r="D2560" s="95">
        <v>1.0</v>
      </c>
      <c r="E2560" s="101">
        <v>44.99</v>
      </c>
      <c r="F2560" s="101">
        <f t="shared" si="424"/>
        <v>44.99</v>
      </c>
      <c r="G2560" s="101">
        <f t="shared" si="425"/>
        <v>11.2475</v>
      </c>
      <c r="H2560" s="95" t="s">
        <v>2483</v>
      </c>
      <c r="J2560" s="247" t="s">
        <v>2962</v>
      </c>
      <c r="K2560" s="89"/>
      <c r="L2560" s="90"/>
      <c r="M2560" s="90"/>
      <c r="P2560" s="68"/>
    </row>
    <row r="2561">
      <c r="A2561" s="95">
        <v>1.90945066855E11</v>
      </c>
      <c r="B2561" s="151" t="s">
        <v>2964</v>
      </c>
      <c r="C2561" s="95" t="s">
        <v>97</v>
      </c>
      <c r="D2561" s="95">
        <v>1.0</v>
      </c>
      <c r="E2561" s="101">
        <v>32.0</v>
      </c>
      <c r="F2561" s="101">
        <f t="shared" si="424"/>
        <v>32</v>
      </c>
      <c r="G2561" s="101">
        <f t="shared" si="425"/>
        <v>8</v>
      </c>
      <c r="H2561" s="95" t="s">
        <v>2506</v>
      </c>
      <c r="J2561" s="247" t="s">
        <v>2962</v>
      </c>
      <c r="K2561" s="89"/>
      <c r="L2561" s="90"/>
      <c r="M2561" s="90"/>
      <c r="P2561" s="68"/>
    </row>
    <row r="2562">
      <c r="A2562" s="95">
        <v>6.51896642821E11</v>
      </c>
      <c r="B2562" s="151" t="s">
        <v>2926</v>
      </c>
      <c r="C2562" s="95" t="s">
        <v>97</v>
      </c>
      <c r="D2562" s="95">
        <v>1.0</v>
      </c>
      <c r="E2562" s="101">
        <v>14.99</v>
      </c>
      <c r="F2562" s="101">
        <f t="shared" si="424"/>
        <v>14.99</v>
      </c>
      <c r="G2562" s="101">
        <f t="shared" si="425"/>
        <v>3.7475</v>
      </c>
      <c r="H2562" s="95" t="s">
        <v>2927</v>
      </c>
      <c r="J2562" s="247" t="s">
        <v>2962</v>
      </c>
      <c r="K2562" s="89"/>
      <c r="L2562" s="90"/>
      <c r="M2562" s="90"/>
      <c r="P2562" s="68"/>
    </row>
    <row r="2563">
      <c r="A2563" s="95">
        <v>6.75716783938E11</v>
      </c>
      <c r="B2563" s="151" t="s">
        <v>2965</v>
      </c>
      <c r="C2563" s="95" t="s">
        <v>97</v>
      </c>
      <c r="D2563" s="95">
        <v>1.0</v>
      </c>
      <c r="E2563" s="101">
        <v>88.99</v>
      </c>
      <c r="F2563" s="101">
        <f t="shared" si="424"/>
        <v>88.99</v>
      </c>
      <c r="G2563" s="101">
        <f t="shared" si="425"/>
        <v>22.2475</v>
      </c>
      <c r="H2563" s="95" t="s">
        <v>2483</v>
      </c>
      <c r="J2563" s="247" t="s">
        <v>2962</v>
      </c>
      <c r="K2563" s="89"/>
      <c r="L2563" s="90"/>
      <c r="M2563" s="90"/>
      <c r="P2563" s="68"/>
    </row>
    <row r="2564">
      <c r="A2564" s="95">
        <v>6.75716986346E11</v>
      </c>
      <c r="B2564" s="151" t="s">
        <v>2509</v>
      </c>
      <c r="C2564" s="95" t="s">
        <v>97</v>
      </c>
      <c r="D2564" s="95">
        <v>1.0</v>
      </c>
      <c r="E2564" s="101">
        <v>103.33</v>
      </c>
      <c r="F2564" s="101">
        <f t="shared" si="424"/>
        <v>103.33</v>
      </c>
      <c r="G2564" s="101">
        <f t="shared" si="425"/>
        <v>25.8325</v>
      </c>
      <c r="H2564" s="95" t="s">
        <v>2510</v>
      </c>
      <c r="J2564" s="247" t="s">
        <v>2962</v>
      </c>
      <c r="K2564" s="89"/>
      <c r="L2564" s="90"/>
      <c r="M2564" s="90"/>
      <c r="P2564" s="68"/>
    </row>
    <row r="2565">
      <c r="A2565" s="95">
        <v>8.85308097101E11</v>
      </c>
      <c r="B2565" s="151" t="s">
        <v>2574</v>
      </c>
      <c r="C2565" s="95" t="s">
        <v>97</v>
      </c>
      <c r="D2565" s="95">
        <v>4.0</v>
      </c>
      <c r="E2565" s="101">
        <v>26.99</v>
      </c>
      <c r="F2565" s="101">
        <f t="shared" si="424"/>
        <v>107.96</v>
      </c>
      <c r="G2565" s="101">
        <f t="shared" si="425"/>
        <v>26.99</v>
      </c>
      <c r="H2565" s="95" t="s">
        <v>2575</v>
      </c>
      <c r="J2565" s="247" t="s">
        <v>2962</v>
      </c>
      <c r="K2565" s="89"/>
      <c r="L2565" s="90"/>
      <c r="M2565" s="90"/>
      <c r="P2565" s="68"/>
    </row>
    <row r="2566">
      <c r="A2566" s="211"/>
      <c r="B2566" s="231" t="s">
        <v>2966</v>
      </c>
      <c r="C2566" s="234" t="str">
        <f>MID($B2566,6,7)</f>
        <v>XM18876</v>
      </c>
      <c r="D2566" s="231"/>
      <c r="E2566" s="231"/>
      <c r="F2566" s="231"/>
      <c r="G2566" s="231"/>
      <c r="H2566" s="235">
        <v>44560.0</v>
      </c>
      <c r="J2566" s="108" t="str">
        <f>IF(LEFT(B2566,3)="Box","BOX","COUNT")</f>
        <v>BOX</v>
      </c>
      <c r="K2566" s="99">
        <f>SUMIF($J$4:$J$8712,$C2566,$D$4:$D$8712)</f>
        <v>11</v>
      </c>
      <c r="L2566" s="50">
        <f>SUMIF($J$4:$J$8712,$C2566,$F$4:$F$8712)</f>
        <v>485.24</v>
      </c>
      <c r="M2566" s="50">
        <f>SUMIF($J$4:$J$8712,$C2566,$G$4:$G$8712)</f>
        <v>121.31</v>
      </c>
      <c r="N2566" s="70" t="str">
        <f>C2566</f>
        <v>XM18876</v>
      </c>
      <c r="O2566" s="70" t="str">
        <f>J2567</f>
        <v>NSHIP</v>
      </c>
      <c r="P2566" s="68">
        <f>M2566</f>
        <v>121.31</v>
      </c>
    </row>
    <row r="2567">
      <c r="A2567" s="211"/>
      <c r="B2567" s="231"/>
      <c r="C2567" s="109"/>
      <c r="D2567" s="109"/>
      <c r="E2567" s="116"/>
      <c r="F2567" s="116"/>
      <c r="G2567" s="116"/>
      <c r="H2567" s="109"/>
      <c r="J2567" s="108" t="str">
        <f>IF(B2567="","NSHIP","SHIP")</f>
        <v>NSHIP</v>
      </c>
      <c r="K2567" s="99">
        <f>IF($J2567="NSHIP",0,-SUMIF($J$4:$J$8712,$C2566,$D$4:$D$8712))</f>
        <v>0</v>
      </c>
      <c r="L2567" s="50">
        <f>IF($J2567="NSHIP",0,-SUMIF($J$4:$J$8710,$C2566,$F$4:$F$8710))</f>
        <v>0</v>
      </c>
      <c r="M2567" s="50">
        <f>IF($J2567="NSHIP",0,-SUMIF($J$4:$J$8710,$C2566,$G$4:$G$8710))</f>
        <v>0</v>
      </c>
      <c r="P2567" s="68"/>
    </row>
    <row r="2568">
      <c r="A2568" s="95">
        <v>2.9927435207E10</v>
      </c>
      <c r="B2568" s="151" t="s">
        <v>2967</v>
      </c>
      <c r="C2568" s="95" t="s">
        <v>97</v>
      </c>
      <c r="D2568" s="95">
        <v>1.0</v>
      </c>
      <c r="E2568" s="101">
        <v>19.99</v>
      </c>
      <c r="F2568" s="101">
        <f t="shared" ref="F2568:F2578" si="426">E2568*D2568</f>
        <v>19.99</v>
      </c>
      <c r="G2568" s="101">
        <f t="shared" ref="G2568:G2578" si="427">F2568/4</f>
        <v>4.9975</v>
      </c>
      <c r="H2568" s="95" t="s">
        <v>2479</v>
      </c>
      <c r="J2568" s="247" t="s">
        <v>2968</v>
      </c>
      <c r="K2568" s="89"/>
      <c r="L2568" s="90"/>
      <c r="M2568" s="90"/>
      <c r="P2568" s="68"/>
    </row>
    <row r="2569">
      <c r="A2569" s="95">
        <v>2.9927450842E10</v>
      </c>
      <c r="B2569" s="151" t="s">
        <v>2563</v>
      </c>
      <c r="C2569" s="95" t="s">
        <v>97</v>
      </c>
      <c r="D2569" s="95">
        <v>1.0</v>
      </c>
      <c r="E2569" s="101">
        <v>15.99</v>
      </c>
      <c r="F2569" s="101">
        <f t="shared" si="426"/>
        <v>15.99</v>
      </c>
      <c r="G2569" s="101">
        <f t="shared" si="427"/>
        <v>3.9975</v>
      </c>
      <c r="H2569" s="95" t="s">
        <v>2479</v>
      </c>
      <c r="J2569" s="247" t="s">
        <v>2968</v>
      </c>
      <c r="K2569" s="89"/>
      <c r="L2569" s="90"/>
      <c r="M2569" s="90"/>
      <c r="P2569" s="68"/>
    </row>
    <row r="2570">
      <c r="A2570" s="95">
        <v>3.8992030194E10</v>
      </c>
      <c r="B2570" s="151" t="s">
        <v>2565</v>
      </c>
      <c r="C2570" s="95" t="s">
        <v>97</v>
      </c>
      <c r="D2570" s="95">
        <v>1.0</v>
      </c>
      <c r="E2570" s="101">
        <v>49.99</v>
      </c>
      <c r="F2570" s="101">
        <f t="shared" si="426"/>
        <v>49.99</v>
      </c>
      <c r="G2570" s="101">
        <f t="shared" si="427"/>
        <v>12.4975</v>
      </c>
      <c r="H2570" s="95" t="s">
        <v>2566</v>
      </c>
      <c r="J2570" s="247" t="s">
        <v>2968</v>
      </c>
      <c r="K2570" s="89"/>
      <c r="L2570" s="90"/>
      <c r="M2570" s="90"/>
      <c r="P2570" s="68"/>
    </row>
    <row r="2571">
      <c r="A2571" s="95">
        <v>4.7293451263E10</v>
      </c>
      <c r="B2571" s="151" t="s">
        <v>2490</v>
      </c>
      <c r="C2571" s="95" t="s">
        <v>97</v>
      </c>
      <c r="D2571" s="95">
        <v>2.0</v>
      </c>
      <c r="E2571" s="101">
        <v>23.99</v>
      </c>
      <c r="F2571" s="101">
        <f t="shared" si="426"/>
        <v>47.98</v>
      </c>
      <c r="G2571" s="101">
        <f t="shared" si="427"/>
        <v>11.995</v>
      </c>
      <c r="H2571" s="95" t="s">
        <v>2491</v>
      </c>
      <c r="J2571" s="247" t="s">
        <v>2968</v>
      </c>
      <c r="K2571" s="89"/>
      <c r="L2571" s="90"/>
      <c r="M2571" s="90"/>
      <c r="P2571" s="68"/>
    </row>
    <row r="2572">
      <c r="A2572" s="95">
        <v>5.4006616895E10</v>
      </c>
      <c r="B2572" s="151" t="s">
        <v>2503</v>
      </c>
      <c r="C2572" s="95" t="s">
        <v>97</v>
      </c>
      <c r="D2572" s="95">
        <v>2.0</v>
      </c>
      <c r="E2572" s="101">
        <v>24.99</v>
      </c>
      <c r="F2572" s="101">
        <f t="shared" si="426"/>
        <v>49.98</v>
      </c>
      <c r="G2572" s="101">
        <f t="shared" si="427"/>
        <v>12.495</v>
      </c>
      <c r="H2572" s="95" t="s">
        <v>2504</v>
      </c>
      <c r="J2572" s="247" t="s">
        <v>2968</v>
      </c>
      <c r="K2572" s="89"/>
      <c r="L2572" s="90"/>
      <c r="M2572" s="90"/>
      <c r="P2572" s="68"/>
    </row>
    <row r="2573">
      <c r="A2573" s="95">
        <v>7.638901246E10</v>
      </c>
      <c r="B2573" s="151" t="s">
        <v>2492</v>
      </c>
      <c r="C2573" s="95" t="s">
        <v>97</v>
      </c>
      <c r="D2573" s="95">
        <v>2.0</v>
      </c>
      <c r="E2573" s="101">
        <v>28.99</v>
      </c>
      <c r="F2573" s="101">
        <f t="shared" si="426"/>
        <v>57.98</v>
      </c>
      <c r="G2573" s="101">
        <f t="shared" si="427"/>
        <v>14.495</v>
      </c>
      <c r="H2573" s="95" t="s">
        <v>2493</v>
      </c>
      <c r="J2573" s="247" t="s">
        <v>2968</v>
      </c>
      <c r="K2573" s="89"/>
      <c r="L2573" s="90"/>
      <c r="M2573" s="90"/>
      <c r="P2573" s="68"/>
    </row>
    <row r="2574">
      <c r="A2574" s="95">
        <v>6.75716534899E11</v>
      </c>
      <c r="B2574" s="151" t="s">
        <v>2969</v>
      </c>
      <c r="C2574" s="95" t="s">
        <v>97</v>
      </c>
      <c r="D2574" s="95">
        <v>1.0</v>
      </c>
      <c r="E2574" s="101">
        <v>159.99</v>
      </c>
      <c r="F2574" s="101">
        <f t="shared" si="426"/>
        <v>159.99</v>
      </c>
      <c r="G2574" s="101">
        <f t="shared" si="427"/>
        <v>39.9975</v>
      </c>
      <c r="H2574" s="95" t="s">
        <v>2483</v>
      </c>
      <c r="J2574" s="247" t="s">
        <v>2968</v>
      </c>
      <c r="K2574" s="89"/>
      <c r="L2574" s="90"/>
      <c r="M2574" s="90"/>
      <c r="P2574" s="68"/>
    </row>
    <row r="2575">
      <c r="A2575" s="95">
        <v>6.75716802264E11</v>
      </c>
      <c r="B2575" s="151" t="s">
        <v>2970</v>
      </c>
      <c r="C2575" s="95" t="s">
        <v>97</v>
      </c>
      <c r="D2575" s="95">
        <v>1.0</v>
      </c>
      <c r="E2575" s="101">
        <v>27.99</v>
      </c>
      <c r="F2575" s="101">
        <f t="shared" si="426"/>
        <v>27.99</v>
      </c>
      <c r="G2575" s="101">
        <f t="shared" si="427"/>
        <v>6.9975</v>
      </c>
      <c r="H2575" s="95" t="s">
        <v>2483</v>
      </c>
      <c r="J2575" s="247" t="s">
        <v>2968</v>
      </c>
      <c r="K2575" s="89"/>
      <c r="L2575" s="90"/>
      <c r="M2575" s="90"/>
      <c r="P2575" s="68"/>
    </row>
    <row r="2576">
      <c r="A2576" s="95">
        <v>7.46885368803E11</v>
      </c>
      <c r="B2576" s="151" t="s">
        <v>2971</v>
      </c>
      <c r="C2576" s="95" t="s">
        <v>97</v>
      </c>
      <c r="D2576" s="95">
        <v>1.0</v>
      </c>
      <c r="E2576" s="101">
        <v>27.99</v>
      </c>
      <c r="F2576" s="101">
        <f t="shared" si="426"/>
        <v>27.99</v>
      </c>
      <c r="G2576" s="101">
        <f t="shared" si="427"/>
        <v>6.9975</v>
      </c>
      <c r="H2576" s="95" t="s">
        <v>2972</v>
      </c>
      <c r="J2576" s="247" t="s">
        <v>2968</v>
      </c>
      <c r="K2576" s="89"/>
      <c r="L2576" s="90"/>
      <c r="M2576" s="90"/>
      <c r="P2576" s="68"/>
    </row>
    <row r="2577">
      <c r="A2577" s="95">
        <v>7.83048023919E11</v>
      </c>
      <c r="B2577" s="151" t="s">
        <v>2973</v>
      </c>
      <c r="C2577" s="95" t="s">
        <v>97</v>
      </c>
      <c r="D2577" s="95">
        <v>1.0</v>
      </c>
      <c r="E2577" s="101">
        <v>38.99</v>
      </c>
      <c r="F2577" s="101">
        <f t="shared" si="426"/>
        <v>38.99</v>
      </c>
      <c r="G2577" s="101">
        <f t="shared" si="427"/>
        <v>9.7475</v>
      </c>
      <c r="H2577" s="95" t="s">
        <v>2514</v>
      </c>
      <c r="J2577" s="247" t="s">
        <v>2968</v>
      </c>
      <c r="K2577" s="89"/>
      <c r="L2577" s="90"/>
      <c r="M2577" s="90"/>
      <c r="P2577" s="68"/>
    </row>
    <row r="2578">
      <c r="A2578" s="95">
        <v>8.41323130193E11</v>
      </c>
      <c r="B2578" s="151" t="s">
        <v>2974</v>
      </c>
      <c r="C2578" s="95" t="s">
        <v>97</v>
      </c>
      <c r="D2578" s="95">
        <v>1.0</v>
      </c>
      <c r="E2578" s="101">
        <v>88.99</v>
      </c>
      <c r="F2578" s="101">
        <f t="shared" si="426"/>
        <v>88.99</v>
      </c>
      <c r="G2578" s="101">
        <f t="shared" si="427"/>
        <v>22.2475</v>
      </c>
      <c r="H2578" s="95" t="s">
        <v>2975</v>
      </c>
      <c r="J2578" s="247" t="s">
        <v>2968</v>
      </c>
      <c r="K2578" s="89"/>
      <c r="L2578" s="90"/>
      <c r="M2578" s="90"/>
      <c r="P2578" s="68"/>
    </row>
    <row r="2579">
      <c r="A2579" s="211"/>
      <c r="B2579" s="231" t="s">
        <v>2976</v>
      </c>
      <c r="C2579" s="234" t="str">
        <f>MID($B2579,6,7)</f>
        <v>XM18877</v>
      </c>
      <c r="D2579" s="231"/>
      <c r="E2579" s="231"/>
      <c r="F2579" s="231"/>
      <c r="G2579" s="231"/>
      <c r="H2579" s="235">
        <v>44560.0</v>
      </c>
      <c r="J2579" s="108" t="str">
        <f>IF(LEFT(B2579,3)="Box","BOX","COUNT")</f>
        <v>BOX</v>
      </c>
      <c r="K2579" s="99">
        <f>SUMIF($J$4:$J$8712,$C2579,$D$4:$D$8712)</f>
        <v>14</v>
      </c>
      <c r="L2579" s="50">
        <f>SUMIF($J$4:$J$8712,$C2579,$F$4:$F$8712)</f>
        <v>585.86</v>
      </c>
      <c r="M2579" s="50">
        <f>SUMIF($J$4:$J$8712,$C2579,$G$4:$G$8712)</f>
        <v>146.465</v>
      </c>
      <c r="N2579" s="70" t="str">
        <f>C2579</f>
        <v>XM18877</v>
      </c>
      <c r="O2579" s="70" t="str">
        <f>J2580</f>
        <v>NSHIP</v>
      </c>
      <c r="P2579" s="68">
        <f>M2579</f>
        <v>146.465</v>
      </c>
    </row>
    <row r="2580">
      <c r="A2580" s="211"/>
      <c r="B2580" s="231"/>
      <c r="C2580" s="109"/>
      <c r="D2580" s="109"/>
      <c r="E2580" s="116"/>
      <c r="F2580" s="116"/>
      <c r="G2580" s="116"/>
      <c r="H2580" s="109"/>
      <c r="J2580" s="108" t="str">
        <f>IF(B2580="","NSHIP","SHIP")</f>
        <v>NSHIP</v>
      </c>
      <c r="K2580" s="99">
        <f>IF($J2580="NSHIP",0,-SUMIF($J$4:$J$8712,$C2579,$D$4:$D$8712))</f>
        <v>0</v>
      </c>
      <c r="L2580" s="50">
        <f>IF($J2580="NSHIP",0,-SUMIF($J$4:$J$8710,$C2579,$F$4:$F$8710))</f>
        <v>0</v>
      </c>
      <c r="M2580" s="50">
        <f>IF($J2580="NSHIP",0,-SUMIF($J$4:$J$8710,$C2579,$G$4:$G$8710))</f>
        <v>0</v>
      </c>
      <c r="P2580" s="68"/>
    </row>
    <row r="2581">
      <c r="A2581" s="95">
        <v>7.638901246E10</v>
      </c>
      <c r="B2581" s="151" t="s">
        <v>2492</v>
      </c>
      <c r="C2581" s="95" t="s">
        <v>97</v>
      </c>
      <c r="D2581" s="95">
        <v>1.0</v>
      </c>
      <c r="E2581" s="101">
        <v>28.99</v>
      </c>
      <c r="F2581" s="101">
        <f t="shared" ref="F2581:F2587" si="428">E2581*D2581</f>
        <v>28.99</v>
      </c>
      <c r="G2581" s="101">
        <f t="shared" ref="G2581:G2587" si="429">F2581/4</f>
        <v>7.2475</v>
      </c>
      <c r="H2581" s="95" t="s">
        <v>2493</v>
      </c>
      <c r="J2581" s="247" t="s">
        <v>2977</v>
      </c>
      <c r="K2581" s="89"/>
      <c r="L2581" s="90"/>
      <c r="M2581" s="90"/>
      <c r="P2581" s="68"/>
    </row>
    <row r="2582">
      <c r="A2582" s="95">
        <v>8.6569995414E10</v>
      </c>
      <c r="B2582" s="151" t="s">
        <v>2978</v>
      </c>
      <c r="C2582" s="95" t="s">
        <v>97</v>
      </c>
      <c r="D2582" s="95">
        <v>1.0</v>
      </c>
      <c r="E2582" s="101">
        <v>37.99</v>
      </c>
      <c r="F2582" s="101">
        <f t="shared" si="428"/>
        <v>37.99</v>
      </c>
      <c r="G2582" s="101">
        <f t="shared" si="429"/>
        <v>9.4975</v>
      </c>
      <c r="H2582" s="95" t="s">
        <v>2568</v>
      </c>
      <c r="J2582" s="247" t="s">
        <v>2977</v>
      </c>
      <c r="K2582" s="89"/>
      <c r="L2582" s="90"/>
      <c r="M2582" s="90"/>
      <c r="P2582" s="68"/>
    </row>
    <row r="2583">
      <c r="A2583" s="95">
        <v>6.75716550752E11</v>
      </c>
      <c r="B2583" s="151" t="s">
        <v>2484</v>
      </c>
      <c r="C2583" s="95" t="s">
        <v>97</v>
      </c>
      <c r="D2583" s="95">
        <v>1.0</v>
      </c>
      <c r="E2583" s="101">
        <v>34.99</v>
      </c>
      <c r="F2583" s="101">
        <f t="shared" si="428"/>
        <v>34.99</v>
      </c>
      <c r="G2583" s="101">
        <f t="shared" si="429"/>
        <v>8.7475</v>
      </c>
      <c r="H2583" s="95" t="s">
        <v>2483</v>
      </c>
      <c r="J2583" s="247" t="s">
        <v>2977</v>
      </c>
      <c r="K2583" s="89"/>
      <c r="L2583" s="90"/>
      <c r="M2583" s="90"/>
      <c r="P2583" s="68"/>
    </row>
    <row r="2584">
      <c r="A2584" s="95">
        <v>6.75716850012E11</v>
      </c>
      <c r="B2584" s="151" t="s">
        <v>2939</v>
      </c>
      <c r="C2584" s="95" t="s">
        <v>97</v>
      </c>
      <c r="D2584" s="95">
        <v>1.0</v>
      </c>
      <c r="E2584" s="101">
        <v>20.99</v>
      </c>
      <c r="F2584" s="101">
        <f t="shared" si="428"/>
        <v>20.99</v>
      </c>
      <c r="G2584" s="101">
        <f t="shared" si="429"/>
        <v>5.2475</v>
      </c>
      <c r="H2584" s="95" t="s">
        <v>2483</v>
      </c>
      <c r="J2584" s="247" t="s">
        <v>2977</v>
      </c>
      <c r="K2584" s="89"/>
      <c r="L2584" s="90"/>
      <c r="M2584" s="90"/>
      <c r="P2584" s="68"/>
    </row>
    <row r="2585">
      <c r="A2585" s="95">
        <v>8.4314511052E11</v>
      </c>
      <c r="B2585" s="151" t="s">
        <v>2979</v>
      </c>
      <c r="C2585" s="95" t="s">
        <v>97</v>
      </c>
      <c r="D2585" s="95">
        <v>1.0</v>
      </c>
      <c r="E2585" s="101">
        <v>120.0</v>
      </c>
      <c r="F2585" s="101">
        <f t="shared" si="428"/>
        <v>120</v>
      </c>
      <c r="G2585" s="101">
        <f t="shared" si="429"/>
        <v>30</v>
      </c>
      <c r="H2585" s="95" t="s">
        <v>1193</v>
      </c>
      <c r="J2585" s="247" t="s">
        <v>2977</v>
      </c>
      <c r="K2585" s="89"/>
      <c r="L2585" s="90"/>
      <c r="M2585" s="90"/>
      <c r="P2585" s="68"/>
    </row>
    <row r="2586">
      <c r="A2586" s="95">
        <v>8.46339030178E11</v>
      </c>
      <c r="B2586" s="151" t="s">
        <v>2980</v>
      </c>
      <c r="C2586" s="95" t="s">
        <v>97</v>
      </c>
      <c r="D2586" s="95">
        <v>1.0</v>
      </c>
      <c r="E2586" s="101">
        <v>279.99</v>
      </c>
      <c r="F2586" s="101">
        <f t="shared" si="428"/>
        <v>279.99</v>
      </c>
      <c r="G2586" s="101">
        <f t="shared" si="429"/>
        <v>69.9975</v>
      </c>
      <c r="H2586" s="95" t="s">
        <v>2486</v>
      </c>
      <c r="J2586" s="247" t="s">
        <v>2977</v>
      </c>
      <c r="K2586" s="89"/>
      <c r="L2586" s="90"/>
      <c r="M2586" s="90"/>
      <c r="P2586" s="68"/>
    </row>
    <row r="2587">
      <c r="A2587" s="95">
        <v>8.85308238726E11</v>
      </c>
      <c r="B2587" s="151" t="s">
        <v>2576</v>
      </c>
      <c r="C2587" s="95" t="s">
        <v>97</v>
      </c>
      <c r="D2587" s="95">
        <v>1.0</v>
      </c>
      <c r="E2587" s="101">
        <v>49.99</v>
      </c>
      <c r="F2587" s="101">
        <f t="shared" si="428"/>
        <v>49.99</v>
      </c>
      <c r="G2587" s="101">
        <f t="shared" si="429"/>
        <v>12.4975</v>
      </c>
      <c r="H2587" s="95" t="s">
        <v>2575</v>
      </c>
      <c r="J2587" s="247" t="s">
        <v>2977</v>
      </c>
      <c r="K2587" s="89"/>
      <c r="L2587" s="90"/>
      <c r="M2587" s="90"/>
      <c r="P2587" s="68"/>
    </row>
    <row r="2588">
      <c r="A2588" s="211"/>
      <c r="B2588" s="231" t="s">
        <v>2981</v>
      </c>
      <c r="C2588" s="234" t="str">
        <f>MID($B2588,6,7)</f>
        <v>XM18878</v>
      </c>
      <c r="D2588" s="231"/>
      <c r="E2588" s="231"/>
      <c r="F2588" s="231"/>
      <c r="G2588" s="231"/>
      <c r="H2588" s="235">
        <v>44560.0</v>
      </c>
      <c r="J2588" s="108" t="str">
        <f>IF(LEFT(B2588,3)="Box","BOX","COUNT")</f>
        <v>BOX</v>
      </c>
      <c r="K2588" s="99">
        <f>SUMIF($J$4:$J$8712,$C2588,$D$4:$D$8712)</f>
        <v>7</v>
      </c>
      <c r="L2588" s="50">
        <f>SUMIF($J$4:$J$8712,$C2588,$F$4:$F$8712)</f>
        <v>572.94</v>
      </c>
      <c r="M2588" s="50">
        <f>SUMIF($J$4:$J$8712,$C2588,$G$4:$G$8712)</f>
        <v>143.235</v>
      </c>
      <c r="N2588" s="70" t="str">
        <f>C2588</f>
        <v>XM18878</v>
      </c>
      <c r="O2588" s="70" t="str">
        <f>J2589</f>
        <v>NSHIP</v>
      </c>
      <c r="P2588" s="68">
        <f>M2588</f>
        <v>143.235</v>
      </c>
    </row>
    <row r="2589">
      <c r="A2589" s="211"/>
      <c r="B2589" s="231"/>
      <c r="C2589" s="109"/>
      <c r="D2589" s="109"/>
      <c r="E2589" s="116"/>
      <c r="F2589" s="116"/>
      <c r="G2589" s="116"/>
      <c r="H2589" s="109"/>
      <c r="J2589" s="108" t="str">
        <f>IF(B2589="","NSHIP","SHIP")</f>
        <v>NSHIP</v>
      </c>
      <c r="K2589" s="99">
        <f>IF($J2589="NSHIP",0,-SUMIF($J$4:$J$8712,$C2588,$D$4:$D$8712))</f>
        <v>0</v>
      </c>
      <c r="L2589" s="50">
        <f>IF($J2589="NSHIP",0,-SUMIF($J$4:$J$8710,$C2588,$F$4:$F$8710))</f>
        <v>0</v>
      </c>
      <c r="M2589" s="50">
        <f>IF($J2589="NSHIP",0,-SUMIF($J$4:$J$8710,$C2588,$G$4:$G$8710))</f>
        <v>0</v>
      </c>
      <c r="P2589" s="68"/>
    </row>
    <row r="2590">
      <c r="A2590" s="95">
        <v>6.75716704476E11</v>
      </c>
      <c r="B2590" s="151" t="s">
        <v>2982</v>
      </c>
      <c r="C2590" s="95" t="s">
        <v>97</v>
      </c>
      <c r="D2590" s="95">
        <v>1.0</v>
      </c>
      <c r="E2590" s="101">
        <v>121.99</v>
      </c>
      <c r="F2590" s="101">
        <f t="shared" ref="F2590:F2592" si="430">E2590*D2590</f>
        <v>121.99</v>
      </c>
      <c r="G2590" s="101">
        <f t="shared" ref="G2590:G2592" si="431">F2590/4</f>
        <v>30.4975</v>
      </c>
      <c r="H2590" s="95" t="s">
        <v>2483</v>
      </c>
      <c r="J2590" s="247" t="s">
        <v>2983</v>
      </c>
      <c r="K2590" s="89"/>
      <c r="L2590" s="90"/>
      <c r="M2590" s="90"/>
      <c r="P2590" s="68"/>
    </row>
    <row r="2591">
      <c r="A2591" s="95">
        <v>6.75716752668E11</v>
      </c>
      <c r="B2591" s="151" t="s">
        <v>2984</v>
      </c>
      <c r="C2591" s="95" t="s">
        <v>97</v>
      </c>
      <c r="D2591" s="95">
        <v>1.0</v>
      </c>
      <c r="E2591" s="101">
        <v>149.99</v>
      </c>
      <c r="F2591" s="101">
        <f t="shared" si="430"/>
        <v>149.99</v>
      </c>
      <c r="G2591" s="101">
        <f t="shared" si="431"/>
        <v>37.4975</v>
      </c>
      <c r="H2591" s="95" t="s">
        <v>2483</v>
      </c>
      <c r="J2591" s="247" t="s">
        <v>2983</v>
      </c>
      <c r="K2591" s="89"/>
      <c r="L2591" s="90"/>
      <c r="M2591" s="90"/>
      <c r="P2591" s="68"/>
    </row>
    <row r="2592">
      <c r="A2592" s="95">
        <v>7.35732103889E11</v>
      </c>
      <c r="B2592" s="151" t="s">
        <v>2985</v>
      </c>
      <c r="C2592" s="95" t="s">
        <v>97</v>
      </c>
      <c r="D2592" s="95">
        <v>1.0</v>
      </c>
      <c r="E2592" s="101">
        <v>86.99</v>
      </c>
      <c r="F2592" s="101">
        <f t="shared" si="430"/>
        <v>86.99</v>
      </c>
      <c r="G2592" s="101">
        <f t="shared" si="431"/>
        <v>21.7475</v>
      </c>
      <c r="H2592" s="95" t="s">
        <v>2534</v>
      </c>
      <c r="J2592" s="247" t="s">
        <v>2983</v>
      </c>
      <c r="K2592" s="89"/>
      <c r="L2592" s="90"/>
      <c r="M2592" s="90"/>
      <c r="P2592" s="68"/>
    </row>
    <row r="2593">
      <c r="A2593" s="211"/>
      <c r="B2593" s="231" t="s">
        <v>2986</v>
      </c>
      <c r="C2593" s="234" t="str">
        <f>MID($B2593,6,7)</f>
        <v>XM18879</v>
      </c>
      <c r="D2593" s="231"/>
      <c r="E2593" s="231"/>
      <c r="F2593" s="231"/>
      <c r="G2593" s="231"/>
      <c r="H2593" s="235">
        <v>44560.0</v>
      </c>
      <c r="J2593" s="108" t="str">
        <f>IF(LEFT(B2593,3)="Box","BOX","COUNT")</f>
        <v>BOX</v>
      </c>
      <c r="K2593" s="99">
        <f>SUMIF($J$4:$J$8712,$C2593,$D$4:$D$8712)</f>
        <v>3</v>
      </c>
      <c r="L2593" s="50">
        <f>SUMIF($J$4:$J$8712,$C2593,$F$4:$F$8712)</f>
        <v>358.97</v>
      </c>
      <c r="M2593" s="50">
        <f>SUMIF($J$4:$J$8712,$C2593,$G$4:$G$8712)</f>
        <v>89.7425</v>
      </c>
      <c r="N2593" s="70" t="str">
        <f>C2593</f>
        <v>XM18879</v>
      </c>
      <c r="O2593" s="70" t="str">
        <f>J2594</f>
        <v>NSHIP</v>
      </c>
      <c r="P2593" s="68">
        <f>M2593</f>
        <v>89.7425</v>
      </c>
    </row>
    <row r="2594">
      <c r="A2594" s="211"/>
      <c r="B2594" s="231"/>
      <c r="C2594" s="109"/>
      <c r="D2594" s="109"/>
      <c r="E2594" s="116"/>
      <c r="F2594" s="116"/>
      <c r="G2594" s="116"/>
      <c r="H2594" s="109"/>
      <c r="J2594" s="108" t="str">
        <f>IF(B2594="","NSHIP","SHIP")</f>
        <v>NSHIP</v>
      </c>
      <c r="K2594" s="99">
        <f>IF($J2594="NSHIP",0,-SUMIF($J$4:$J$8712,$C2593,$D$4:$D$8712))</f>
        <v>0</v>
      </c>
      <c r="L2594" s="50">
        <f>IF($J2594="NSHIP",0,-SUMIF($J$4:$J$8710,$C2593,$F$4:$F$8710))</f>
        <v>0</v>
      </c>
      <c r="M2594" s="50">
        <f>IF($J2594="NSHIP",0,-SUMIF($J$4:$J$8710,$C2593,$G$4:$G$8710))</f>
        <v>0</v>
      </c>
      <c r="P2594" s="68"/>
    </row>
    <row r="2595">
      <c r="A2595" s="95">
        <v>6.75716740078E11</v>
      </c>
      <c r="B2595" s="151" t="s">
        <v>2586</v>
      </c>
      <c r="C2595" s="95" t="s">
        <v>97</v>
      </c>
      <c r="D2595" s="95">
        <v>1.0</v>
      </c>
      <c r="E2595" s="101">
        <v>88.99</v>
      </c>
      <c r="F2595" s="101">
        <f t="shared" ref="F2595:F2598" si="432">E2595*D2595</f>
        <v>88.99</v>
      </c>
      <c r="G2595" s="101">
        <f t="shared" ref="G2595:G2598" si="433">F2595/4</f>
        <v>22.2475</v>
      </c>
      <c r="H2595" s="95" t="s">
        <v>2483</v>
      </c>
      <c r="J2595" s="247" t="s">
        <v>2987</v>
      </c>
      <c r="K2595" s="89"/>
      <c r="L2595" s="90"/>
      <c r="M2595" s="90"/>
      <c r="P2595" s="68"/>
    </row>
    <row r="2596">
      <c r="A2596" s="95">
        <v>6.7571696403E11</v>
      </c>
      <c r="B2596" s="151" t="s">
        <v>2988</v>
      </c>
      <c r="C2596" s="95" t="s">
        <v>97</v>
      </c>
      <c r="D2596" s="95">
        <v>1.0</v>
      </c>
      <c r="E2596" s="101">
        <v>26.0</v>
      </c>
      <c r="F2596" s="101">
        <f t="shared" si="432"/>
        <v>26</v>
      </c>
      <c r="G2596" s="101">
        <f t="shared" si="433"/>
        <v>6.5</v>
      </c>
      <c r="H2596" s="95" t="s">
        <v>2483</v>
      </c>
      <c r="J2596" s="247" t="s">
        <v>2987</v>
      </c>
      <c r="K2596" s="89"/>
      <c r="L2596" s="90"/>
      <c r="M2596" s="90"/>
      <c r="P2596" s="68"/>
    </row>
    <row r="2597">
      <c r="A2597" s="95">
        <v>7.83048106551E11</v>
      </c>
      <c r="B2597" s="151" t="s">
        <v>2989</v>
      </c>
      <c r="C2597" s="95" t="s">
        <v>97</v>
      </c>
      <c r="D2597" s="95">
        <v>1.0</v>
      </c>
      <c r="E2597" s="101">
        <v>111.99</v>
      </c>
      <c r="F2597" s="101">
        <f t="shared" si="432"/>
        <v>111.99</v>
      </c>
      <c r="G2597" s="101">
        <f t="shared" si="433"/>
        <v>27.9975</v>
      </c>
      <c r="H2597" s="95" t="s">
        <v>2514</v>
      </c>
      <c r="J2597" s="247" t="s">
        <v>2987</v>
      </c>
      <c r="K2597" s="89"/>
      <c r="L2597" s="90"/>
      <c r="M2597" s="90"/>
      <c r="P2597" s="68"/>
    </row>
    <row r="2598">
      <c r="A2598" s="95">
        <v>8.40970149596E11</v>
      </c>
      <c r="B2598" s="151" t="s">
        <v>2990</v>
      </c>
      <c r="C2598" s="95" t="s">
        <v>97</v>
      </c>
      <c r="D2598" s="95">
        <v>1.0</v>
      </c>
      <c r="E2598" s="101">
        <v>83.99</v>
      </c>
      <c r="F2598" s="101">
        <f t="shared" si="432"/>
        <v>83.99</v>
      </c>
      <c r="G2598" s="101">
        <f t="shared" si="433"/>
        <v>20.9975</v>
      </c>
      <c r="H2598" s="95" t="s">
        <v>2991</v>
      </c>
      <c r="J2598" s="247" t="s">
        <v>2987</v>
      </c>
      <c r="K2598" s="89"/>
      <c r="L2598" s="90"/>
      <c r="M2598" s="90"/>
      <c r="P2598" s="68"/>
    </row>
    <row r="2599">
      <c r="A2599" s="211"/>
      <c r="B2599" s="231" t="s">
        <v>2992</v>
      </c>
      <c r="C2599" s="234" t="str">
        <f>MID($B2599,6,7)</f>
        <v>XM18880</v>
      </c>
      <c r="D2599" s="231"/>
      <c r="E2599" s="231"/>
      <c r="F2599" s="231"/>
      <c r="G2599" s="231"/>
      <c r="H2599" s="235">
        <v>44560.0</v>
      </c>
      <c r="J2599" s="108" t="str">
        <f>IF(LEFT(B2599,3)="Box","BOX","COUNT")</f>
        <v>BOX</v>
      </c>
      <c r="K2599" s="99">
        <f>SUMIF($J$4:$J$8712,$C2599,$D$4:$D$8712)</f>
        <v>4</v>
      </c>
      <c r="L2599" s="50">
        <f>SUMIF($J$4:$J$8712,$C2599,$F$4:$F$8712)</f>
        <v>310.97</v>
      </c>
      <c r="M2599" s="50">
        <f>SUMIF($J$4:$J$8712,$C2599,$G$4:$G$8712)</f>
        <v>77.7425</v>
      </c>
      <c r="N2599" s="70" t="str">
        <f>C2599</f>
        <v>XM18880</v>
      </c>
      <c r="O2599" s="70" t="str">
        <f>J2600</f>
        <v>NSHIP</v>
      </c>
      <c r="P2599" s="68">
        <f>M2599</f>
        <v>77.7425</v>
      </c>
    </row>
    <row r="2600">
      <c r="A2600" s="211"/>
      <c r="B2600" s="231"/>
      <c r="C2600" s="109"/>
      <c r="D2600" s="109"/>
      <c r="E2600" s="116"/>
      <c r="F2600" s="116"/>
      <c r="G2600" s="116"/>
      <c r="H2600" s="109"/>
      <c r="J2600" s="108" t="str">
        <f>IF(B2600="","NSHIP","SHIP")</f>
        <v>NSHIP</v>
      </c>
      <c r="K2600" s="99">
        <f>IF($J2600="NSHIP",0,-SUMIF($J$4:$J$8712,$C2599,$D$4:$D$8712))</f>
        <v>0</v>
      </c>
      <c r="L2600" s="50">
        <f>IF($J2600="NSHIP",0,-SUMIF($J$4:$J$8710,$C2599,$F$4:$F$8710))</f>
        <v>0</v>
      </c>
      <c r="M2600" s="50">
        <f>IF($J2600="NSHIP",0,-SUMIF($J$4:$J$8710,$C2599,$G$4:$G$8710))</f>
        <v>0</v>
      </c>
      <c r="P2600" s="68"/>
    </row>
    <row r="2601">
      <c r="A2601" s="95">
        <v>4.7293451263E10</v>
      </c>
      <c r="B2601" s="151" t="s">
        <v>2490</v>
      </c>
      <c r="C2601" s="95" t="s">
        <v>97</v>
      </c>
      <c r="D2601" s="95">
        <v>1.0</v>
      </c>
      <c r="E2601" s="101">
        <v>23.99</v>
      </c>
      <c r="F2601" s="101">
        <f t="shared" ref="F2601:F2605" si="434">E2601*D2601</f>
        <v>23.99</v>
      </c>
      <c r="G2601" s="101">
        <f t="shared" ref="G2601:G2605" si="435">F2601/4</f>
        <v>5.9975</v>
      </c>
      <c r="H2601" s="95" t="s">
        <v>2491</v>
      </c>
      <c r="J2601" s="247" t="s">
        <v>2993</v>
      </c>
      <c r="K2601" s="89"/>
      <c r="L2601" s="90"/>
      <c r="M2601" s="90"/>
      <c r="P2601" s="68"/>
    </row>
    <row r="2602">
      <c r="A2602" s="95">
        <v>8.6569916839E10</v>
      </c>
      <c r="B2602" s="151" t="s">
        <v>2994</v>
      </c>
      <c r="C2602" s="95" t="s">
        <v>97</v>
      </c>
      <c r="D2602" s="95">
        <v>1.0</v>
      </c>
      <c r="E2602" s="101">
        <v>29.99</v>
      </c>
      <c r="F2602" s="101">
        <f t="shared" si="434"/>
        <v>29.99</v>
      </c>
      <c r="G2602" s="101">
        <f t="shared" si="435"/>
        <v>7.4975</v>
      </c>
      <c r="H2602" s="95" t="s">
        <v>2568</v>
      </c>
      <c r="J2602" s="247" t="s">
        <v>2993</v>
      </c>
      <c r="K2602" s="89"/>
      <c r="L2602" s="90"/>
      <c r="M2602" s="90"/>
      <c r="P2602" s="68"/>
    </row>
    <row r="2603">
      <c r="A2603" s="95">
        <v>6.75716821746E11</v>
      </c>
      <c r="B2603" s="151" t="s">
        <v>2995</v>
      </c>
      <c r="C2603" s="95" t="s">
        <v>97</v>
      </c>
      <c r="D2603" s="95">
        <v>1.0</v>
      </c>
      <c r="E2603" s="101">
        <v>179.99</v>
      </c>
      <c r="F2603" s="101">
        <f t="shared" si="434"/>
        <v>179.99</v>
      </c>
      <c r="G2603" s="101">
        <f t="shared" si="435"/>
        <v>44.9975</v>
      </c>
      <c r="H2603" s="95" t="s">
        <v>2483</v>
      </c>
      <c r="J2603" s="247" t="s">
        <v>2993</v>
      </c>
      <c r="K2603" s="89"/>
      <c r="L2603" s="90"/>
      <c r="M2603" s="90"/>
      <c r="P2603" s="68"/>
    </row>
    <row r="2604">
      <c r="A2604" s="95">
        <v>6.75716981891E11</v>
      </c>
      <c r="B2604" s="151" t="s">
        <v>2996</v>
      </c>
      <c r="C2604" s="95" t="s">
        <v>97</v>
      </c>
      <c r="D2604" s="95">
        <v>1.0</v>
      </c>
      <c r="E2604" s="101">
        <v>54.49</v>
      </c>
      <c r="F2604" s="101">
        <f t="shared" si="434"/>
        <v>54.49</v>
      </c>
      <c r="G2604" s="101">
        <f t="shared" si="435"/>
        <v>13.6225</v>
      </c>
      <c r="H2604" s="95" t="s">
        <v>2568</v>
      </c>
      <c r="J2604" s="247" t="s">
        <v>2993</v>
      </c>
      <c r="K2604" s="89"/>
      <c r="L2604" s="90"/>
      <c r="M2604" s="90"/>
      <c r="P2604" s="68"/>
    </row>
    <row r="2605">
      <c r="A2605" s="95">
        <v>7.32996618487E11</v>
      </c>
      <c r="B2605" s="151" t="s">
        <v>2997</v>
      </c>
      <c r="C2605" s="95" t="s">
        <v>97</v>
      </c>
      <c r="D2605" s="95">
        <v>1.0</v>
      </c>
      <c r="E2605" s="101">
        <v>169.99</v>
      </c>
      <c r="F2605" s="101">
        <f t="shared" si="434"/>
        <v>169.99</v>
      </c>
      <c r="G2605" s="101">
        <f t="shared" si="435"/>
        <v>42.4975</v>
      </c>
      <c r="H2605" s="95" t="s">
        <v>2998</v>
      </c>
      <c r="J2605" s="247" t="s">
        <v>2993</v>
      </c>
      <c r="K2605" s="89"/>
      <c r="L2605" s="90"/>
      <c r="M2605" s="90"/>
      <c r="P2605" s="68"/>
    </row>
    <row r="2606">
      <c r="A2606" s="211"/>
      <c r="B2606" s="231" t="s">
        <v>2999</v>
      </c>
      <c r="C2606" s="234" t="str">
        <f>MID($B2606,6,7)</f>
        <v>XM18881</v>
      </c>
      <c r="D2606" s="231"/>
      <c r="E2606" s="231"/>
      <c r="F2606" s="231"/>
      <c r="G2606" s="231"/>
      <c r="H2606" s="235">
        <v>44560.0</v>
      </c>
      <c r="J2606" s="108" t="str">
        <f>IF(LEFT(B2606,3)="Box","BOX","COUNT")</f>
        <v>BOX</v>
      </c>
      <c r="K2606" s="99">
        <f>SUMIF($J$4:$J$8712,$C2606,$D$4:$D$8712)</f>
        <v>5</v>
      </c>
      <c r="L2606" s="50">
        <f>SUMIF($J$4:$J$8712,$C2606,$F$4:$F$8712)</f>
        <v>458.45</v>
      </c>
      <c r="M2606" s="50">
        <f>SUMIF($J$4:$J$8712,$C2606,$G$4:$G$8712)</f>
        <v>114.6125</v>
      </c>
      <c r="N2606" s="70" t="str">
        <f>C2606</f>
        <v>XM18881</v>
      </c>
      <c r="O2606" s="70" t="str">
        <f>J2607</f>
        <v>NSHIP</v>
      </c>
      <c r="P2606" s="68">
        <f>M2606</f>
        <v>114.6125</v>
      </c>
    </row>
    <row r="2607">
      <c r="A2607" s="211"/>
      <c r="B2607" s="231"/>
      <c r="C2607" s="109"/>
      <c r="D2607" s="109"/>
      <c r="E2607" s="116"/>
      <c r="F2607" s="116"/>
      <c r="G2607" s="116"/>
      <c r="H2607" s="109"/>
      <c r="J2607" s="108" t="str">
        <f>IF(B2607="","NSHIP","SHIP")</f>
        <v>NSHIP</v>
      </c>
      <c r="K2607" s="99">
        <f>IF($J2607="NSHIP",0,-SUMIF($J$4:$J$8712,$C2606,$D$4:$D$8712))</f>
        <v>0</v>
      </c>
      <c r="L2607" s="50">
        <f>IF($J2607="NSHIP",0,-SUMIF($J$4:$J$8710,$C2606,$F$4:$F$8710))</f>
        <v>0</v>
      </c>
      <c r="M2607" s="50">
        <f>IF($J2607="NSHIP",0,-SUMIF($J$4:$J$8710,$C2606,$G$4:$G$8710))</f>
        <v>0</v>
      </c>
      <c r="P2607" s="68"/>
    </row>
    <row r="2608">
      <c r="A2608" s="95">
        <v>8.656906581E10</v>
      </c>
      <c r="B2608" s="151" t="s">
        <v>3000</v>
      </c>
      <c r="C2608" s="95" t="s">
        <v>97</v>
      </c>
      <c r="D2608" s="95">
        <v>1.0</v>
      </c>
      <c r="E2608" s="101">
        <v>59.99</v>
      </c>
      <c r="F2608" s="101">
        <f t="shared" ref="F2608:F2614" si="436">E2608*D2608</f>
        <v>59.99</v>
      </c>
      <c r="G2608" s="101">
        <f t="shared" ref="G2608:G2614" si="437">F2608/4</f>
        <v>14.9975</v>
      </c>
      <c r="H2608" s="95" t="s">
        <v>2483</v>
      </c>
      <c r="J2608" s="247" t="s">
        <v>3001</v>
      </c>
      <c r="K2608" s="89"/>
      <c r="L2608" s="90"/>
      <c r="M2608" s="90"/>
      <c r="P2608" s="68"/>
    </row>
    <row r="2609">
      <c r="A2609" s="95">
        <v>8.6569066466E10</v>
      </c>
      <c r="B2609" s="151" t="s">
        <v>3002</v>
      </c>
      <c r="C2609" s="95" t="s">
        <v>97</v>
      </c>
      <c r="D2609" s="95">
        <v>1.0</v>
      </c>
      <c r="E2609" s="101">
        <v>159.99</v>
      </c>
      <c r="F2609" s="101">
        <f t="shared" si="436"/>
        <v>159.99</v>
      </c>
      <c r="G2609" s="101">
        <f t="shared" si="437"/>
        <v>39.9975</v>
      </c>
      <c r="H2609" s="95" t="s">
        <v>2483</v>
      </c>
      <c r="J2609" s="247" t="s">
        <v>3001</v>
      </c>
      <c r="K2609" s="89"/>
      <c r="L2609" s="90"/>
      <c r="M2609" s="90"/>
      <c r="P2609" s="68"/>
    </row>
    <row r="2610">
      <c r="A2610" s="95">
        <v>8.6569193438E10</v>
      </c>
      <c r="B2610" s="151" t="s">
        <v>3003</v>
      </c>
      <c r="C2610" s="95" t="s">
        <v>97</v>
      </c>
      <c r="D2610" s="95">
        <v>1.0</v>
      </c>
      <c r="E2610" s="101">
        <v>139.99</v>
      </c>
      <c r="F2610" s="101">
        <f t="shared" si="436"/>
        <v>139.99</v>
      </c>
      <c r="G2610" s="101">
        <f t="shared" si="437"/>
        <v>34.9975</v>
      </c>
      <c r="H2610" s="95" t="s">
        <v>2483</v>
      </c>
      <c r="J2610" s="247" t="s">
        <v>3001</v>
      </c>
      <c r="K2610" s="89"/>
      <c r="L2610" s="90"/>
      <c r="M2610" s="90"/>
      <c r="P2610" s="68"/>
    </row>
    <row r="2611">
      <c r="A2611" s="95">
        <v>8.6569902955E10</v>
      </c>
      <c r="B2611" s="151" t="s">
        <v>3004</v>
      </c>
      <c r="C2611" s="95" t="s">
        <v>97</v>
      </c>
      <c r="D2611" s="95">
        <v>1.0</v>
      </c>
      <c r="E2611" s="101">
        <v>38.49</v>
      </c>
      <c r="F2611" s="101">
        <f t="shared" si="436"/>
        <v>38.49</v>
      </c>
      <c r="G2611" s="101">
        <f t="shared" si="437"/>
        <v>9.6225</v>
      </c>
      <c r="H2611" s="95" t="s">
        <v>2605</v>
      </c>
      <c r="J2611" s="247" t="s">
        <v>3001</v>
      </c>
      <c r="K2611" s="89"/>
      <c r="L2611" s="90"/>
      <c r="M2611" s="90"/>
      <c r="P2611" s="68"/>
    </row>
    <row r="2612">
      <c r="A2612" s="95">
        <v>6.75716850005E11</v>
      </c>
      <c r="B2612" s="151" t="s">
        <v>3005</v>
      </c>
      <c r="C2612" s="95" t="s">
        <v>97</v>
      </c>
      <c r="D2612" s="95">
        <v>1.0</v>
      </c>
      <c r="E2612" s="101">
        <v>19.99</v>
      </c>
      <c r="F2612" s="101">
        <f t="shared" si="436"/>
        <v>19.99</v>
      </c>
      <c r="G2612" s="101">
        <f t="shared" si="437"/>
        <v>4.9975</v>
      </c>
      <c r="H2612" s="95" t="s">
        <v>2568</v>
      </c>
      <c r="J2612" s="247" t="s">
        <v>3001</v>
      </c>
      <c r="K2612" s="89"/>
      <c r="L2612" s="90"/>
      <c r="M2612" s="90"/>
      <c r="P2612" s="68"/>
    </row>
    <row r="2613">
      <c r="A2613" s="95">
        <v>7.35732103834E11</v>
      </c>
      <c r="B2613" s="151" t="s">
        <v>3006</v>
      </c>
      <c r="C2613" s="95" t="s">
        <v>97</v>
      </c>
      <c r="D2613" s="95">
        <v>1.0</v>
      </c>
      <c r="E2613" s="101">
        <v>66.99</v>
      </c>
      <c r="F2613" s="101">
        <f t="shared" si="436"/>
        <v>66.99</v>
      </c>
      <c r="G2613" s="101">
        <f t="shared" si="437"/>
        <v>16.7475</v>
      </c>
      <c r="H2613" s="95" t="s">
        <v>3007</v>
      </c>
      <c r="J2613" s="247" t="s">
        <v>3001</v>
      </c>
      <c r="K2613" s="89"/>
      <c r="L2613" s="90"/>
      <c r="M2613" s="90"/>
      <c r="P2613" s="68"/>
    </row>
    <row r="2614">
      <c r="A2614" s="95">
        <v>7.83048024039E11</v>
      </c>
      <c r="B2614" s="151" t="s">
        <v>3008</v>
      </c>
      <c r="C2614" s="95" t="s">
        <v>97</v>
      </c>
      <c r="D2614" s="95">
        <v>1.0</v>
      </c>
      <c r="E2614" s="101">
        <v>38.99</v>
      </c>
      <c r="F2614" s="101">
        <f t="shared" si="436"/>
        <v>38.99</v>
      </c>
      <c r="G2614" s="101">
        <f t="shared" si="437"/>
        <v>9.7475</v>
      </c>
      <c r="H2614" s="95" t="s">
        <v>2514</v>
      </c>
      <c r="J2614" s="247" t="s">
        <v>3001</v>
      </c>
      <c r="K2614" s="89"/>
      <c r="L2614" s="90"/>
      <c r="M2614" s="90"/>
      <c r="P2614" s="68"/>
    </row>
    <row r="2615">
      <c r="A2615" s="211"/>
      <c r="B2615" s="231" t="s">
        <v>3009</v>
      </c>
      <c r="C2615" s="234" t="str">
        <f>MID($B2615,6,7)</f>
        <v>XM18882</v>
      </c>
      <c r="D2615" s="231"/>
      <c r="E2615" s="231"/>
      <c r="F2615" s="231"/>
      <c r="G2615" s="231"/>
      <c r="H2615" s="235">
        <v>44560.0</v>
      </c>
      <c r="J2615" s="108" t="str">
        <f>IF(LEFT(B2615,3)="Box","BOX","COUNT")</f>
        <v>BOX</v>
      </c>
      <c r="K2615" s="99">
        <f>SUMIF($J$4:$J$8712,$C2615,$D$4:$D$8712)</f>
        <v>7</v>
      </c>
      <c r="L2615" s="50">
        <f>SUMIF($J$4:$J$8712,$C2615,$F$4:$F$8712)</f>
        <v>524.43</v>
      </c>
      <c r="M2615" s="50">
        <f>SUMIF($J$4:$J$8712,$C2615,$G$4:$G$8712)</f>
        <v>131.1075</v>
      </c>
      <c r="N2615" s="70" t="str">
        <f>C2615</f>
        <v>XM18882</v>
      </c>
      <c r="O2615" s="70" t="str">
        <f>J2616</f>
        <v>NSHIP</v>
      </c>
      <c r="P2615" s="68">
        <f>M2615</f>
        <v>131.1075</v>
      </c>
    </row>
    <row r="2616">
      <c r="A2616" s="211"/>
      <c r="B2616" s="231"/>
      <c r="C2616" s="109"/>
      <c r="D2616" s="109"/>
      <c r="E2616" s="116"/>
      <c r="F2616" s="116"/>
      <c r="G2616" s="116"/>
      <c r="H2616" s="109"/>
      <c r="J2616" s="108" t="str">
        <f>IF(B2616="","NSHIP","SHIP")</f>
        <v>NSHIP</v>
      </c>
      <c r="K2616" s="99">
        <f>IF($J2616="NSHIP",0,-SUMIF($J$4:$J$8712,$C2615,$D$4:$D$8712))</f>
        <v>0</v>
      </c>
      <c r="L2616" s="50">
        <f>IF($J2616="NSHIP",0,-SUMIF($J$4:$J$8710,$C2615,$F$4:$F$8710))</f>
        <v>0</v>
      </c>
      <c r="M2616" s="50">
        <f>IF($J2616="NSHIP",0,-SUMIF($J$4:$J$8710,$C2615,$G$4:$G$8710))</f>
        <v>0</v>
      </c>
      <c r="P2616" s="68"/>
    </row>
    <row r="2617">
      <c r="A2617" s="95">
        <v>4.7293451263E10</v>
      </c>
      <c r="B2617" s="151" t="s">
        <v>2490</v>
      </c>
      <c r="C2617" s="95" t="s">
        <v>97</v>
      </c>
      <c r="D2617" s="95">
        <v>1.0</v>
      </c>
      <c r="E2617" s="101">
        <v>23.99</v>
      </c>
      <c r="F2617" s="101">
        <f t="shared" ref="F2617:F2621" si="438">E2617*D2617</f>
        <v>23.99</v>
      </c>
      <c r="G2617" s="101">
        <f t="shared" ref="G2617:G2621" si="439">F2617/4</f>
        <v>5.9975</v>
      </c>
      <c r="H2617" s="95" t="s">
        <v>2491</v>
      </c>
      <c r="J2617" s="247" t="s">
        <v>3010</v>
      </c>
      <c r="K2617" s="89"/>
      <c r="L2617" s="90"/>
      <c r="M2617" s="90"/>
      <c r="P2617" s="68"/>
    </row>
    <row r="2618">
      <c r="A2618" s="95">
        <v>6.75716488673E11</v>
      </c>
      <c r="B2618" s="151" t="s">
        <v>3011</v>
      </c>
      <c r="C2618" s="95" t="s">
        <v>97</v>
      </c>
      <c r="D2618" s="95">
        <v>1.0</v>
      </c>
      <c r="E2618" s="101">
        <v>110.99</v>
      </c>
      <c r="F2618" s="101">
        <f t="shared" si="438"/>
        <v>110.99</v>
      </c>
      <c r="G2618" s="101">
        <f t="shared" si="439"/>
        <v>27.7475</v>
      </c>
      <c r="H2618" s="95" t="s">
        <v>2483</v>
      </c>
      <c r="J2618" s="247" t="s">
        <v>3010</v>
      </c>
      <c r="K2618" s="89"/>
      <c r="L2618" s="90"/>
      <c r="M2618" s="90"/>
      <c r="P2618" s="68"/>
    </row>
    <row r="2619">
      <c r="A2619" s="95">
        <v>6.75716534998E11</v>
      </c>
      <c r="B2619" s="151" t="s">
        <v>2569</v>
      </c>
      <c r="C2619" s="95" t="s">
        <v>97</v>
      </c>
      <c r="D2619" s="95">
        <v>1.0</v>
      </c>
      <c r="E2619" s="101">
        <v>159.99</v>
      </c>
      <c r="F2619" s="101">
        <f t="shared" si="438"/>
        <v>159.99</v>
      </c>
      <c r="G2619" s="101">
        <f t="shared" si="439"/>
        <v>39.9975</v>
      </c>
      <c r="H2619" s="95" t="s">
        <v>2483</v>
      </c>
      <c r="J2619" s="247" t="s">
        <v>3010</v>
      </c>
      <c r="K2619" s="89"/>
      <c r="L2619" s="90"/>
      <c r="M2619" s="90"/>
      <c r="P2619" s="68"/>
    </row>
    <row r="2620">
      <c r="A2620" s="95">
        <v>6.75716979232E11</v>
      </c>
      <c r="B2620" s="151" t="s">
        <v>3012</v>
      </c>
      <c r="C2620" s="95" t="s">
        <v>97</v>
      </c>
      <c r="D2620" s="95">
        <v>1.0</v>
      </c>
      <c r="E2620" s="101">
        <v>129.99</v>
      </c>
      <c r="F2620" s="101">
        <f t="shared" si="438"/>
        <v>129.99</v>
      </c>
      <c r="G2620" s="101">
        <f t="shared" si="439"/>
        <v>32.4975</v>
      </c>
      <c r="H2620" s="95" t="s">
        <v>2483</v>
      </c>
      <c r="J2620" s="247" t="s">
        <v>3010</v>
      </c>
      <c r="K2620" s="89"/>
      <c r="L2620" s="90"/>
      <c r="M2620" s="90"/>
      <c r="P2620" s="68"/>
    </row>
    <row r="2621">
      <c r="A2621" s="95">
        <v>6.80656146101E11</v>
      </c>
      <c r="B2621" s="151" t="s">
        <v>3013</v>
      </c>
      <c r="C2621" s="95" t="s">
        <v>97</v>
      </c>
      <c r="D2621" s="95">
        <v>2.0</v>
      </c>
      <c r="E2621" s="101">
        <v>14.99</v>
      </c>
      <c r="F2621" s="101">
        <f t="shared" si="438"/>
        <v>29.98</v>
      </c>
      <c r="G2621" s="101">
        <f t="shared" si="439"/>
        <v>7.495</v>
      </c>
      <c r="H2621" s="95" t="s">
        <v>3014</v>
      </c>
      <c r="J2621" s="247" t="s">
        <v>3010</v>
      </c>
      <c r="K2621" s="89"/>
      <c r="L2621" s="90"/>
      <c r="M2621" s="90"/>
      <c r="P2621" s="68"/>
    </row>
    <row r="2622">
      <c r="A2622" s="211"/>
      <c r="B2622" s="231" t="s">
        <v>3015</v>
      </c>
      <c r="C2622" s="234" t="str">
        <f>MID($B2622,6,7)</f>
        <v>XM18883</v>
      </c>
      <c r="D2622" s="231"/>
      <c r="E2622" s="231"/>
      <c r="F2622" s="231"/>
      <c r="G2622" s="231"/>
      <c r="H2622" s="235">
        <v>44560.0</v>
      </c>
      <c r="J2622" s="108" t="str">
        <f>IF(LEFT(B2622,3)="Box","BOX","COUNT")</f>
        <v>BOX</v>
      </c>
      <c r="K2622" s="99">
        <f>SUMIF($J$4:$J$8712,$C2622,$D$4:$D$8712)</f>
        <v>6</v>
      </c>
      <c r="L2622" s="50">
        <f>SUMIF($J$4:$J$8712,$C2622,$F$4:$F$8712)</f>
        <v>454.94</v>
      </c>
      <c r="M2622" s="50">
        <f>SUMIF($J$4:$J$8712,$C2622,$G$4:$G$8712)</f>
        <v>113.735</v>
      </c>
      <c r="N2622" s="70" t="str">
        <f>C2622</f>
        <v>XM18883</v>
      </c>
      <c r="O2622" s="70" t="str">
        <f>J2623</f>
        <v>NSHIP</v>
      </c>
      <c r="P2622" s="68">
        <f>M2622</f>
        <v>113.735</v>
      </c>
    </row>
    <row r="2623">
      <c r="A2623" s="211"/>
      <c r="B2623" s="231"/>
      <c r="C2623" s="109"/>
      <c r="D2623" s="109"/>
      <c r="E2623" s="116"/>
      <c r="F2623" s="116"/>
      <c r="G2623" s="116"/>
      <c r="H2623" s="109"/>
      <c r="J2623" s="108" t="str">
        <f>IF(B2623="","NSHIP","SHIP")</f>
        <v>NSHIP</v>
      </c>
      <c r="K2623" s="99">
        <f>IF($J2623="NSHIP",0,-SUMIF($J$4:$J$8712,$C2622,$D$4:$D$8712))</f>
        <v>0</v>
      </c>
      <c r="L2623" s="50">
        <f>IF($J2623="NSHIP",0,-SUMIF($J$4:$J$8710,$C2622,$F$4:$F$8710))</f>
        <v>0</v>
      </c>
      <c r="M2623" s="50">
        <f>IF($J2623="NSHIP",0,-SUMIF($J$4:$J$8710,$C2622,$G$4:$G$8710))</f>
        <v>0</v>
      </c>
      <c r="P2623" s="68"/>
    </row>
    <row r="2624">
      <c r="A2624" s="95">
        <v>4.2075604035E10</v>
      </c>
      <c r="B2624" s="151" t="s">
        <v>3016</v>
      </c>
      <c r="C2624" s="95" t="s">
        <v>97</v>
      </c>
      <c r="D2624" s="95">
        <v>1.0</v>
      </c>
      <c r="E2624" s="101">
        <v>129.99</v>
      </c>
      <c r="F2624" s="101">
        <f t="shared" ref="F2624:F2628" si="440">E2624*D2624</f>
        <v>129.99</v>
      </c>
      <c r="G2624" s="101">
        <f t="shared" ref="G2624:G2628" si="441">F2624/4</f>
        <v>32.4975</v>
      </c>
      <c r="H2624" s="95" t="s">
        <v>2493</v>
      </c>
      <c r="J2624" s="247" t="s">
        <v>3017</v>
      </c>
      <c r="K2624" s="89"/>
      <c r="L2624" s="90"/>
      <c r="M2624" s="90"/>
      <c r="P2624" s="68"/>
    </row>
    <row r="2625">
      <c r="A2625" s="95">
        <v>6.75716467265E11</v>
      </c>
      <c r="B2625" s="151" t="s">
        <v>3018</v>
      </c>
      <c r="C2625" s="95" t="s">
        <v>97</v>
      </c>
      <c r="D2625" s="95">
        <v>1.0</v>
      </c>
      <c r="E2625" s="101">
        <v>27.95</v>
      </c>
      <c r="F2625" s="101">
        <f t="shared" si="440"/>
        <v>27.95</v>
      </c>
      <c r="G2625" s="101">
        <f t="shared" si="441"/>
        <v>6.9875</v>
      </c>
      <c r="H2625" s="95" t="s">
        <v>2568</v>
      </c>
      <c r="J2625" s="247" t="s">
        <v>3017</v>
      </c>
      <c r="K2625" s="89"/>
      <c r="L2625" s="90"/>
      <c r="M2625" s="90"/>
      <c r="P2625" s="68"/>
    </row>
    <row r="2626">
      <c r="A2626" s="95">
        <v>6.75716986339E11</v>
      </c>
      <c r="B2626" s="151" t="s">
        <v>3019</v>
      </c>
      <c r="C2626" s="95" t="s">
        <v>97</v>
      </c>
      <c r="D2626" s="95">
        <v>1.0</v>
      </c>
      <c r="E2626" s="101">
        <v>74.99</v>
      </c>
      <c r="F2626" s="101">
        <f t="shared" si="440"/>
        <v>74.99</v>
      </c>
      <c r="G2626" s="101">
        <f t="shared" si="441"/>
        <v>18.7475</v>
      </c>
      <c r="H2626" s="95" t="s">
        <v>2483</v>
      </c>
      <c r="J2626" s="247" t="s">
        <v>3017</v>
      </c>
      <c r="K2626" s="89"/>
      <c r="L2626" s="90"/>
      <c r="M2626" s="90"/>
      <c r="P2626" s="68"/>
    </row>
    <row r="2627">
      <c r="A2627" s="95">
        <v>7.83048102676E11</v>
      </c>
      <c r="B2627" s="151" t="s">
        <v>3020</v>
      </c>
      <c r="C2627" s="95" t="s">
        <v>97</v>
      </c>
      <c r="D2627" s="95">
        <v>1.0</v>
      </c>
      <c r="E2627" s="101">
        <v>68.0</v>
      </c>
      <c r="F2627" s="101">
        <f t="shared" si="440"/>
        <v>68</v>
      </c>
      <c r="G2627" s="101">
        <f t="shared" si="441"/>
        <v>17</v>
      </c>
      <c r="H2627" s="95" t="s">
        <v>3021</v>
      </c>
      <c r="J2627" s="247" t="s">
        <v>3017</v>
      </c>
      <c r="K2627" s="89"/>
      <c r="L2627" s="90"/>
      <c r="M2627" s="90"/>
      <c r="P2627" s="68"/>
    </row>
    <row r="2628">
      <c r="A2628" s="95">
        <v>8.00298618419E11</v>
      </c>
      <c r="B2628" s="151" t="s">
        <v>3022</v>
      </c>
      <c r="C2628" s="95" t="s">
        <v>97</v>
      </c>
      <c r="D2628" s="95">
        <v>1.0</v>
      </c>
      <c r="E2628" s="101">
        <v>349.99</v>
      </c>
      <c r="F2628" s="101">
        <f t="shared" si="440"/>
        <v>349.99</v>
      </c>
      <c r="G2628" s="101">
        <f t="shared" si="441"/>
        <v>87.4975</v>
      </c>
      <c r="H2628" s="95" t="s">
        <v>3023</v>
      </c>
      <c r="J2628" s="247" t="s">
        <v>3017</v>
      </c>
      <c r="K2628" s="89"/>
      <c r="L2628" s="90"/>
      <c r="M2628" s="90"/>
      <c r="P2628" s="68"/>
    </row>
    <row r="2629">
      <c r="A2629" s="211"/>
      <c r="B2629" s="231" t="s">
        <v>3024</v>
      </c>
      <c r="C2629" s="234" t="str">
        <f>MID($B2629,6,7)</f>
        <v>XM18884</v>
      </c>
      <c r="D2629" s="231"/>
      <c r="E2629" s="231"/>
      <c r="F2629" s="231"/>
      <c r="G2629" s="231"/>
      <c r="H2629" s="235">
        <v>44560.0</v>
      </c>
      <c r="J2629" s="108" t="str">
        <f>IF(LEFT(B2629,3)="Box","BOX","COUNT")</f>
        <v>BOX</v>
      </c>
      <c r="K2629" s="99">
        <f>SUMIF($J$4:$J$8712,$C2629,$D$4:$D$8712)</f>
        <v>5</v>
      </c>
      <c r="L2629" s="50">
        <f>SUMIF($J$4:$J$8712,$C2629,$F$4:$F$8712)</f>
        <v>650.92</v>
      </c>
      <c r="M2629" s="50">
        <f>SUMIF($J$4:$J$8712,$C2629,$G$4:$G$8712)</f>
        <v>162.73</v>
      </c>
      <c r="N2629" s="70" t="str">
        <f>C2629</f>
        <v>XM18884</v>
      </c>
      <c r="O2629" s="70" t="str">
        <f>J2630</f>
        <v>NSHIP</v>
      </c>
      <c r="P2629" s="68">
        <f>M2629</f>
        <v>162.73</v>
      </c>
    </row>
    <row r="2630">
      <c r="A2630" s="211"/>
      <c r="B2630" s="231"/>
      <c r="C2630" s="109"/>
      <c r="D2630" s="109"/>
      <c r="E2630" s="116"/>
      <c r="F2630" s="116"/>
      <c r="G2630" s="116"/>
      <c r="H2630" s="109"/>
      <c r="J2630" s="108" t="str">
        <f>IF(B2630="","NSHIP","SHIP")</f>
        <v>NSHIP</v>
      </c>
      <c r="K2630" s="99">
        <f>IF($J2630="NSHIP",0,-SUMIF($J$4:$J$8712,$C2629,$D$4:$D$8712))</f>
        <v>0</v>
      </c>
      <c r="L2630" s="50">
        <f>IF($J2630="NSHIP",0,-SUMIF($J$4:$J$8710,$C2629,$F$4:$F$8710))</f>
        <v>0</v>
      </c>
      <c r="M2630" s="50">
        <f>IF($J2630="NSHIP",0,-SUMIF($J$4:$J$8710,$C2629,$G$4:$G$8710))</f>
        <v>0</v>
      </c>
      <c r="P2630" s="68"/>
    </row>
    <row r="2631">
      <c r="A2631" s="95">
        <v>2.9927480566E10</v>
      </c>
      <c r="B2631" s="151" t="s">
        <v>3025</v>
      </c>
      <c r="C2631" s="95" t="s">
        <v>97</v>
      </c>
      <c r="D2631" s="95">
        <v>2.0</v>
      </c>
      <c r="E2631" s="101">
        <v>16.99</v>
      </c>
      <c r="F2631" s="101">
        <f t="shared" ref="F2631:F2637" si="442">E2631*D2631</f>
        <v>33.98</v>
      </c>
      <c r="G2631" s="101">
        <f t="shared" ref="G2631:G2637" si="443">F2631/4</f>
        <v>8.495</v>
      </c>
      <c r="H2631" s="95" t="s">
        <v>2479</v>
      </c>
      <c r="J2631" s="247" t="s">
        <v>3026</v>
      </c>
      <c r="K2631" s="89"/>
      <c r="L2631" s="90"/>
      <c r="M2631" s="90"/>
      <c r="P2631" s="68"/>
    </row>
    <row r="2632">
      <c r="A2632" s="95">
        <v>4.7293451263E10</v>
      </c>
      <c r="B2632" s="151" t="s">
        <v>2490</v>
      </c>
      <c r="C2632" s="95" t="s">
        <v>97</v>
      </c>
      <c r="D2632" s="95">
        <v>1.0</v>
      </c>
      <c r="E2632" s="101">
        <v>23.99</v>
      </c>
      <c r="F2632" s="101">
        <f t="shared" si="442"/>
        <v>23.99</v>
      </c>
      <c r="G2632" s="101">
        <f t="shared" si="443"/>
        <v>5.9975</v>
      </c>
      <c r="H2632" s="95" t="s">
        <v>2491</v>
      </c>
      <c r="J2632" s="247" t="s">
        <v>3026</v>
      </c>
      <c r="K2632" s="89"/>
      <c r="L2632" s="90"/>
      <c r="M2632" s="90"/>
      <c r="P2632" s="68"/>
    </row>
    <row r="2633">
      <c r="A2633" s="95">
        <v>8.6569326126E10</v>
      </c>
      <c r="B2633" s="151" t="s">
        <v>3027</v>
      </c>
      <c r="C2633" s="95" t="s">
        <v>97</v>
      </c>
      <c r="D2633" s="95">
        <v>1.0</v>
      </c>
      <c r="E2633" s="101">
        <v>116.99</v>
      </c>
      <c r="F2633" s="101">
        <f t="shared" si="442"/>
        <v>116.99</v>
      </c>
      <c r="G2633" s="101">
        <f t="shared" si="443"/>
        <v>29.2475</v>
      </c>
      <c r="H2633" s="95" t="s">
        <v>2568</v>
      </c>
      <c r="J2633" s="247" t="s">
        <v>3026</v>
      </c>
      <c r="K2633" s="89"/>
      <c r="L2633" s="90"/>
      <c r="M2633" s="90"/>
      <c r="P2633" s="68"/>
    </row>
    <row r="2634">
      <c r="A2634" s="95">
        <v>8.6569902818E10</v>
      </c>
      <c r="B2634" s="151" t="s">
        <v>2604</v>
      </c>
      <c r="C2634" s="95" t="s">
        <v>97</v>
      </c>
      <c r="D2634" s="95">
        <v>1.0</v>
      </c>
      <c r="E2634" s="101">
        <v>33.96</v>
      </c>
      <c r="F2634" s="101">
        <f t="shared" si="442"/>
        <v>33.96</v>
      </c>
      <c r="G2634" s="101">
        <f t="shared" si="443"/>
        <v>8.49</v>
      </c>
      <c r="H2634" s="95" t="s">
        <v>2605</v>
      </c>
      <c r="J2634" s="247" t="s">
        <v>3026</v>
      </c>
      <c r="K2634" s="89"/>
      <c r="L2634" s="90"/>
      <c r="M2634" s="90"/>
      <c r="P2634" s="68"/>
    </row>
    <row r="2635">
      <c r="A2635" s="95">
        <v>6.75716534998E11</v>
      </c>
      <c r="B2635" s="151" t="s">
        <v>2569</v>
      </c>
      <c r="C2635" s="95" t="s">
        <v>97</v>
      </c>
      <c r="D2635" s="95">
        <v>1.0</v>
      </c>
      <c r="E2635" s="101">
        <v>159.99</v>
      </c>
      <c r="F2635" s="101">
        <f t="shared" si="442"/>
        <v>159.99</v>
      </c>
      <c r="G2635" s="101">
        <f t="shared" si="443"/>
        <v>39.9975</v>
      </c>
      <c r="H2635" s="95" t="s">
        <v>2483</v>
      </c>
      <c r="J2635" s="247" t="s">
        <v>3026</v>
      </c>
      <c r="K2635" s="89"/>
      <c r="L2635" s="90"/>
      <c r="M2635" s="90"/>
      <c r="P2635" s="68"/>
    </row>
    <row r="2636">
      <c r="A2636" s="95">
        <v>6.75716585556E11</v>
      </c>
      <c r="B2636" s="151" t="s">
        <v>3028</v>
      </c>
      <c r="C2636" s="95" t="s">
        <v>97</v>
      </c>
      <c r="D2636" s="95">
        <v>1.0</v>
      </c>
      <c r="E2636" s="101">
        <v>88.99</v>
      </c>
      <c r="F2636" s="101">
        <f t="shared" si="442"/>
        <v>88.99</v>
      </c>
      <c r="G2636" s="101">
        <f t="shared" si="443"/>
        <v>22.2475</v>
      </c>
      <c r="H2636" s="95" t="s">
        <v>2483</v>
      </c>
      <c r="J2636" s="247" t="s">
        <v>3026</v>
      </c>
      <c r="K2636" s="89"/>
      <c r="L2636" s="90"/>
      <c r="M2636" s="90"/>
      <c r="P2636" s="68"/>
    </row>
    <row r="2637">
      <c r="A2637" s="95">
        <v>8.4833604987E11</v>
      </c>
      <c r="B2637" s="151" t="s">
        <v>3029</v>
      </c>
      <c r="C2637" s="95" t="s">
        <v>97</v>
      </c>
      <c r="D2637" s="95">
        <v>1.0</v>
      </c>
      <c r="E2637" s="101">
        <v>32.0</v>
      </c>
      <c r="F2637" s="101">
        <f t="shared" si="442"/>
        <v>32</v>
      </c>
      <c r="G2637" s="101">
        <f t="shared" si="443"/>
        <v>8</v>
      </c>
      <c r="H2637" s="95" t="s">
        <v>2506</v>
      </c>
      <c r="J2637" s="247" t="s">
        <v>3026</v>
      </c>
      <c r="K2637" s="89"/>
      <c r="L2637" s="90"/>
      <c r="M2637" s="90"/>
      <c r="P2637" s="68"/>
    </row>
    <row r="2638">
      <c r="A2638" s="211"/>
      <c r="B2638" s="231" t="s">
        <v>3030</v>
      </c>
      <c r="C2638" s="234" t="str">
        <f>MID($B2638,6,7)</f>
        <v>XM18885</v>
      </c>
      <c r="D2638" s="231"/>
      <c r="E2638" s="231"/>
      <c r="F2638" s="231"/>
      <c r="G2638" s="231"/>
      <c r="H2638" s="235">
        <v>44560.0</v>
      </c>
      <c r="J2638" s="108" t="str">
        <f>IF(LEFT(B2638,3)="Box","BOX","COUNT")</f>
        <v>BOX</v>
      </c>
      <c r="K2638" s="99">
        <f>SUMIF($J$4:$J$8712,$C2638,$D$4:$D$8712)</f>
        <v>8</v>
      </c>
      <c r="L2638" s="50">
        <f>SUMIF($J$4:$J$8712,$C2638,$F$4:$F$8712)</f>
        <v>489.9</v>
      </c>
      <c r="M2638" s="50">
        <f>SUMIF($J$4:$J$8712,$C2638,$G$4:$G$8712)</f>
        <v>122.475</v>
      </c>
      <c r="N2638" s="70" t="str">
        <f>C2638</f>
        <v>XM18885</v>
      </c>
      <c r="O2638" s="70" t="str">
        <f>J2639</f>
        <v>NSHIP</v>
      </c>
      <c r="P2638" s="68">
        <f>M2638</f>
        <v>122.475</v>
      </c>
    </row>
    <row r="2639">
      <c r="A2639" s="211"/>
      <c r="B2639" s="231"/>
      <c r="C2639" s="109"/>
      <c r="D2639" s="109"/>
      <c r="E2639" s="116"/>
      <c r="F2639" s="116"/>
      <c r="G2639" s="116"/>
      <c r="H2639" s="109"/>
      <c r="J2639" s="108" t="str">
        <f>IF(B2639="","NSHIP","SHIP")</f>
        <v>NSHIP</v>
      </c>
      <c r="K2639" s="99">
        <f>IF($J2639="NSHIP",0,-SUMIF($J$4:$J$8712,$C2638,$D$4:$D$8712))</f>
        <v>0</v>
      </c>
      <c r="L2639" s="50">
        <f>IF($J2639="NSHIP",0,-SUMIF($J$4:$J$8710,$C2638,$F$4:$F$8710))</f>
        <v>0</v>
      </c>
      <c r="M2639" s="50">
        <f>IF($J2639="NSHIP",0,-SUMIF($J$4:$J$8710,$C2638,$G$4:$G$8710))</f>
        <v>0</v>
      </c>
      <c r="P2639" s="68"/>
    </row>
    <row r="2640">
      <c r="A2640" s="95">
        <v>6.75716438944E11</v>
      </c>
      <c r="B2640" s="151" t="s">
        <v>3031</v>
      </c>
      <c r="C2640" s="95" t="s">
        <v>97</v>
      </c>
      <c r="D2640" s="95">
        <v>1.0</v>
      </c>
      <c r="E2640" s="101">
        <v>250.0</v>
      </c>
      <c r="F2640" s="101">
        <f t="shared" ref="F2640:F2644" si="444">E2640*D2640</f>
        <v>250</v>
      </c>
      <c r="G2640" s="101">
        <f t="shared" ref="G2640:G2644" si="445">F2640/4</f>
        <v>62.5</v>
      </c>
      <c r="H2640" s="95" t="s">
        <v>2483</v>
      </c>
      <c r="J2640" s="247" t="s">
        <v>3032</v>
      </c>
      <c r="K2640" s="89"/>
      <c r="L2640" s="90"/>
      <c r="M2640" s="90"/>
      <c r="P2640" s="68"/>
    </row>
    <row r="2641">
      <c r="A2641" s="95">
        <v>6.75716490614E11</v>
      </c>
      <c r="B2641" s="151" t="s">
        <v>3033</v>
      </c>
      <c r="C2641" s="95" t="s">
        <v>97</v>
      </c>
      <c r="D2641" s="95">
        <v>1.0</v>
      </c>
      <c r="E2641" s="101">
        <v>160.0</v>
      </c>
      <c r="F2641" s="101">
        <f t="shared" si="444"/>
        <v>160</v>
      </c>
      <c r="G2641" s="101">
        <f t="shared" si="445"/>
        <v>40</v>
      </c>
      <c r="H2641" s="95" t="s">
        <v>2483</v>
      </c>
      <c r="J2641" s="247" t="s">
        <v>3032</v>
      </c>
      <c r="K2641" s="89"/>
      <c r="L2641" s="90"/>
      <c r="M2641" s="90"/>
      <c r="P2641" s="68"/>
    </row>
    <row r="2642">
      <c r="A2642" s="95">
        <v>6.93614012608E11</v>
      </c>
      <c r="B2642" s="151" t="s">
        <v>3034</v>
      </c>
      <c r="C2642" s="95" t="s">
        <v>97</v>
      </c>
      <c r="D2642" s="95">
        <v>1.0</v>
      </c>
      <c r="E2642" s="101">
        <v>74.99</v>
      </c>
      <c r="F2642" s="101">
        <f t="shared" si="444"/>
        <v>74.99</v>
      </c>
      <c r="G2642" s="101">
        <f t="shared" si="445"/>
        <v>18.7475</v>
      </c>
      <c r="H2642" s="95" t="s">
        <v>2925</v>
      </c>
      <c r="J2642" s="247" t="s">
        <v>3032</v>
      </c>
      <c r="K2642" s="89"/>
      <c r="L2642" s="90"/>
      <c r="M2642" s="90"/>
      <c r="P2642" s="68"/>
    </row>
    <row r="2643">
      <c r="A2643" s="95">
        <v>7.83048141163E11</v>
      </c>
      <c r="B2643" s="151" t="s">
        <v>3035</v>
      </c>
      <c r="C2643" s="95" t="s">
        <v>97</v>
      </c>
      <c r="D2643" s="95">
        <v>1.0</v>
      </c>
      <c r="E2643" s="101">
        <v>19.99</v>
      </c>
      <c r="F2643" s="101">
        <f t="shared" si="444"/>
        <v>19.99</v>
      </c>
      <c r="G2643" s="101">
        <f t="shared" si="445"/>
        <v>4.9975</v>
      </c>
      <c r="H2643" s="95" t="s">
        <v>2514</v>
      </c>
      <c r="J2643" s="247" t="s">
        <v>3032</v>
      </c>
      <c r="K2643" s="89"/>
      <c r="L2643" s="90"/>
      <c r="M2643" s="90"/>
      <c r="P2643" s="68"/>
    </row>
    <row r="2644">
      <c r="A2644" s="95">
        <v>8.43145110315E11</v>
      </c>
      <c r="B2644" s="151" t="s">
        <v>3036</v>
      </c>
      <c r="C2644" s="95" t="s">
        <v>97</v>
      </c>
      <c r="D2644" s="95">
        <v>1.0</v>
      </c>
      <c r="E2644" s="101">
        <v>197.99</v>
      </c>
      <c r="F2644" s="101">
        <f t="shared" si="444"/>
        <v>197.99</v>
      </c>
      <c r="G2644" s="101">
        <f t="shared" si="445"/>
        <v>49.4975</v>
      </c>
      <c r="H2644" s="95" t="s">
        <v>2552</v>
      </c>
      <c r="J2644" s="247" t="s">
        <v>3032</v>
      </c>
      <c r="K2644" s="89"/>
      <c r="L2644" s="90"/>
      <c r="M2644" s="90"/>
      <c r="P2644" s="68"/>
    </row>
    <row r="2645">
      <c r="A2645" s="211"/>
      <c r="B2645" s="231" t="s">
        <v>3037</v>
      </c>
      <c r="C2645" s="234" t="str">
        <f>MID($B2645,6,7)</f>
        <v>XM18886</v>
      </c>
      <c r="D2645" s="231"/>
      <c r="E2645" s="231"/>
      <c r="F2645" s="231"/>
      <c r="G2645" s="231"/>
      <c r="H2645" s="235">
        <v>44560.0</v>
      </c>
      <c r="J2645" s="108" t="str">
        <f>IF(LEFT(B2645,3)="Box","BOX","COUNT")</f>
        <v>BOX</v>
      </c>
      <c r="K2645" s="99">
        <f>SUMIF($J$4:$J$8712,$C2645,$D$4:$D$8712)</f>
        <v>5</v>
      </c>
      <c r="L2645" s="50">
        <f>SUMIF($J$4:$J$8712,$C2645,$F$4:$F$8712)</f>
        <v>702.97</v>
      </c>
      <c r="M2645" s="50">
        <f>SUMIF($J$4:$J$8712,$C2645,$G$4:$G$8712)</f>
        <v>175.7425</v>
      </c>
      <c r="N2645" s="70" t="str">
        <f>C2645</f>
        <v>XM18886</v>
      </c>
      <c r="O2645" s="70" t="str">
        <f>J2646</f>
        <v>NSHIP</v>
      </c>
      <c r="P2645" s="68">
        <f>M2645</f>
        <v>175.7425</v>
      </c>
    </row>
    <row r="2646">
      <c r="A2646" s="211"/>
      <c r="B2646" s="231"/>
      <c r="C2646" s="109"/>
      <c r="D2646" s="109"/>
      <c r="E2646" s="116"/>
      <c r="F2646" s="116"/>
      <c r="G2646" s="116"/>
      <c r="H2646" s="109"/>
      <c r="J2646" s="108" t="str">
        <f>IF(B2646="","NSHIP","SHIP")</f>
        <v>NSHIP</v>
      </c>
      <c r="K2646" s="99">
        <f>IF($J2646="NSHIP",0,-SUMIF($J$4:$J$8712,$C2645,$D$4:$D$8712))</f>
        <v>0</v>
      </c>
      <c r="L2646" s="50">
        <f>IF($J2646="NSHIP",0,-SUMIF($J$4:$J$8710,$C2645,$F$4:$F$8710))</f>
        <v>0</v>
      </c>
      <c r="M2646" s="50">
        <f>IF($J2646="NSHIP",0,-SUMIF($J$4:$J$8710,$C2645,$G$4:$G$8710))</f>
        <v>0</v>
      </c>
      <c r="P2646" s="68"/>
    </row>
    <row r="2647">
      <c r="A2647" s="95">
        <v>4.7293451263E10</v>
      </c>
      <c r="B2647" s="151" t="s">
        <v>2490</v>
      </c>
      <c r="C2647" s="95" t="s">
        <v>97</v>
      </c>
      <c r="D2647" s="95">
        <v>1.0</v>
      </c>
      <c r="E2647" s="101">
        <v>23.99</v>
      </c>
      <c r="F2647" s="101">
        <f t="shared" ref="F2647:F2654" si="446">E2647*D2647</f>
        <v>23.99</v>
      </c>
      <c r="G2647" s="101">
        <f t="shared" ref="G2647:G2654" si="447">F2647/4</f>
        <v>5.9975</v>
      </c>
      <c r="H2647" s="95" t="s">
        <v>2491</v>
      </c>
      <c r="J2647" s="247" t="s">
        <v>3038</v>
      </c>
      <c r="K2647" s="89"/>
      <c r="L2647" s="90"/>
      <c r="M2647" s="90"/>
      <c r="P2647" s="68"/>
    </row>
    <row r="2648">
      <c r="A2648" s="95">
        <v>8.6569295347E10</v>
      </c>
      <c r="B2648" s="151" t="s">
        <v>2936</v>
      </c>
      <c r="C2648" s="95" t="s">
        <v>97</v>
      </c>
      <c r="D2648" s="95">
        <v>1.0</v>
      </c>
      <c r="E2648" s="101">
        <v>58.2</v>
      </c>
      <c r="F2648" s="101">
        <f t="shared" si="446"/>
        <v>58.2</v>
      </c>
      <c r="G2648" s="101">
        <f t="shared" si="447"/>
        <v>14.55</v>
      </c>
      <c r="H2648" s="95" t="s">
        <v>2937</v>
      </c>
      <c r="J2648" s="247" t="s">
        <v>3038</v>
      </c>
      <c r="K2648" s="89"/>
      <c r="L2648" s="90"/>
      <c r="M2648" s="90"/>
      <c r="P2648" s="68"/>
    </row>
    <row r="2649">
      <c r="A2649" s="95">
        <v>8.6569902955E10</v>
      </c>
      <c r="B2649" s="151" t="s">
        <v>3004</v>
      </c>
      <c r="C2649" s="95" t="s">
        <v>97</v>
      </c>
      <c r="D2649" s="95">
        <v>1.0</v>
      </c>
      <c r="E2649" s="101">
        <v>38.49</v>
      </c>
      <c r="F2649" s="101">
        <f t="shared" si="446"/>
        <v>38.49</v>
      </c>
      <c r="G2649" s="101">
        <f t="shared" si="447"/>
        <v>9.6225</v>
      </c>
      <c r="H2649" s="95" t="s">
        <v>2605</v>
      </c>
      <c r="J2649" s="247" t="s">
        <v>3038</v>
      </c>
      <c r="K2649" s="89"/>
      <c r="L2649" s="90"/>
      <c r="M2649" s="90"/>
      <c r="P2649" s="68"/>
    </row>
    <row r="2650">
      <c r="A2650" s="95">
        <v>6.75716740061E11</v>
      </c>
      <c r="B2650" s="151" t="s">
        <v>3039</v>
      </c>
      <c r="C2650" s="95" t="s">
        <v>97</v>
      </c>
      <c r="D2650" s="95">
        <v>1.0</v>
      </c>
      <c r="E2650" s="101">
        <v>71.99</v>
      </c>
      <c r="F2650" s="101">
        <f t="shared" si="446"/>
        <v>71.99</v>
      </c>
      <c r="G2650" s="101">
        <f t="shared" si="447"/>
        <v>17.9975</v>
      </c>
      <c r="H2650" s="95" t="s">
        <v>2483</v>
      </c>
      <c r="J2650" s="247" t="s">
        <v>3038</v>
      </c>
      <c r="K2650" s="89"/>
      <c r="L2650" s="90"/>
      <c r="M2650" s="90"/>
      <c r="P2650" s="68"/>
    </row>
    <row r="2651">
      <c r="A2651" s="95">
        <v>6.75716792916E11</v>
      </c>
      <c r="B2651" s="151" t="s">
        <v>3040</v>
      </c>
      <c r="C2651" s="95" t="s">
        <v>97</v>
      </c>
      <c r="D2651" s="95">
        <v>1.0</v>
      </c>
      <c r="E2651" s="101">
        <v>45.0</v>
      </c>
      <c r="F2651" s="101">
        <f t="shared" si="446"/>
        <v>45</v>
      </c>
      <c r="G2651" s="101">
        <f t="shared" si="447"/>
        <v>11.25</v>
      </c>
      <c r="H2651" s="95" t="s">
        <v>2483</v>
      </c>
      <c r="J2651" s="247" t="s">
        <v>3038</v>
      </c>
      <c r="K2651" s="89"/>
      <c r="L2651" s="90"/>
      <c r="M2651" s="90"/>
      <c r="P2651" s="68"/>
    </row>
    <row r="2652">
      <c r="A2652" s="95">
        <v>6.75716826222E11</v>
      </c>
      <c r="B2652" s="151" t="s">
        <v>3041</v>
      </c>
      <c r="C2652" s="95" t="s">
        <v>97</v>
      </c>
      <c r="D2652" s="95">
        <v>1.0</v>
      </c>
      <c r="E2652" s="101">
        <v>88.99</v>
      </c>
      <c r="F2652" s="101">
        <f t="shared" si="446"/>
        <v>88.99</v>
      </c>
      <c r="G2652" s="101">
        <f t="shared" si="447"/>
        <v>22.2475</v>
      </c>
      <c r="H2652" s="95" t="s">
        <v>2483</v>
      </c>
      <c r="J2652" s="247" t="s">
        <v>3038</v>
      </c>
      <c r="K2652" s="89"/>
      <c r="L2652" s="90"/>
      <c r="M2652" s="90"/>
      <c r="P2652" s="68"/>
    </row>
    <row r="2653">
      <c r="A2653" s="95">
        <v>8.16944011602E11</v>
      </c>
      <c r="B2653" s="151" t="s">
        <v>3042</v>
      </c>
      <c r="C2653" s="95" t="s">
        <v>97</v>
      </c>
      <c r="D2653" s="95">
        <v>1.0</v>
      </c>
      <c r="E2653" s="101">
        <v>239.99</v>
      </c>
      <c r="F2653" s="101">
        <f t="shared" si="446"/>
        <v>239.99</v>
      </c>
      <c r="G2653" s="101">
        <f t="shared" si="447"/>
        <v>59.9975</v>
      </c>
      <c r="H2653" s="95" t="s">
        <v>3043</v>
      </c>
      <c r="J2653" s="247" t="s">
        <v>3038</v>
      </c>
      <c r="K2653" s="89"/>
      <c r="L2653" s="90"/>
      <c r="M2653" s="90"/>
      <c r="P2653" s="68"/>
    </row>
    <row r="2654">
      <c r="A2654" s="95">
        <v>8.43145101924E11</v>
      </c>
      <c r="B2654" s="151" t="s">
        <v>3044</v>
      </c>
      <c r="C2654" s="95" t="s">
        <v>97</v>
      </c>
      <c r="D2654" s="95">
        <v>1.0</v>
      </c>
      <c r="E2654" s="101">
        <v>258.99</v>
      </c>
      <c r="F2654" s="101">
        <f t="shared" si="446"/>
        <v>258.99</v>
      </c>
      <c r="G2654" s="101">
        <f t="shared" si="447"/>
        <v>64.7475</v>
      </c>
      <c r="H2654" s="95" t="s">
        <v>2552</v>
      </c>
      <c r="J2654" s="247" t="s">
        <v>3038</v>
      </c>
      <c r="K2654" s="89"/>
      <c r="L2654" s="90"/>
      <c r="M2654" s="90"/>
      <c r="P2654" s="68"/>
    </row>
    <row r="2655">
      <c r="A2655" s="211"/>
      <c r="B2655" s="231" t="s">
        <v>3045</v>
      </c>
      <c r="C2655" s="234" t="str">
        <f>MID($B2655,6,7)</f>
        <v>XM18887</v>
      </c>
      <c r="D2655" s="231"/>
      <c r="E2655" s="231"/>
      <c r="F2655" s="231"/>
      <c r="G2655" s="231"/>
      <c r="H2655" s="235">
        <v>44560.0</v>
      </c>
      <c r="J2655" s="108" t="str">
        <f>IF(LEFT(B2655,3)="Box","BOX","COUNT")</f>
        <v>BOX</v>
      </c>
      <c r="K2655" s="99">
        <f>SUMIF($J$4:$J$8712,$C2655,$D$4:$D$8712)</f>
        <v>8</v>
      </c>
      <c r="L2655" s="50">
        <f>SUMIF($J$4:$J$8712,$C2655,$F$4:$F$8712)</f>
        <v>825.64</v>
      </c>
      <c r="M2655" s="50">
        <f>SUMIF($J$4:$J$8712,$C2655,$G$4:$G$8712)</f>
        <v>206.41</v>
      </c>
      <c r="N2655" s="70" t="str">
        <f>C2655</f>
        <v>XM18887</v>
      </c>
      <c r="O2655" s="70" t="str">
        <f>J2656</f>
        <v>NSHIP</v>
      </c>
      <c r="P2655" s="68">
        <f>M2655</f>
        <v>206.41</v>
      </c>
    </row>
    <row r="2656">
      <c r="A2656" s="211"/>
      <c r="B2656" s="231"/>
      <c r="C2656" s="109"/>
      <c r="D2656" s="109"/>
      <c r="E2656" s="116"/>
      <c r="F2656" s="116"/>
      <c r="G2656" s="116"/>
      <c r="H2656" s="109"/>
      <c r="J2656" s="108" t="str">
        <f>IF(B2656="","NSHIP","SHIP")</f>
        <v>NSHIP</v>
      </c>
      <c r="K2656" s="99">
        <f>IF($J2656="NSHIP",0,-SUMIF($J$4:$J$8712,$C2655,$D$4:$D$8712))</f>
        <v>0</v>
      </c>
      <c r="L2656" s="50">
        <f>IF($J2656="NSHIP",0,-SUMIF($J$4:$J$8710,$C2655,$F$4:$F$8710))</f>
        <v>0</v>
      </c>
      <c r="M2656" s="50">
        <f>IF($J2656="NSHIP",0,-SUMIF($J$4:$J$8710,$C2655,$G$4:$G$8710))</f>
        <v>0</v>
      </c>
      <c r="P2656" s="68"/>
    </row>
    <row r="2657">
      <c r="A2657" s="95">
        <v>8.6569300768E10</v>
      </c>
      <c r="B2657" s="151" t="s">
        <v>3046</v>
      </c>
      <c r="C2657" s="95" t="s">
        <v>97</v>
      </c>
      <c r="D2657" s="95">
        <v>1.0</v>
      </c>
      <c r="E2657" s="101">
        <v>75.99</v>
      </c>
      <c r="F2657" s="101">
        <f t="shared" ref="F2657:F2662" si="448">E2657*D2657</f>
        <v>75.99</v>
      </c>
      <c r="G2657" s="101">
        <f t="shared" ref="G2657:G2662" si="449">F2657/4</f>
        <v>18.9975</v>
      </c>
      <c r="H2657" s="95" t="s">
        <v>2483</v>
      </c>
      <c r="J2657" s="247" t="s">
        <v>3047</v>
      </c>
      <c r="K2657" s="89"/>
      <c r="L2657" s="90"/>
      <c r="M2657" s="90"/>
      <c r="P2657" s="68"/>
    </row>
    <row r="2658">
      <c r="A2658" s="95">
        <v>8.65694048E10</v>
      </c>
      <c r="B2658" s="151" t="s">
        <v>3048</v>
      </c>
      <c r="C2658" s="95" t="s">
        <v>97</v>
      </c>
      <c r="D2658" s="95">
        <v>1.0</v>
      </c>
      <c r="E2658" s="101">
        <v>150.0</v>
      </c>
      <c r="F2658" s="101">
        <f t="shared" si="448"/>
        <v>150</v>
      </c>
      <c r="G2658" s="101">
        <f t="shared" si="449"/>
        <v>37.5</v>
      </c>
      <c r="H2658" s="95" t="s">
        <v>3049</v>
      </c>
      <c r="J2658" s="247" t="s">
        <v>3047</v>
      </c>
      <c r="K2658" s="89"/>
      <c r="L2658" s="90"/>
      <c r="M2658" s="90"/>
      <c r="P2658" s="68"/>
    </row>
    <row r="2659">
      <c r="A2659" s="95">
        <v>6.75716661687E11</v>
      </c>
      <c r="B2659" s="151" t="s">
        <v>3050</v>
      </c>
      <c r="C2659" s="95" t="s">
        <v>97</v>
      </c>
      <c r="D2659" s="95">
        <v>1.0</v>
      </c>
      <c r="E2659" s="101">
        <v>129.99</v>
      </c>
      <c r="F2659" s="101">
        <f t="shared" si="448"/>
        <v>129.99</v>
      </c>
      <c r="G2659" s="101">
        <f t="shared" si="449"/>
        <v>32.4975</v>
      </c>
      <c r="H2659" s="95" t="s">
        <v>2483</v>
      </c>
      <c r="J2659" s="247" t="s">
        <v>3047</v>
      </c>
      <c r="K2659" s="89"/>
      <c r="L2659" s="90"/>
      <c r="M2659" s="90"/>
      <c r="P2659" s="68"/>
    </row>
    <row r="2660">
      <c r="A2660" s="95">
        <v>6.75716836894E11</v>
      </c>
      <c r="B2660" s="151" t="s">
        <v>3051</v>
      </c>
      <c r="C2660" s="95" t="s">
        <v>97</v>
      </c>
      <c r="D2660" s="95">
        <v>1.0</v>
      </c>
      <c r="E2660" s="101">
        <v>99.99</v>
      </c>
      <c r="F2660" s="101">
        <f t="shared" si="448"/>
        <v>99.99</v>
      </c>
      <c r="G2660" s="101">
        <f t="shared" si="449"/>
        <v>24.9975</v>
      </c>
      <c r="H2660" s="95" t="s">
        <v>2483</v>
      </c>
      <c r="J2660" s="247" t="s">
        <v>3047</v>
      </c>
      <c r="K2660" s="89"/>
      <c r="L2660" s="90"/>
      <c r="M2660" s="90"/>
      <c r="P2660" s="68"/>
    </row>
    <row r="2661">
      <c r="A2661" s="95">
        <v>6.75716979263E11</v>
      </c>
      <c r="B2661" s="151" t="s">
        <v>3052</v>
      </c>
      <c r="C2661" s="95" t="s">
        <v>97</v>
      </c>
      <c r="D2661" s="95">
        <v>1.0</v>
      </c>
      <c r="E2661" s="101">
        <v>360.0</v>
      </c>
      <c r="F2661" s="101">
        <f t="shared" si="448"/>
        <v>360</v>
      </c>
      <c r="G2661" s="101">
        <f t="shared" si="449"/>
        <v>90</v>
      </c>
      <c r="H2661" s="95" t="s">
        <v>2483</v>
      </c>
      <c r="J2661" s="247" t="s">
        <v>3047</v>
      </c>
      <c r="K2661" s="89"/>
      <c r="L2661" s="90"/>
      <c r="M2661" s="90"/>
      <c r="P2661" s="68"/>
    </row>
    <row r="2662">
      <c r="A2662" s="95">
        <v>8.40970151353E11</v>
      </c>
      <c r="B2662" s="151" t="s">
        <v>3053</v>
      </c>
      <c r="C2662" s="95" t="s">
        <v>97</v>
      </c>
      <c r="D2662" s="95">
        <v>1.0</v>
      </c>
      <c r="E2662" s="101">
        <v>120.99</v>
      </c>
      <c r="F2662" s="101">
        <f t="shared" si="448"/>
        <v>120.99</v>
      </c>
      <c r="G2662" s="101">
        <f t="shared" si="449"/>
        <v>30.2475</v>
      </c>
      <c r="H2662" s="95" t="s">
        <v>2991</v>
      </c>
      <c r="J2662" s="247" t="s">
        <v>3047</v>
      </c>
      <c r="K2662" s="89"/>
      <c r="L2662" s="90"/>
      <c r="M2662" s="90"/>
      <c r="P2662" s="68"/>
    </row>
    <row r="2663">
      <c r="A2663" s="211"/>
      <c r="B2663" s="231" t="s">
        <v>3054</v>
      </c>
      <c r="C2663" s="234" t="str">
        <f>MID($B2663,6,7)</f>
        <v>XM18888</v>
      </c>
      <c r="D2663" s="231"/>
      <c r="E2663" s="231"/>
      <c r="F2663" s="231"/>
      <c r="G2663" s="231"/>
      <c r="H2663" s="235">
        <v>44560.0</v>
      </c>
      <c r="J2663" s="108" t="str">
        <f>IF(LEFT(B2663,3)="Box","BOX","COUNT")</f>
        <v>BOX</v>
      </c>
      <c r="K2663" s="99">
        <f>SUMIF($J$4:$J$8712,$C2663,$D$4:$D$8712)</f>
        <v>6</v>
      </c>
      <c r="L2663" s="50">
        <f>SUMIF($J$4:$J$8712,$C2663,$F$4:$F$8712)</f>
        <v>936.96</v>
      </c>
      <c r="M2663" s="50">
        <f>SUMIF($J$4:$J$8712,$C2663,$G$4:$G$8712)</f>
        <v>234.24</v>
      </c>
      <c r="N2663" s="70" t="str">
        <f>C2663</f>
        <v>XM18888</v>
      </c>
      <c r="O2663" s="70" t="str">
        <f>J2664</f>
        <v>NSHIP</v>
      </c>
      <c r="P2663" s="68">
        <f>M2663</f>
        <v>234.24</v>
      </c>
    </row>
    <row r="2664">
      <c r="A2664" s="211"/>
      <c r="B2664" s="231"/>
      <c r="C2664" s="109"/>
      <c r="D2664" s="109"/>
      <c r="E2664" s="116"/>
      <c r="F2664" s="116"/>
      <c r="G2664" s="116"/>
      <c r="H2664" s="109"/>
      <c r="J2664" s="108" t="str">
        <f>IF(B2664="","NSHIP","SHIP")</f>
        <v>NSHIP</v>
      </c>
      <c r="K2664" s="99">
        <f>IF($J2664="NSHIP",0,-SUMIF($J$4:$J$8712,$C2663,$D$4:$D$8712))</f>
        <v>0</v>
      </c>
      <c r="L2664" s="50">
        <f>IF($J2664="NSHIP",0,-SUMIF($J$4:$J$8710,$C2663,$F$4:$F$8710))</f>
        <v>0</v>
      </c>
      <c r="M2664" s="50">
        <f>IF($J2664="NSHIP",0,-SUMIF($J$4:$J$8710,$C2663,$G$4:$G$8710))</f>
        <v>0</v>
      </c>
      <c r="P2664" s="68"/>
    </row>
    <row r="2665">
      <c r="A2665" s="95">
        <v>8.656909689E10</v>
      </c>
      <c r="B2665" s="151" t="s">
        <v>3055</v>
      </c>
      <c r="C2665" s="95" t="s">
        <v>97</v>
      </c>
      <c r="D2665" s="95">
        <v>1.0</v>
      </c>
      <c r="E2665" s="101">
        <v>92.99</v>
      </c>
      <c r="F2665" s="101">
        <f t="shared" ref="F2665:F2674" si="450">E2665*D2665</f>
        <v>92.99</v>
      </c>
      <c r="G2665" s="101">
        <f t="shared" ref="G2665:G2674" si="451">F2665/4</f>
        <v>23.2475</v>
      </c>
      <c r="H2665" s="95" t="s">
        <v>3056</v>
      </c>
      <c r="J2665" s="247" t="s">
        <v>3057</v>
      </c>
      <c r="K2665" s="89"/>
      <c r="L2665" s="90"/>
      <c r="M2665" s="90"/>
      <c r="P2665" s="68"/>
    </row>
    <row r="2666">
      <c r="A2666" s="95">
        <v>8.6569267245E10</v>
      </c>
      <c r="B2666" s="151" t="s">
        <v>3058</v>
      </c>
      <c r="C2666" s="95" t="s">
        <v>97</v>
      </c>
      <c r="D2666" s="95">
        <v>1.0</v>
      </c>
      <c r="E2666" s="101">
        <v>50.99</v>
      </c>
      <c r="F2666" s="101">
        <f t="shared" si="450"/>
        <v>50.99</v>
      </c>
      <c r="G2666" s="101">
        <f t="shared" si="451"/>
        <v>12.7475</v>
      </c>
      <c r="H2666" s="95" t="s">
        <v>2483</v>
      </c>
      <c r="J2666" s="247" t="s">
        <v>3057</v>
      </c>
      <c r="K2666" s="89"/>
      <c r="L2666" s="90"/>
      <c r="M2666" s="90"/>
      <c r="P2666" s="68"/>
    </row>
    <row r="2667">
      <c r="A2667" s="95">
        <v>8.6569404572E10</v>
      </c>
      <c r="B2667" s="151" t="s">
        <v>3059</v>
      </c>
      <c r="C2667" s="95" t="s">
        <v>97</v>
      </c>
      <c r="D2667" s="95">
        <v>1.0</v>
      </c>
      <c r="E2667" s="101">
        <v>64.99</v>
      </c>
      <c r="F2667" s="101">
        <f t="shared" si="450"/>
        <v>64.99</v>
      </c>
      <c r="G2667" s="101">
        <f t="shared" si="451"/>
        <v>16.2475</v>
      </c>
      <c r="H2667" s="95" t="s">
        <v>2483</v>
      </c>
      <c r="J2667" s="247" t="s">
        <v>3057</v>
      </c>
      <c r="K2667" s="89"/>
      <c r="L2667" s="90"/>
      <c r="M2667" s="90"/>
      <c r="P2667" s="68"/>
    </row>
    <row r="2668">
      <c r="A2668" s="95">
        <v>8.6569896704E10</v>
      </c>
      <c r="B2668" s="151" t="s">
        <v>2583</v>
      </c>
      <c r="C2668" s="95" t="s">
        <v>97</v>
      </c>
      <c r="D2668" s="95">
        <v>1.0</v>
      </c>
      <c r="E2668" s="101">
        <v>130.0</v>
      </c>
      <c r="F2668" s="101">
        <f t="shared" si="450"/>
        <v>130</v>
      </c>
      <c r="G2668" s="101">
        <f t="shared" si="451"/>
        <v>32.5</v>
      </c>
      <c r="H2668" s="95" t="s">
        <v>2483</v>
      </c>
      <c r="J2668" s="247" t="s">
        <v>3057</v>
      </c>
      <c r="K2668" s="89"/>
      <c r="L2668" s="90"/>
      <c r="M2668" s="90"/>
      <c r="P2668" s="68"/>
    </row>
    <row r="2669">
      <c r="A2669" s="95">
        <v>6.75716505929E11</v>
      </c>
      <c r="B2669" s="151" t="s">
        <v>3060</v>
      </c>
      <c r="C2669" s="95" t="s">
        <v>97</v>
      </c>
      <c r="D2669" s="95">
        <v>1.0</v>
      </c>
      <c r="E2669" s="101">
        <v>69.99</v>
      </c>
      <c r="F2669" s="101">
        <f t="shared" si="450"/>
        <v>69.99</v>
      </c>
      <c r="G2669" s="101">
        <f t="shared" si="451"/>
        <v>17.4975</v>
      </c>
      <c r="H2669" s="95" t="s">
        <v>2483</v>
      </c>
      <c r="J2669" s="247" t="s">
        <v>3057</v>
      </c>
      <c r="K2669" s="89"/>
      <c r="L2669" s="90"/>
      <c r="M2669" s="90"/>
      <c r="P2669" s="68"/>
    </row>
    <row r="2670">
      <c r="A2670" s="95">
        <v>6.75716792923E11</v>
      </c>
      <c r="B2670" s="151" t="s">
        <v>3061</v>
      </c>
      <c r="C2670" s="95" t="s">
        <v>97</v>
      </c>
      <c r="D2670" s="95">
        <v>1.0</v>
      </c>
      <c r="E2670" s="101">
        <v>110.0</v>
      </c>
      <c r="F2670" s="101">
        <f t="shared" si="450"/>
        <v>110</v>
      </c>
      <c r="G2670" s="101">
        <f t="shared" si="451"/>
        <v>27.5</v>
      </c>
      <c r="H2670" s="95" t="s">
        <v>2483</v>
      </c>
      <c r="J2670" s="247" t="s">
        <v>3057</v>
      </c>
      <c r="K2670" s="89"/>
      <c r="L2670" s="90"/>
      <c r="M2670" s="90"/>
      <c r="P2670" s="68"/>
    </row>
    <row r="2671">
      <c r="A2671" s="95">
        <v>7.89323338105E11</v>
      </c>
      <c r="B2671" s="151" t="s">
        <v>3062</v>
      </c>
      <c r="C2671" s="95" t="s">
        <v>97</v>
      </c>
      <c r="D2671" s="95">
        <v>1.0</v>
      </c>
      <c r="E2671" s="101">
        <v>51.99</v>
      </c>
      <c r="F2671" s="101">
        <f t="shared" si="450"/>
        <v>51.99</v>
      </c>
      <c r="G2671" s="101">
        <f t="shared" si="451"/>
        <v>12.9975</v>
      </c>
      <c r="H2671" s="95" t="s">
        <v>2499</v>
      </c>
      <c r="J2671" s="247" t="s">
        <v>3057</v>
      </c>
      <c r="K2671" s="89"/>
      <c r="L2671" s="90"/>
      <c r="M2671" s="90"/>
      <c r="P2671" s="68"/>
    </row>
    <row r="2672">
      <c r="A2672" s="95">
        <v>8.49657025321E11</v>
      </c>
      <c r="B2672" s="151" t="s">
        <v>3063</v>
      </c>
      <c r="C2672" s="95" t="s">
        <v>97</v>
      </c>
      <c r="D2672" s="95">
        <v>2.0</v>
      </c>
      <c r="E2672" s="101">
        <v>18.99</v>
      </c>
      <c r="F2672" s="101">
        <f t="shared" si="450"/>
        <v>37.98</v>
      </c>
      <c r="G2672" s="101">
        <f t="shared" si="451"/>
        <v>9.495</v>
      </c>
      <c r="H2672" s="95" t="s">
        <v>3064</v>
      </c>
      <c r="J2672" s="247" t="s">
        <v>3057</v>
      </c>
      <c r="K2672" s="89"/>
      <c r="L2672" s="90"/>
      <c r="M2672" s="90"/>
      <c r="P2672" s="68"/>
    </row>
    <row r="2673">
      <c r="A2673" s="95">
        <v>8.85308375643E11</v>
      </c>
      <c r="B2673" s="151" t="s">
        <v>3065</v>
      </c>
      <c r="C2673" s="95" t="s">
        <v>97</v>
      </c>
      <c r="D2673" s="95">
        <v>2.0</v>
      </c>
      <c r="E2673" s="101">
        <v>19.99</v>
      </c>
      <c r="F2673" s="101">
        <f t="shared" si="450"/>
        <v>39.98</v>
      </c>
      <c r="G2673" s="101">
        <f t="shared" si="451"/>
        <v>9.995</v>
      </c>
      <c r="H2673" s="95" t="s">
        <v>2575</v>
      </c>
      <c r="J2673" s="247" t="s">
        <v>3057</v>
      </c>
      <c r="K2673" s="89"/>
      <c r="L2673" s="90"/>
      <c r="M2673" s="90"/>
      <c r="P2673" s="68"/>
    </row>
    <row r="2674">
      <c r="A2674" s="95">
        <v>8.8530839219E11</v>
      </c>
      <c r="B2674" s="151" t="s">
        <v>3066</v>
      </c>
      <c r="C2674" s="95" t="s">
        <v>97</v>
      </c>
      <c r="D2674" s="95">
        <v>1.0</v>
      </c>
      <c r="E2674" s="101">
        <v>65.99</v>
      </c>
      <c r="F2674" s="101">
        <f t="shared" si="450"/>
        <v>65.99</v>
      </c>
      <c r="G2674" s="101">
        <f t="shared" si="451"/>
        <v>16.4975</v>
      </c>
      <c r="H2674" s="95" t="s">
        <v>2575</v>
      </c>
      <c r="J2674" s="247" t="s">
        <v>3057</v>
      </c>
      <c r="K2674" s="89"/>
      <c r="L2674" s="90"/>
      <c r="M2674" s="90"/>
      <c r="P2674" s="68"/>
    </row>
    <row r="2675">
      <c r="A2675" s="211"/>
      <c r="B2675" s="231" t="s">
        <v>3067</v>
      </c>
      <c r="C2675" s="234" t="str">
        <f>MID($B2675,6,7)</f>
        <v>XM18889</v>
      </c>
      <c r="D2675" s="231"/>
      <c r="E2675" s="231"/>
      <c r="F2675" s="231"/>
      <c r="G2675" s="231"/>
      <c r="H2675" s="235">
        <v>44560.0</v>
      </c>
      <c r="J2675" s="108" t="str">
        <f>IF(LEFT(B2675,3)="Box","BOX","COUNT")</f>
        <v>BOX</v>
      </c>
      <c r="K2675" s="99">
        <f>SUMIF($J$4:$J$8712,$C2675,$D$4:$D$8712)</f>
        <v>12</v>
      </c>
      <c r="L2675" s="50">
        <f>SUMIF($J$4:$J$8712,$C2675,$F$4:$F$8712)</f>
        <v>714.9</v>
      </c>
      <c r="M2675" s="50">
        <f>SUMIF($J$4:$J$8712,$C2675,$G$4:$G$8712)</f>
        <v>178.725</v>
      </c>
      <c r="N2675" s="70" t="str">
        <f>C2675</f>
        <v>XM18889</v>
      </c>
      <c r="O2675" s="70" t="str">
        <f>J2676</f>
        <v>NSHIP</v>
      </c>
      <c r="P2675" s="68">
        <f>M2675</f>
        <v>178.725</v>
      </c>
    </row>
    <row r="2676">
      <c r="A2676" s="211"/>
      <c r="B2676" s="231"/>
      <c r="C2676" s="109"/>
      <c r="D2676" s="109"/>
      <c r="E2676" s="116"/>
      <c r="F2676" s="116"/>
      <c r="G2676" s="116"/>
      <c r="H2676" s="109"/>
      <c r="J2676" s="108" t="str">
        <f>IF(B2676="","NSHIP","SHIP")</f>
        <v>NSHIP</v>
      </c>
      <c r="K2676" s="99">
        <f>IF($J2676="NSHIP",0,-SUMIF($J$4:$J$8712,$C2675,$D$4:$D$8712))</f>
        <v>0</v>
      </c>
      <c r="L2676" s="50">
        <f>IF($J2676="NSHIP",0,-SUMIF($J$4:$J$8710,$C2675,$F$4:$F$8710))</f>
        <v>0</v>
      </c>
      <c r="M2676" s="50">
        <f>IF($J2676="NSHIP",0,-SUMIF($J$4:$J$8710,$C2675,$G$4:$G$8710))</f>
        <v>0</v>
      </c>
      <c r="P2676" s="68"/>
    </row>
    <row r="2677">
      <c r="A2677" s="95">
        <v>8.6569066466E10</v>
      </c>
      <c r="B2677" s="151" t="s">
        <v>3002</v>
      </c>
      <c r="C2677" s="95" t="s">
        <v>97</v>
      </c>
      <c r="D2677" s="95">
        <v>1.0</v>
      </c>
      <c r="E2677" s="101">
        <v>159.99</v>
      </c>
      <c r="F2677" s="101">
        <f t="shared" ref="F2677:F2684" si="452">E2677*D2677</f>
        <v>159.99</v>
      </c>
      <c r="G2677" s="101">
        <f t="shared" ref="G2677:G2684" si="453">F2677/4</f>
        <v>39.9975</v>
      </c>
      <c r="H2677" s="95" t="s">
        <v>2483</v>
      </c>
      <c r="J2677" s="247" t="s">
        <v>3068</v>
      </c>
      <c r="K2677" s="89"/>
      <c r="L2677" s="90"/>
      <c r="M2677" s="90"/>
      <c r="P2677" s="68"/>
    </row>
    <row r="2678">
      <c r="A2678" s="95">
        <v>8.6569267245E10</v>
      </c>
      <c r="B2678" s="151" t="s">
        <v>3058</v>
      </c>
      <c r="C2678" s="95" t="s">
        <v>97</v>
      </c>
      <c r="D2678" s="95">
        <v>1.0</v>
      </c>
      <c r="E2678" s="101">
        <v>50.99</v>
      </c>
      <c r="F2678" s="101">
        <f t="shared" si="452"/>
        <v>50.99</v>
      </c>
      <c r="G2678" s="101">
        <f t="shared" si="453"/>
        <v>12.7475</v>
      </c>
      <c r="H2678" s="95" t="s">
        <v>2483</v>
      </c>
      <c r="J2678" s="247" t="s">
        <v>3068</v>
      </c>
      <c r="K2678" s="89"/>
      <c r="L2678" s="90"/>
      <c r="M2678" s="90"/>
      <c r="P2678" s="68"/>
    </row>
    <row r="2679">
      <c r="A2679" s="95">
        <v>6.7571662491E11</v>
      </c>
      <c r="B2679" s="151" t="s">
        <v>3069</v>
      </c>
      <c r="C2679" s="95" t="s">
        <v>97</v>
      </c>
      <c r="D2679" s="95">
        <v>1.0</v>
      </c>
      <c r="E2679" s="101">
        <v>143.99</v>
      </c>
      <c r="F2679" s="101">
        <f t="shared" si="452"/>
        <v>143.99</v>
      </c>
      <c r="G2679" s="101">
        <f t="shared" si="453"/>
        <v>35.9975</v>
      </c>
      <c r="H2679" s="95" t="s">
        <v>2483</v>
      </c>
      <c r="J2679" s="247" t="s">
        <v>3068</v>
      </c>
      <c r="K2679" s="89"/>
      <c r="L2679" s="90"/>
      <c r="M2679" s="90"/>
      <c r="P2679" s="68"/>
    </row>
    <row r="2680">
      <c r="A2680" s="95">
        <v>7.35732261817E11</v>
      </c>
      <c r="B2680" s="151" t="s">
        <v>2615</v>
      </c>
      <c r="C2680" s="95" t="s">
        <v>97</v>
      </c>
      <c r="D2680" s="95">
        <v>1.0</v>
      </c>
      <c r="E2680" s="101">
        <v>47.99</v>
      </c>
      <c r="F2680" s="101">
        <f t="shared" si="452"/>
        <v>47.99</v>
      </c>
      <c r="G2680" s="101">
        <f t="shared" si="453"/>
        <v>11.9975</v>
      </c>
      <c r="H2680" s="95" t="s">
        <v>2512</v>
      </c>
      <c r="J2680" s="247" t="s">
        <v>3068</v>
      </c>
      <c r="K2680" s="89"/>
      <c r="L2680" s="90"/>
      <c r="M2680" s="90"/>
      <c r="P2680" s="68"/>
    </row>
    <row r="2681">
      <c r="A2681" s="95">
        <v>7.35732886904E11</v>
      </c>
      <c r="B2681" s="151" t="s">
        <v>3070</v>
      </c>
      <c r="C2681" s="95" t="s">
        <v>97</v>
      </c>
      <c r="D2681" s="95">
        <v>1.0</v>
      </c>
      <c r="E2681" s="101">
        <v>57.99</v>
      </c>
      <c r="F2681" s="101">
        <f t="shared" si="452"/>
        <v>57.99</v>
      </c>
      <c r="G2681" s="101">
        <f t="shared" si="453"/>
        <v>14.4975</v>
      </c>
      <c r="H2681" s="95" t="s">
        <v>2534</v>
      </c>
      <c r="J2681" s="247" t="s">
        <v>3068</v>
      </c>
      <c r="K2681" s="89"/>
      <c r="L2681" s="90"/>
      <c r="M2681" s="90"/>
      <c r="P2681" s="68"/>
    </row>
    <row r="2682">
      <c r="A2682" s="95">
        <v>8.44353935226E11</v>
      </c>
      <c r="B2682" s="151" t="s">
        <v>3071</v>
      </c>
      <c r="C2682" s="95" t="s">
        <v>97</v>
      </c>
      <c r="D2682" s="95">
        <v>1.0</v>
      </c>
      <c r="E2682" s="101">
        <v>269.99</v>
      </c>
      <c r="F2682" s="101">
        <f t="shared" si="452"/>
        <v>269.99</v>
      </c>
      <c r="G2682" s="101">
        <f t="shared" si="453"/>
        <v>67.4975</v>
      </c>
      <c r="H2682" s="95" t="s">
        <v>3072</v>
      </c>
      <c r="J2682" s="247" t="s">
        <v>3068</v>
      </c>
      <c r="K2682" s="89"/>
      <c r="L2682" s="90"/>
      <c r="M2682" s="90"/>
      <c r="P2682" s="68"/>
    </row>
    <row r="2683">
      <c r="A2683" s="95">
        <v>8.85308375643E11</v>
      </c>
      <c r="B2683" s="151" t="s">
        <v>3065</v>
      </c>
      <c r="C2683" s="95" t="s">
        <v>97</v>
      </c>
      <c r="D2683" s="95">
        <v>1.0</v>
      </c>
      <c r="E2683" s="101">
        <v>19.99</v>
      </c>
      <c r="F2683" s="101">
        <f t="shared" si="452"/>
        <v>19.99</v>
      </c>
      <c r="G2683" s="101">
        <f t="shared" si="453"/>
        <v>4.9975</v>
      </c>
      <c r="H2683" s="95" t="s">
        <v>2575</v>
      </c>
      <c r="J2683" s="247" t="s">
        <v>3068</v>
      </c>
      <c r="K2683" s="89"/>
      <c r="L2683" s="90"/>
      <c r="M2683" s="90"/>
      <c r="P2683" s="68"/>
    </row>
    <row r="2684">
      <c r="A2684" s="95">
        <v>8.8530839219E11</v>
      </c>
      <c r="B2684" s="151" t="s">
        <v>3066</v>
      </c>
      <c r="C2684" s="95" t="s">
        <v>97</v>
      </c>
      <c r="D2684" s="95">
        <v>1.0</v>
      </c>
      <c r="E2684" s="101">
        <v>65.99</v>
      </c>
      <c r="F2684" s="101">
        <f t="shared" si="452"/>
        <v>65.99</v>
      </c>
      <c r="G2684" s="101">
        <f t="shared" si="453"/>
        <v>16.4975</v>
      </c>
      <c r="H2684" s="95" t="s">
        <v>2575</v>
      </c>
      <c r="J2684" s="247" t="s">
        <v>3068</v>
      </c>
      <c r="K2684" s="89"/>
      <c r="L2684" s="90"/>
      <c r="M2684" s="90"/>
      <c r="P2684" s="68"/>
    </row>
    <row r="2685">
      <c r="A2685" s="211"/>
      <c r="B2685" s="231" t="s">
        <v>3073</v>
      </c>
      <c r="C2685" s="234" t="str">
        <f>MID($B2685,6,7)</f>
        <v>XM18890</v>
      </c>
      <c r="D2685" s="231"/>
      <c r="E2685" s="231"/>
      <c r="F2685" s="231"/>
      <c r="G2685" s="231"/>
      <c r="H2685" s="235">
        <v>44560.0</v>
      </c>
      <c r="J2685" s="108" t="str">
        <f>IF(LEFT(B2685,3)="Box","BOX","COUNT")</f>
        <v>BOX</v>
      </c>
      <c r="K2685" s="99">
        <f>SUMIF($J$4:$J$8712,$C2685,$D$4:$D$8712)</f>
        <v>8</v>
      </c>
      <c r="L2685" s="50">
        <f>SUMIF($J$4:$J$8712,$C2685,$F$4:$F$8712)</f>
        <v>816.92</v>
      </c>
      <c r="M2685" s="50">
        <f>SUMIF($J$4:$J$8712,$C2685,$G$4:$G$8712)</f>
        <v>204.23</v>
      </c>
      <c r="N2685" s="70" t="str">
        <f>C2685</f>
        <v>XM18890</v>
      </c>
      <c r="O2685" s="70" t="str">
        <f>J2686</f>
        <v>NSHIP</v>
      </c>
      <c r="P2685" s="68">
        <f>M2685</f>
        <v>204.23</v>
      </c>
    </row>
    <row r="2686">
      <c r="A2686" s="211"/>
      <c r="B2686" s="231"/>
      <c r="C2686" s="109"/>
      <c r="D2686" s="109"/>
      <c r="E2686" s="116"/>
      <c r="F2686" s="116"/>
      <c r="G2686" s="116"/>
      <c r="H2686" s="109"/>
      <c r="J2686" s="108" t="str">
        <f>IF(B2686="","NSHIP","SHIP")</f>
        <v>NSHIP</v>
      </c>
      <c r="K2686" s="99">
        <f>IF($J2686="NSHIP",0,-SUMIF($J$4:$J$8712,$C2685,$D$4:$D$8712))</f>
        <v>0</v>
      </c>
      <c r="L2686" s="50">
        <f>IF($J2686="NSHIP",0,-SUMIF($J$4:$J$8710,$C2685,$F$4:$F$8710))</f>
        <v>0</v>
      </c>
      <c r="M2686" s="50">
        <f>IF($J2686="NSHIP",0,-SUMIF($J$4:$J$8710,$C2685,$G$4:$G$8710))</f>
        <v>0</v>
      </c>
      <c r="P2686" s="68"/>
    </row>
    <row r="2687">
      <c r="A2687" s="95">
        <v>7.638901246E10</v>
      </c>
      <c r="B2687" s="151" t="s">
        <v>2492</v>
      </c>
      <c r="C2687" s="95" t="s">
        <v>97</v>
      </c>
      <c r="D2687" s="95">
        <v>1.0</v>
      </c>
      <c r="E2687" s="101">
        <v>28.99</v>
      </c>
      <c r="F2687" s="101">
        <f t="shared" ref="F2687:F2695" si="454">E2687*D2687</f>
        <v>28.99</v>
      </c>
      <c r="G2687" s="101">
        <f t="shared" ref="G2687:G2695" si="455">F2687/4</f>
        <v>7.2475</v>
      </c>
      <c r="H2687" s="95" t="s">
        <v>2493</v>
      </c>
      <c r="J2687" s="247" t="s">
        <v>3074</v>
      </c>
      <c r="K2687" s="89"/>
      <c r="L2687" s="90"/>
      <c r="M2687" s="90"/>
      <c r="P2687" s="68"/>
    </row>
    <row r="2688">
      <c r="A2688" s="95">
        <v>8.6569267245E10</v>
      </c>
      <c r="B2688" s="151" t="s">
        <v>3058</v>
      </c>
      <c r="C2688" s="95" t="s">
        <v>97</v>
      </c>
      <c r="D2688" s="95">
        <v>2.0</v>
      </c>
      <c r="E2688" s="101">
        <v>50.99</v>
      </c>
      <c r="F2688" s="101">
        <f t="shared" si="454"/>
        <v>101.98</v>
      </c>
      <c r="G2688" s="101">
        <f t="shared" si="455"/>
        <v>25.495</v>
      </c>
      <c r="H2688" s="95" t="s">
        <v>2483</v>
      </c>
      <c r="J2688" s="247" t="s">
        <v>3074</v>
      </c>
      <c r="K2688" s="89"/>
      <c r="L2688" s="90"/>
      <c r="M2688" s="90"/>
      <c r="P2688" s="68"/>
    </row>
    <row r="2689">
      <c r="A2689" s="95">
        <v>6.75716675325E11</v>
      </c>
      <c r="B2689" s="151" t="s">
        <v>3075</v>
      </c>
      <c r="C2689" s="95" t="s">
        <v>97</v>
      </c>
      <c r="D2689" s="95">
        <v>1.0</v>
      </c>
      <c r="E2689" s="101">
        <v>132.99</v>
      </c>
      <c r="F2689" s="101">
        <f t="shared" si="454"/>
        <v>132.99</v>
      </c>
      <c r="G2689" s="101">
        <f t="shared" si="455"/>
        <v>33.2475</v>
      </c>
      <c r="H2689" s="95" t="s">
        <v>2483</v>
      </c>
      <c r="J2689" s="247" t="s">
        <v>3074</v>
      </c>
      <c r="K2689" s="89"/>
      <c r="L2689" s="90"/>
      <c r="M2689" s="90"/>
      <c r="P2689" s="68"/>
    </row>
    <row r="2690">
      <c r="A2690" s="95">
        <v>6.75716772048E11</v>
      </c>
      <c r="B2690" s="151" t="s">
        <v>3076</v>
      </c>
      <c r="C2690" s="95" t="s">
        <v>97</v>
      </c>
      <c r="D2690" s="95">
        <v>1.0</v>
      </c>
      <c r="E2690" s="101">
        <v>143.99</v>
      </c>
      <c r="F2690" s="101">
        <f t="shared" si="454"/>
        <v>143.99</v>
      </c>
      <c r="G2690" s="101">
        <f t="shared" si="455"/>
        <v>35.9975</v>
      </c>
      <c r="H2690" s="95" t="s">
        <v>2483</v>
      </c>
      <c r="J2690" s="247" t="s">
        <v>3074</v>
      </c>
      <c r="K2690" s="89"/>
      <c r="L2690" s="90"/>
      <c r="M2690" s="90"/>
      <c r="P2690" s="68"/>
    </row>
    <row r="2691">
      <c r="A2691" s="95">
        <v>6.75716778651E11</v>
      </c>
      <c r="B2691" s="151" t="s">
        <v>3077</v>
      </c>
      <c r="C2691" s="95" t="s">
        <v>97</v>
      </c>
      <c r="D2691" s="95">
        <v>1.0</v>
      </c>
      <c r="E2691" s="101">
        <v>89.99</v>
      </c>
      <c r="F2691" s="101">
        <f t="shared" si="454"/>
        <v>89.99</v>
      </c>
      <c r="G2691" s="101">
        <f t="shared" si="455"/>
        <v>22.4975</v>
      </c>
      <c r="H2691" s="95" t="s">
        <v>2483</v>
      </c>
      <c r="J2691" s="247" t="s">
        <v>3074</v>
      </c>
      <c r="K2691" s="89"/>
      <c r="L2691" s="90"/>
      <c r="M2691" s="90"/>
      <c r="P2691" s="68"/>
    </row>
    <row r="2692">
      <c r="A2692" s="95">
        <v>8.77512005508E11</v>
      </c>
      <c r="B2692" s="151" t="s">
        <v>3078</v>
      </c>
      <c r="C2692" s="95" t="s">
        <v>97</v>
      </c>
      <c r="D2692" s="95">
        <v>1.0</v>
      </c>
      <c r="E2692" s="101">
        <v>66.99</v>
      </c>
      <c r="F2692" s="101">
        <f t="shared" si="454"/>
        <v>66.99</v>
      </c>
      <c r="G2692" s="101">
        <f t="shared" si="455"/>
        <v>16.7475</v>
      </c>
      <c r="H2692" s="95" t="s">
        <v>2991</v>
      </c>
      <c r="J2692" s="247" t="s">
        <v>3074</v>
      </c>
      <c r="K2692" s="89"/>
      <c r="L2692" s="90"/>
      <c r="M2692" s="90"/>
      <c r="P2692" s="68"/>
    </row>
    <row r="2693">
      <c r="A2693" s="95">
        <v>8.85308375643E11</v>
      </c>
      <c r="B2693" s="151" t="s">
        <v>3065</v>
      </c>
      <c r="C2693" s="95" t="s">
        <v>97</v>
      </c>
      <c r="D2693" s="95">
        <v>1.0</v>
      </c>
      <c r="E2693" s="101">
        <v>19.99</v>
      </c>
      <c r="F2693" s="101">
        <f t="shared" si="454"/>
        <v>19.99</v>
      </c>
      <c r="G2693" s="101">
        <f t="shared" si="455"/>
        <v>4.9975</v>
      </c>
      <c r="H2693" s="95" t="s">
        <v>2575</v>
      </c>
      <c r="J2693" s="247" t="s">
        <v>3074</v>
      </c>
      <c r="K2693" s="89"/>
      <c r="L2693" s="90"/>
      <c r="M2693" s="90"/>
      <c r="P2693" s="68"/>
    </row>
    <row r="2694">
      <c r="A2694" s="95">
        <v>8.8530839219E11</v>
      </c>
      <c r="B2694" s="151" t="s">
        <v>3066</v>
      </c>
      <c r="C2694" s="95" t="s">
        <v>97</v>
      </c>
      <c r="D2694" s="95">
        <v>1.0</v>
      </c>
      <c r="E2694" s="101">
        <v>65.99</v>
      </c>
      <c r="F2694" s="101">
        <f t="shared" si="454"/>
        <v>65.99</v>
      </c>
      <c r="G2694" s="101">
        <f t="shared" si="455"/>
        <v>16.4975</v>
      </c>
      <c r="H2694" s="95" t="s">
        <v>2575</v>
      </c>
      <c r="J2694" s="247" t="s">
        <v>3074</v>
      </c>
      <c r="K2694" s="89"/>
      <c r="L2694" s="90"/>
      <c r="M2694" s="90"/>
      <c r="P2694" s="68"/>
    </row>
    <row r="2695">
      <c r="A2695" s="95">
        <v>8.85308425034E11</v>
      </c>
      <c r="B2695" s="151" t="s">
        <v>3079</v>
      </c>
      <c r="C2695" s="95" t="s">
        <v>97</v>
      </c>
      <c r="D2695" s="95">
        <v>1.0</v>
      </c>
      <c r="E2695" s="101">
        <v>22.99</v>
      </c>
      <c r="F2695" s="101">
        <f t="shared" si="454"/>
        <v>22.99</v>
      </c>
      <c r="G2695" s="101">
        <f t="shared" si="455"/>
        <v>5.7475</v>
      </c>
      <c r="H2695" s="95" t="s">
        <v>2575</v>
      </c>
      <c r="J2695" s="247" t="s">
        <v>3074</v>
      </c>
      <c r="K2695" s="89"/>
      <c r="L2695" s="90"/>
      <c r="M2695" s="90"/>
      <c r="P2695" s="68"/>
    </row>
    <row r="2696">
      <c r="A2696" s="211"/>
      <c r="B2696" s="231" t="s">
        <v>3080</v>
      </c>
      <c r="C2696" s="234" t="str">
        <f>MID($B2696,6,7)</f>
        <v>XM18891</v>
      </c>
      <c r="D2696" s="231"/>
      <c r="E2696" s="231"/>
      <c r="F2696" s="231"/>
      <c r="G2696" s="231"/>
      <c r="H2696" s="235">
        <v>44560.0</v>
      </c>
      <c r="J2696" s="108" t="str">
        <f>IF(LEFT(B2696,3)="Box","BOX","COUNT")</f>
        <v>BOX</v>
      </c>
      <c r="K2696" s="99">
        <f>SUMIF($J$4:$J$8712,$C2696,$D$4:$D$8712)</f>
        <v>10</v>
      </c>
      <c r="L2696" s="50">
        <f>SUMIF($J$4:$J$8712,$C2696,$F$4:$F$8712)</f>
        <v>673.9</v>
      </c>
      <c r="M2696" s="50">
        <f>SUMIF($J$4:$J$8712,$C2696,$G$4:$G$8712)</f>
        <v>168.475</v>
      </c>
      <c r="N2696" s="70" t="str">
        <f>C2696</f>
        <v>XM18891</v>
      </c>
      <c r="O2696" s="70" t="str">
        <f>J2697</f>
        <v>NSHIP</v>
      </c>
      <c r="P2696" s="68">
        <f>M2696</f>
        <v>168.475</v>
      </c>
    </row>
    <row r="2697">
      <c r="A2697" s="211"/>
      <c r="B2697" s="231"/>
      <c r="C2697" s="109"/>
      <c r="D2697" s="109"/>
      <c r="E2697" s="116"/>
      <c r="F2697" s="116"/>
      <c r="G2697" s="116"/>
      <c r="H2697" s="109"/>
      <c r="J2697" s="108" t="str">
        <f>IF(B2697="","NSHIP","SHIP")</f>
        <v>NSHIP</v>
      </c>
      <c r="K2697" s="99">
        <f>IF($J2697="NSHIP",0,-SUMIF($J$4:$J$8712,$C2696,$D$4:$D$8712))</f>
        <v>0</v>
      </c>
      <c r="L2697" s="50">
        <f>IF($J2697="NSHIP",0,-SUMIF($J$4:$J$8710,$C2696,$F$4:$F$8710))</f>
        <v>0</v>
      </c>
      <c r="M2697" s="50">
        <f>IF($J2697="NSHIP",0,-SUMIF($J$4:$J$8710,$C2696,$G$4:$G$8710))</f>
        <v>0</v>
      </c>
      <c r="P2697" s="68"/>
    </row>
    <row r="2698">
      <c r="A2698" s="95">
        <v>8.5214028798E10</v>
      </c>
      <c r="B2698" s="151" t="s">
        <v>3081</v>
      </c>
      <c r="C2698" s="95" t="s">
        <v>97</v>
      </c>
      <c r="D2698" s="95">
        <v>2.0</v>
      </c>
      <c r="E2698" s="101">
        <v>14.99</v>
      </c>
      <c r="F2698" s="101">
        <f t="shared" ref="F2698:F2703" si="456">E2698*D2698</f>
        <v>29.98</v>
      </c>
      <c r="G2698" s="101">
        <f t="shared" ref="G2698:G2703" si="457">F2698/4</f>
        <v>7.495</v>
      </c>
      <c r="H2698" s="95" t="s">
        <v>3082</v>
      </c>
      <c r="J2698" s="247" t="s">
        <v>3083</v>
      </c>
      <c r="K2698" s="89"/>
      <c r="L2698" s="90"/>
      <c r="M2698" s="90"/>
      <c r="P2698" s="68"/>
    </row>
    <row r="2699">
      <c r="A2699" s="95">
        <v>8.6569267245E10</v>
      </c>
      <c r="B2699" s="151" t="s">
        <v>3058</v>
      </c>
      <c r="C2699" s="95" t="s">
        <v>97</v>
      </c>
      <c r="D2699" s="95">
        <v>1.0</v>
      </c>
      <c r="E2699" s="101">
        <v>50.99</v>
      </c>
      <c r="F2699" s="101">
        <f t="shared" si="456"/>
        <v>50.99</v>
      </c>
      <c r="G2699" s="101">
        <f t="shared" si="457"/>
        <v>12.7475</v>
      </c>
      <c r="H2699" s="95" t="s">
        <v>2483</v>
      </c>
      <c r="J2699" s="247" t="s">
        <v>3083</v>
      </c>
      <c r="K2699" s="89"/>
      <c r="L2699" s="90"/>
      <c r="M2699" s="90"/>
      <c r="P2699" s="68"/>
    </row>
    <row r="2700">
      <c r="A2700" s="95">
        <v>7.34737518445E11</v>
      </c>
      <c r="B2700" s="151" t="s">
        <v>3084</v>
      </c>
      <c r="C2700" s="95" t="s">
        <v>97</v>
      </c>
      <c r="D2700" s="95">
        <v>1.0</v>
      </c>
      <c r="E2700" s="101">
        <v>325.0</v>
      </c>
      <c r="F2700" s="101">
        <f t="shared" si="456"/>
        <v>325</v>
      </c>
      <c r="G2700" s="101">
        <f t="shared" si="457"/>
        <v>81.25</v>
      </c>
      <c r="H2700" s="95" t="s">
        <v>3085</v>
      </c>
      <c r="J2700" s="247" t="s">
        <v>3083</v>
      </c>
      <c r="K2700" s="89"/>
      <c r="L2700" s="90"/>
      <c r="M2700" s="90"/>
      <c r="P2700" s="68"/>
    </row>
    <row r="2701">
      <c r="A2701" s="95">
        <v>8.46339030161E11</v>
      </c>
      <c r="B2701" s="151" t="s">
        <v>3086</v>
      </c>
      <c r="C2701" s="95" t="s">
        <v>97</v>
      </c>
      <c r="D2701" s="95">
        <v>1.0</v>
      </c>
      <c r="E2701" s="101">
        <v>329.99</v>
      </c>
      <c r="F2701" s="101">
        <f t="shared" si="456"/>
        <v>329.99</v>
      </c>
      <c r="G2701" s="101">
        <f t="shared" si="457"/>
        <v>82.4975</v>
      </c>
      <c r="H2701" s="95" t="s">
        <v>2486</v>
      </c>
      <c r="J2701" s="247" t="s">
        <v>3083</v>
      </c>
      <c r="K2701" s="89"/>
      <c r="L2701" s="90"/>
      <c r="M2701" s="90"/>
      <c r="P2701" s="68"/>
    </row>
    <row r="2702">
      <c r="A2702" s="95">
        <v>8.8530839219E11</v>
      </c>
      <c r="B2702" s="151" t="s">
        <v>3066</v>
      </c>
      <c r="C2702" s="95" t="s">
        <v>97</v>
      </c>
      <c r="D2702" s="95">
        <v>1.0</v>
      </c>
      <c r="E2702" s="101">
        <v>65.99</v>
      </c>
      <c r="F2702" s="101">
        <f t="shared" si="456"/>
        <v>65.99</v>
      </c>
      <c r="G2702" s="101">
        <f t="shared" si="457"/>
        <v>16.4975</v>
      </c>
      <c r="H2702" s="95" t="s">
        <v>2575</v>
      </c>
      <c r="J2702" s="247" t="s">
        <v>3083</v>
      </c>
      <c r="K2702" s="89"/>
      <c r="L2702" s="90"/>
      <c r="M2702" s="90"/>
      <c r="P2702" s="68"/>
    </row>
    <row r="2703">
      <c r="A2703" s="95">
        <v>8.85308425034E11</v>
      </c>
      <c r="B2703" s="151" t="s">
        <v>3079</v>
      </c>
      <c r="C2703" s="95" t="s">
        <v>97</v>
      </c>
      <c r="D2703" s="95">
        <v>1.0</v>
      </c>
      <c r="E2703" s="101">
        <v>22.99</v>
      </c>
      <c r="F2703" s="101">
        <f t="shared" si="456"/>
        <v>22.99</v>
      </c>
      <c r="G2703" s="101">
        <f t="shared" si="457"/>
        <v>5.7475</v>
      </c>
      <c r="H2703" s="95" t="s">
        <v>2575</v>
      </c>
      <c r="J2703" s="247" t="s">
        <v>3083</v>
      </c>
      <c r="K2703" s="89"/>
      <c r="L2703" s="90"/>
      <c r="M2703" s="90"/>
      <c r="P2703" s="68"/>
    </row>
    <row r="2704">
      <c r="A2704" s="211"/>
      <c r="B2704" s="231" t="s">
        <v>3087</v>
      </c>
      <c r="C2704" s="234" t="str">
        <f>MID($B2704,6,7)</f>
        <v>XM18892</v>
      </c>
      <c r="D2704" s="231"/>
      <c r="E2704" s="231"/>
      <c r="F2704" s="231"/>
      <c r="G2704" s="231"/>
      <c r="H2704" s="235">
        <v>44560.0</v>
      </c>
      <c r="J2704" s="108" t="str">
        <f>IF(LEFT(B2704,3)="Box","BOX","COUNT")</f>
        <v>BOX</v>
      </c>
      <c r="K2704" s="99">
        <f>SUMIF($J$4:$J$8712,$C2704,$D$4:$D$8712)</f>
        <v>7</v>
      </c>
      <c r="L2704" s="50">
        <f>SUMIF($J$4:$J$8712,$C2704,$F$4:$F$8712)</f>
        <v>824.94</v>
      </c>
      <c r="M2704" s="50">
        <f>SUMIF($J$4:$J$8712,$C2704,$G$4:$G$8712)</f>
        <v>206.235</v>
      </c>
      <c r="N2704" s="70" t="str">
        <f>C2704</f>
        <v>XM18892</v>
      </c>
      <c r="O2704" s="70" t="str">
        <f>J2705</f>
        <v>NSHIP</v>
      </c>
      <c r="P2704" s="68">
        <f>M2704</f>
        <v>206.235</v>
      </c>
    </row>
    <row r="2705">
      <c r="A2705" s="211"/>
      <c r="B2705" s="231"/>
      <c r="C2705" s="109"/>
      <c r="D2705" s="109"/>
      <c r="E2705" s="116"/>
      <c r="F2705" s="116"/>
      <c r="G2705" s="116"/>
      <c r="H2705" s="109"/>
      <c r="J2705" s="108" t="str">
        <f>IF(B2705="","NSHIP","SHIP")</f>
        <v>NSHIP</v>
      </c>
      <c r="K2705" s="99">
        <f>IF($J2705="NSHIP",0,-SUMIF($J$4:$J$8712,$C2704,$D$4:$D$8712))</f>
        <v>0</v>
      </c>
      <c r="L2705" s="50">
        <f>IF($J2705="NSHIP",0,-SUMIF($J$4:$J$8710,$C2704,$F$4:$F$8710))</f>
        <v>0</v>
      </c>
      <c r="M2705" s="50">
        <f>IF($J2705="NSHIP",0,-SUMIF($J$4:$J$8710,$C2704,$G$4:$G$8710))</f>
        <v>0</v>
      </c>
      <c r="P2705" s="68"/>
    </row>
    <row r="2706">
      <c r="A2706" s="95">
        <v>8.6569267245E10</v>
      </c>
      <c r="B2706" s="151" t="s">
        <v>3058</v>
      </c>
      <c r="C2706" s="95" t="s">
        <v>97</v>
      </c>
      <c r="D2706" s="95">
        <v>2.0</v>
      </c>
      <c r="E2706" s="101">
        <v>50.99</v>
      </c>
      <c r="F2706" s="101">
        <f t="shared" ref="F2706:F2710" si="458">E2706*D2706</f>
        <v>101.98</v>
      </c>
      <c r="G2706" s="101">
        <f t="shared" ref="G2706:G2710" si="459">F2706/4</f>
        <v>25.495</v>
      </c>
      <c r="H2706" s="95" t="s">
        <v>2483</v>
      </c>
      <c r="J2706" s="247" t="s">
        <v>3088</v>
      </c>
      <c r="K2706" s="89"/>
      <c r="L2706" s="90"/>
      <c r="M2706" s="90"/>
      <c r="P2706" s="68"/>
    </row>
    <row r="2707">
      <c r="A2707" s="95">
        <v>8.6569991829E10</v>
      </c>
      <c r="B2707" s="151" t="s">
        <v>3089</v>
      </c>
      <c r="C2707" s="95" t="s">
        <v>97</v>
      </c>
      <c r="D2707" s="95">
        <v>1.0</v>
      </c>
      <c r="E2707" s="101">
        <v>74.99</v>
      </c>
      <c r="F2707" s="101">
        <f t="shared" si="458"/>
        <v>74.99</v>
      </c>
      <c r="G2707" s="101">
        <f t="shared" si="459"/>
        <v>18.7475</v>
      </c>
      <c r="H2707" s="95" t="s">
        <v>2483</v>
      </c>
      <c r="J2707" s="247" t="s">
        <v>3088</v>
      </c>
      <c r="K2707" s="89"/>
      <c r="L2707" s="90"/>
      <c r="M2707" s="90"/>
      <c r="P2707" s="68"/>
    </row>
    <row r="2708">
      <c r="A2708" s="95">
        <v>6.75716986353E11</v>
      </c>
      <c r="B2708" s="151" t="s">
        <v>2509</v>
      </c>
      <c r="C2708" s="95" t="s">
        <v>97</v>
      </c>
      <c r="D2708" s="95">
        <v>1.0</v>
      </c>
      <c r="E2708" s="101">
        <v>133.1</v>
      </c>
      <c r="F2708" s="101">
        <f t="shared" si="458"/>
        <v>133.1</v>
      </c>
      <c r="G2708" s="101">
        <f t="shared" si="459"/>
        <v>33.275</v>
      </c>
      <c r="H2708" s="95" t="s">
        <v>2510</v>
      </c>
      <c r="J2708" s="247" t="s">
        <v>3088</v>
      </c>
      <c r="K2708" s="89"/>
      <c r="L2708" s="90"/>
      <c r="M2708" s="90"/>
      <c r="P2708" s="68"/>
    </row>
    <row r="2709">
      <c r="A2709" s="95">
        <v>8.8530839219E11</v>
      </c>
      <c r="B2709" s="151" t="s">
        <v>3066</v>
      </c>
      <c r="C2709" s="95" t="s">
        <v>97</v>
      </c>
      <c r="D2709" s="95">
        <v>1.0</v>
      </c>
      <c r="E2709" s="101">
        <v>65.99</v>
      </c>
      <c r="F2709" s="101">
        <f t="shared" si="458"/>
        <v>65.99</v>
      </c>
      <c r="G2709" s="101">
        <f t="shared" si="459"/>
        <v>16.4975</v>
      </c>
      <c r="H2709" s="95" t="s">
        <v>2575</v>
      </c>
      <c r="J2709" s="247" t="s">
        <v>3088</v>
      </c>
      <c r="K2709" s="89"/>
      <c r="L2709" s="90"/>
      <c r="M2709" s="90"/>
      <c r="P2709" s="68"/>
    </row>
    <row r="2710">
      <c r="A2710" s="95">
        <v>8.85308425034E11</v>
      </c>
      <c r="B2710" s="151" t="s">
        <v>3079</v>
      </c>
      <c r="C2710" s="95" t="s">
        <v>97</v>
      </c>
      <c r="D2710" s="95">
        <v>1.0</v>
      </c>
      <c r="E2710" s="101">
        <v>22.99</v>
      </c>
      <c r="F2710" s="101">
        <f t="shared" si="458"/>
        <v>22.99</v>
      </c>
      <c r="G2710" s="101">
        <f t="shared" si="459"/>
        <v>5.7475</v>
      </c>
      <c r="H2710" s="95" t="s">
        <v>2575</v>
      </c>
      <c r="J2710" s="247" t="s">
        <v>3088</v>
      </c>
      <c r="K2710" s="89"/>
      <c r="L2710" s="90"/>
      <c r="M2710" s="90"/>
      <c r="P2710" s="68"/>
    </row>
    <row r="2711">
      <c r="A2711" s="211"/>
      <c r="B2711" s="231" t="s">
        <v>3090</v>
      </c>
      <c r="C2711" s="234" t="str">
        <f>MID($B2711,6,7)</f>
        <v>XM18893</v>
      </c>
      <c r="D2711" s="231"/>
      <c r="E2711" s="231"/>
      <c r="F2711" s="231"/>
      <c r="G2711" s="231"/>
      <c r="H2711" s="235">
        <v>44560.0</v>
      </c>
      <c r="J2711" s="108" t="str">
        <f>IF(LEFT(B2711,3)="Box","BOX","COUNT")</f>
        <v>BOX</v>
      </c>
      <c r="K2711" s="99">
        <f>SUMIF($J$4:$J$8712,$C2711,$D$4:$D$8712)</f>
        <v>6</v>
      </c>
      <c r="L2711" s="50">
        <f>SUMIF($J$4:$J$8712,$C2711,$F$4:$F$8712)</f>
        <v>399.05</v>
      </c>
      <c r="M2711" s="50">
        <f>SUMIF($J$4:$J$8712,$C2711,$G$4:$G$8712)</f>
        <v>99.7625</v>
      </c>
      <c r="N2711" s="70" t="str">
        <f>C2711</f>
        <v>XM18893</v>
      </c>
      <c r="O2711" s="70" t="str">
        <f>J2712</f>
        <v>NSHIP</v>
      </c>
      <c r="P2711" s="68">
        <f>M2711</f>
        <v>99.7625</v>
      </c>
    </row>
    <row r="2712">
      <c r="A2712" s="211"/>
      <c r="B2712" s="231"/>
      <c r="C2712" s="109"/>
      <c r="D2712" s="109"/>
      <c r="E2712" s="116"/>
      <c r="F2712" s="116"/>
      <c r="G2712" s="116"/>
      <c r="H2712" s="109"/>
      <c r="J2712" s="108" t="str">
        <f>IF(B2712="","NSHIP","SHIP")</f>
        <v>NSHIP</v>
      </c>
      <c r="K2712" s="99">
        <f>IF($J2712="NSHIP",0,-SUMIF($J$4:$J$8712,$C2711,$D$4:$D$8712))</f>
        <v>0</v>
      </c>
      <c r="L2712" s="50">
        <f>IF($J2712="NSHIP",0,-SUMIF($J$4:$J$8710,$C2711,$F$4:$F$8710))</f>
        <v>0</v>
      </c>
      <c r="M2712" s="50">
        <f>IF($J2712="NSHIP",0,-SUMIF($J$4:$J$8710,$C2711,$G$4:$G$8710))</f>
        <v>0</v>
      </c>
      <c r="P2712" s="68"/>
    </row>
    <row r="2713">
      <c r="A2713" s="95">
        <v>3.7882810649E10</v>
      </c>
      <c r="B2713" s="151" t="s">
        <v>221</v>
      </c>
      <c r="C2713" s="95" t="s">
        <v>97</v>
      </c>
      <c r="D2713" s="95">
        <v>1.0</v>
      </c>
      <c r="E2713" s="101">
        <v>36.0</v>
      </c>
      <c r="F2713" s="101">
        <f t="shared" ref="F2713:F2748" si="460">E2713*D2713</f>
        <v>36</v>
      </c>
      <c r="G2713" s="101">
        <f t="shared" ref="G2713:G2748" si="461">F2713/4</f>
        <v>9</v>
      </c>
      <c r="H2713" s="95" t="s">
        <v>222</v>
      </c>
      <c r="J2713" s="247" t="s">
        <v>3091</v>
      </c>
      <c r="K2713" s="89"/>
      <c r="L2713" s="90"/>
      <c r="M2713" s="90"/>
      <c r="P2713" s="68"/>
    </row>
    <row r="2714">
      <c r="A2714" s="95">
        <v>3.7882810663E10</v>
      </c>
      <c r="B2714" s="151" t="s">
        <v>223</v>
      </c>
      <c r="C2714" s="95" t="s">
        <v>97</v>
      </c>
      <c r="D2714" s="95">
        <v>1.0</v>
      </c>
      <c r="E2714" s="101">
        <v>36.0</v>
      </c>
      <c r="F2714" s="101">
        <f t="shared" si="460"/>
        <v>36</v>
      </c>
      <c r="G2714" s="101">
        <f t="shared" si="461"/>
        <v>9</v>
      </c>
      <c r="H2714" s="95" t="s">
        <v>222</v>
      </c>
      <c r="J2714" s="247" t="s">
        <v>3091</v>
      </c>
      <c r="K2714" s="89"/>
      <c r="L2714" s="90"/>
      <c r="M2714" s="90"/>
      <c r="P2714" s="68"/>
    </row>
    <row r="2715">
      <c r="A2715" s="95">
        <v>9.3488460817E10</v>
      </c>
      <c r="B2715" s="151" t="s">
        <v>3092</v>
      </c>
      <c r="C2715" s="95" t="s">
        <v>97</v>
      </c>
      <c r="D2715" s="95">
        <v>1.0</v>
      </c>
      <c r="E2715" s="101">
        <v>59.0</v>
      </c>
      <c r="F2715" s="101">
        <f t="shared" si="460"/>
        <v>59</v>
      </c>
      <c r="G2715" s="101">
        <f t="shared" si="461"/>
        <v>14.75</v>
      </c>
      <c r="H2715" s="95" t="s">
        <v>643</v>
      </c>
      <c r="J2715" s="247" t="s">
        <v>3091</v>
      </c>
      <c r="K2715" s="89"/>
      <c r="L2715" s="90"/>
      <c r="M2715" s="90"/>
      <c r="P2715" s="68"/>
    </row>
    <row r="2716">
      <c r="A2716" s="95">
        <v>1.90392768913E11</v>
      </c>
      <c r="B2716" s="151" t="s">
        <v>3093</v>
      </c>
      <c r="C2716" s="95" t="s">
        <v>97</v>
      </c>
      <c r="D2716" s="95">
        <v>1.0</v>
      </c>
      <c r="E2716" s="101">
        <v>165.0</v>
      </c>
      <c r="F2716" s="101">
        <f t="shared" si="460"/>
        <v>165</v>
      </c>
      <c r="G2716" s="101">
        <f t="shared" si="461"/>
        <v>41.25</v>
      </c>
      <c r="H2716" s="95" t="s">
        <v>3094</v>
      </c>
      <c r="J2716" s="247" t="s">
        <v>3091</v>
      </c>
      <c r="K2716" s="89"/>
      <c r="L2716" s="90"/>
      <c r="M2716" s="90"/>
      <c r="P2716" s="68"/>
    </row>
    <row r="2717">
      <c r="A2717" s="95">
        <v>1.92648561354E11</v>
      </c>
      <c r="B2717" s="151" t="s">
        <v>3095</v>
      </c>
      <c r="C2717" s="95" t="s">
        <v>97</v>
      </c>
      <c r="D2717" s="95">
        <v>1.0</v>
      </c>
      <c r="E2717" s="101">
        <v>455.0</v>
      </c>
      <c r="F2717" s="101">
        <f t="shared" si="460"/>
        <v>455</v>
      </c>
      <c r="G2717" s="101">
        <f t="shared" si="461"/>
        <v>113.75</v>
      </c>
      <c r="H2717" s="95" t="s">
        <v>211</v>
      </c>
      <c r="J2717" s="247" t="s">
        <v>3091</v>
      </c>
      <c r="K2717" s="89"/>
      <c r="L2717" s="90"/>
      <c r="M2717" s="90"/>
      <c r="P2717" s="68"/>
    </row>
    <row r="2718">
      <c r="A2718" s="95">
        <v>1.92648691273E11</v>
      </c>
      <c r="B2718" s="151" t="s">
        <v>3096</v>
      </c>
      <c r="C2718" s="95" t="s">
        <v>97</v>
      </c>
      <c r="D2718" s="95">
        <v>1.0</v>
      </c>
      <c r="E2718" s="101">
        <v>95.0</v>
      </c>
      <c r="F2718" s="101">
        <f t="shared" si="460"/>
        <v>95</v>
      </c>
      <c r="G2718" s="101">
        <f t="shared" si="461"/>
        <v>23.75</v>
      </c>
      <c r="H2718" s="95" t="s">
        <v>211</v>
      </c>
      <c r="J2718" s="247" t="s">
        <v>3091</v>
      </c>
      <c r="K2718" s="89"/>
      <c r="L2718" s="90"/>
      <c r="M2718" s="90"/>
      <c r="P2718" s="68"/>
    </row>
    <row r="2719">
      <c r="A2719" s="95">
        <v>1.9517000601E11</v>
      </c>
      <c r="B2719" s="151" t="s">
        <v>3097</v>
      </c>
      <c r="C2719" s="95" t="s">
        <v>97</v>
      </c>
      <c r="D2719" s="95">
        <v>1.0</v>
      </c>
      <c r="E2719" s="101">
        <v>149.0</v>
      </c>
      <c r="F2719" s="101">
        <f t="shared" si="460"/>
        <v>149</v>
      </c>
      <c r="G2719" s="101">
        <f t="shared" si="461"/>
        <v>37.25</v>
      </c>
      <c r="H2719" s="95" t="s">
        <v>171</v>
      </c>
      <c r="J2719" s="247" t="s">
        <v>3091</v>
      </c>
      <c r="K2719" s="89"/>
      <c r="L2719" s="90"/>
      <c r="M2719" s="90"/>
      <c r="P2719" s="68"/>
    </row>
    <row r="2720">
      <c r="A2720" s="95">
        <v>6.35273766485E11</v>
      </c>
      <c r="B2720" s="151" t="s">
        <v>3098</v>
      </c>
      <c r="C2720" s="95" t="s">
        <v>97</v>
      </c>
      <c r="D2720" s="95">
        <v>1.0</v>
      </c>
      <c r="E2720" s="101">
        <v>74.25</v>
      </c>
      <c r="F2720" s="101">
        <f t="shared" si="460"/>
        <v>74.25</v>
      </c>
      <c r="G2720" s="101">
        <f t="shared" si="461"/>
        <v>18.5625</v>
      </c>
      <c r="H2720" s="95" t="s">
        <v>3099</v>
      </c>
      <c r="J2720" s="247" t="s">
        <v>3091</v>
      </c>
      <c r="K2720" s="89"/>
      <c r="L2720" s="90"/>
      <c r="M2720" s="90"/>
      <c r="P2720" s="68"/>
    </row>
    <row r="2721">
      <c r="A2721" s="95">
        <v>6.81283336019E11</v>
      </c>
      <c r="B2721" s="151" t="s">
        <v>3100</v>
      </c>
      <c r="C2721" s="95" t="s">
        <v>97</v>
      </c>
      <c r="D2721" s="95">
        <v>1.0</v>
      </c>
      <c r="E2721" s="101">
        <v>79.0</v>
      </c>
      <c r="F2721" s="101">
        <f t="shared" si="460"/>
        <v>79</v>
      </c>
      <c r="G2721" s="101">
        <f t="shared" si="461"/>
        <v>19.75</v>
      </c>
      <c r="H2721" s="95" t="s">
        <v>392</v>
      </c>
      <c r="J2721" s="247" t="s">
        <v>3091</v>
      </c>
      <c r="K2721" s="89"/>
      <c r="L2721" s="90"/>
      <c r="M2721" s="90"/>
      <c r="P2721" s="68"/>
    </row>
    <row r="2722">
      <c r="A2722" s="95">
        <v>7.06256492162E11</v>
      </c>
      <c r="B2722" s="151" t="s">
        <v>3101</v>
      </c>
      <c r="C2722" s="95" t="s">
        <v>97</v>
      </c>
      <c r="D2722" s="95">
        <v>1.0</v>
      </c>
      <c r="E2722" s="101">
        <v>69.5</v>
      </c>
      <c r="F2722" s="101">
        <f t="shared" si="460"/>
        <v>69.5</v>
      </c>
      <c r="G2722" s="101">
        <f t="shared" si="461"/>
        <v>17.375</v>
      </c>
      <c r="H2722" s="95" t="s">
        <v>402</v>
      </c>
      <c r="J2722" s="247" t="s">
        <v>3091</v>
      </c>
      <c r="K2722" s="89"/>
      <c r="L2722" s="90"/>
      <c r="M2722" s="90"/>
      <c r="P2722" s="68"/>
    </row>
    <row r="2723">
      <c r="A2723" s="95">
        <v>7.06256492223E11</v>
      </c>
      <c r="B2723" s="151" t="s">
        <v>3102</v>
      </c>
      <c r="C2723" s="95" t="s">
        <v>97</v>
      </c>
      <c r="D2723" s="95">
        <v>1.0</v>
      </c>
      <c r="E2723" s="101">
        <v>69.5</v>
      </c>
      <c r="F2723" s="101">
        <f t="shared" si="460"/>
        <v>69.5</v>
      </c>
      <c r="G2723" s="101">
        <f t="shared" si="461"/>
        <v>17.375</v>
      </c>
      <c r="H2723" s="95" t="s">
        <v>402</v>
      </c>
      <c r="J2723" s="247" t="s">
        <v>3091</v>
      </c>
      <c r="K2723" s="89"/>
      <c r="L2723" s="90"/>
      <c r="M2723" s="90"/>
      <c r="P2723" s="68"/>
    </row>
    <row r="2724">
      <c r="A2724" s="95">
        <v>7.33001273998E11</v>
      </c>
      <c r="B2724" s="151" t="s">
        <v>3103</v>
      </c>
      <c r="C2724" s="95" t="s">
        <v>97</v>
      </c>
      <c r="D2724" s="95">
        <v>1.0</v>
      </c>
      <c r="E2724" s="101">
        <v>59.5</v>
      </c>
      <c r="F2724" s="101">
        <f t="shared" si="460"/>
        <v>59.5</v>
      </c>
      <c r="G2724" s="101">
        <f t="shared" si="461"/>
        <v>14.875</v>
      </c>
      <c r="H2724" s="95" t="s">
        <v>193</v>
      </c>
      <c r="J2724" s="247" t="s">
        <v>3091</v>
      </c>
      <c r="K2724" s="89"/>
      <c r="L2724" s="90"/>
      <c r="M2724" s="90"/>
      <c r="P2724" s="68"/>
    </row>
    <row r="2725">
      <c r="A2725" s="95">
        <v>7.33001274124E11</v>
      </c>
      <c r="B2725" s="151" t="s">
        <v>3104</v>
      </c>
      <c r="C2725" s="95" t="s">
        <v>97</v>
      </c>
      <c r="D2725" s="95">
        <v>1.0</v>
      </c>
      <c r="E2725" s="101">
        <v>59.5</v>
      </c>
      <c r="F2725" s="101">
        <f t="shared" si="460"/>
        <v>59.5</v>
      </c>
      <c r="G2725" s="101">
        <f t="shared" si="461"/>
        <v>14.875</v>
      </c>
      <c r="H2725" s="95" t="s">
        <v>193</v>
      </c>
      <c r="J2725" s="247" t="s">
        <v>3091</v>
      </c>
      <c r="K2725" s="89"/>
      <c r="L2725" s="90"/>
      <c r="M2725" s="90"/>
      <c r="P2725" s="68"/>
    </row>
    <row r="2726">
      <c r="A2726" s="95">
        <v>7.330013939E11</v>
      </c>
      <c r="B2726" s="151" t="s">
        <v>3105</v>
      </c>
      <c r="C2726" s="95" t="s">
        <v>97</v>
      </c>
      <c r="D2726" s="95">
        <v>1.0</v>
      </c>
      <c r="E2726" s="101">
        <v>69.5</v>
      </c>
      <c r="F2726" s="101">
        <f t="shared" si="460"/>
        <v>69.5</v>
      </c>
      <c r="G2726" s="101">
        <f t="shared" si="461"/>
        <v>17.375</v>
      </c>
      <c r="H2726" s="95" t="s">
        <v>402</v>
      </c>
      <c r="J2726" s="247" t="s">
        <v>3091</v>
      </c>
      <c r="K2726" s="89"/>
      <c r="L2726" s="90"/>
      <c r="M2726" s="90"/>
      <c r="P2726" s="68"/>
    </row>
    <row r="2727">
      <c r="A2727" s="95">
        <v>7.33001450023E11</v>
      </c>
      <c r="B2727" s="151" t="s">
        <v>3106</v>
      </c>
      <c r="C2727" s="95" t="s">
        <v>97</v>
      </c>
      <c r="D2727" s="95">
        <v>2.0</v>
      </c>
      <c r="E2727" s="101">
        <v>69.5</v>
      </c>
      <c r="F2727" s="101">
        <f t="shared" si="460"/>
        <v>139</v>
      </c>
      <c r="G2727" s="101">
        <f t="shared" si="461"/>
        <v>34.75</v>
      </c>
      <c r="H2727" s="95" t="s">
        <v>193</v>
      </c>
      <c r="J2727" s="247" t="s">
        <v>3091</v>
      </c>
      <c r="K2727" s="89"/>
      <c r="L2727" s="90"/>
      <c r="M2727" s="90"/>
      <c r="P2727" s="68"/>
    </row>
    <row r="2728">
      <c r="A2728" s="95">
        <v>7.3300145003E11</v>
      </c>
      <c r="B2728" s="151" t="s">
        <v>3107</v>
      </c>
      <c r="C2728" s="95" t="s">
        <v>97</v>
      </c>
      <c r="D2728" s="95">
        <v>4.0</v>
      </c>
      <c r="E2728" s="101">
        <v>69.5</v>
      </c>
      <c r="F2728" s="101">
        <f t="shared" si="460"/>
        <v>278</v>
      </c>
      <c r="G2728" s="101">
        <f t="shared" si="461"/>
        <v>69.5</v>
      </c>
      <c r="H2728" s="95" t="s">
        <v>193</v>
      </c>
      <c r="J2728" s="247" t="s">
        <v>3091</v>
      </c>
      <c r="K2728" s="89"/>
      <c r="L2728" s="90"/>
      <c r="M2728" s="90"/>
      <c r="P2728" s="68"/>
    </row>
    <row r="2729">
      <c r="A2729" s="95">
        <v>7.33001450047E11</v>
      </c>
      <c r="B2729" s="151" t="s">
        <v>3108</v>
      </c>
      <c r="C2729" s="95" t="s">
        <v>97</v>
      </c>
      <c r="D2729" s="95">
        <v>1.0</v>
      </c>
      <c r="E2729" s="101">
        <v>69.5</v>
      </c>
      <c r="F2729" s="101">
        <f t="shared" si="460"/>
        <v>69.5</v>
      </c>
      <c r="G2729" s="101">
        <f t="shared" si="461"/>
        <v>17.375</v>
      </c>
      <c r="H2729" s="95" t="s">
        <v>193</v>
      </c>
      <c r="J2729" s="247" t="s">
        <v>3091</v>
      </c>
      <c r="K2729" s="89"/>
      <c r="L2729" s="90"/>
      <c r="M2729" s="90"/>
      <c r="P2729" s="68"/>
    </row>
    <row r="2730">
      <c r="A2730" s="95">
        <v>7.33001450054E11</v>
      </c>
      <c r="B2730" s="151" t="s">
        <v>3109</v>
      </c>
      <c r="C2730" s="95" t="s">
        <v>97</v>
      </c>
      <c r="D2730" s="95">
        <v>2.0</v>
      </c>
      <c r="E2730" s="101">
        <v>69.5</v>
      </c>
      <c r="F2730" s="101">
        <f t="shared" si="460"/>
        <v>139</v>
      </c>
      <c r="G2730" s="101">
        <f t="shared" si="461"/>
        <v>34.75</v>
      </c>
      <c r="H2730" s="95" t="s">
        <v>193</v>
      </c>
      <c r="J2730" s="247" t="s">
        <v>3091</v>
      </c>
      <c r="K2730" s="89"/>
      <c r="L2730" s="90"/>
      <c r="M2730" s="90"/>
      <c r="P2730" s="68"/>
    </row>
    <row r="2731">
      <c r="A2731" s="95">
        <v>7.33001450061E11</v>
      </c>
      <c r="B2731" s="151" t="s">
        <v>3110</v>
      </c>
      <c r="C2731" s="95" t="s">
        <v>97</v>
      </c>
      <c r="D2731" s="95">
        <v>1.0</v>
      </c>
      <c r="E2731" s="101">
        <v>69.5</v>
      </c>
      <c r="F2731" s="101">
        <f t="shared" si="460"/>
        <v>69.5</v>
      </c>
      <c r="G2731" s="101">
        <f t="shared" si="461"/>
        <v>17.375</v>
      </c>
      <c r="H2731" s="95" t="s">
        <v>193</v>
      </c>
      <c r="J2731" s="247" t="s">
        <v>3091</v>
      </c>
      <c r="K2731" s="89"/>
      <c r="L2731" s="90"/>
      <c r="M2731" s="90"/>
      <c r="P2731" s="68"/>
    </row>
    <row r="2732">
      <c r="A2732" s="95">
        <v>7.33001450108E11</v>
      </c>
      <c r="B2732" s="151" t="s">
        <v>3111</v>
      </c>
      <c r="C2732" s="95" t="s">
        <v>97</v>
      </c>
      <c r="D2732" s="95">
        <v>3.0</v>
      </c>
      <c r="E2732" s="101">
        <v>69.5</v>
      </c>
      <c r="F2732" s="101">
        <f t="shared" si="460"/>
        <v>208.5</v>
      </c>
      <c r="G2732" s="101">
        <f t="shared" si="461"/>
        <v>52.125</v>
      </c>
      <c r="H2732" s="95" t="s">
        <v>193</v>
      </c>
      <c r="J2732" s="247" t="s">
        <v>3091</v>
      </c>
      <c r="K2732" s="89"/>
      <c r="L2732" s="90"/>
      <c r="M2732" s="90"/>
      <c r="P2732" s="68"/>
    </row>
    <row r="2733">
      <c r="A2733" s="95">
        <v>7.33001820673E11</v>
      </c>
      <c r="B2733" s="151" t="s">
        <v>679</v>
      </c>
      <c r="C2733" s="95" t="s">
        <v>97</v>
      </c>
      <c r="D2733" s="95">
        <v>1.0</v>
      </c>
      <c r="E2733" s="101">
        <v>69.5</v>
      </c>
      <c r="F2733" s="101">
        <f t="shared" si="460"/>
        <v>69.5</v>
      </c>
      <c r="G2733" s="101">
        <f t="shared" si="461"/>
        <v>17.375</v>
      </c>
      <c r="H2733" s="95" t="s">
        <v>193</v>
      </c>
      <c r="J2733" s="247" t="s">
        <v>3091</v>
      </c>
      <c r="K2733" s="89"/>
      <c r="L2733" s="90"/>
      <c r="M2733" s="90"/>
      <c r="P2733" s="68"/>
    </row>
    <row r="2734">
      <c r="A2734" s="95">
        <v>7.33001820697E11</v>
      </c>
      <c r="B2734" s="151" t="s">
        <v>3112</v>
      </c>
      <c r="C2734" s="95" t="s">
        <v>97</v>
      </c>
      <c r="D2734" s="95">
        <v>1.0</v>
      </c>
      <c r="E2734" s="101">
        <v>69.5</v>
      </c>
      <c r="F2734" s="101">
        <f t="shared" si="460"/>
        <v>69.5</v>
      </c>
      <c r="G2734" s="101">
        <f t="shared" si="461"/>
        <v>17.375</v>
      </c>
      <c r="H2734" s="95" t="s">
        <v>193</v>
      </c>
      <c r="J2734" s="247" t="s">
        <v>3091</v>
      </c>
      <c r="K2734" s="89"/>
      <c r="L2734" s="90"/>
      <c r="M2734" s="90"/>
      <c r="P2734" s="68"/>
    </row>
    <row r="2735">
      <c r="A2735" s="95">
        <v>7.33001820703E11</v>
      </c>
      <c r="B2735" s="151" t="s">
        <v>3113</v>
      </c>
      <c r="C2735" s="95" t="s">
        <v>97</v>
      </c>
      <c r="D2735" s="95">
        <v>1.0</v>
      </c>
      <c r="E2735" s="101">
        <v>69.5</v>
      </c>
      <c r="F2735" s="101">
        <f t="shared" si="460"/>
        <v>69.5</v>
      </c>
      <c r="G2735" s="101">
        <f t="shared" si="461"/>
        <v>17.375</v>
      </c>
      <c r="H2735" s="95" t="s">
        <v>193</v>
      </c>
      <c r="J2735" s="247" t="s">
        <v>3091</v>
      </c>
      <c r="K2735" s="89"/>
      <c r="L2735" s="90"/>
      <c r="M2735" s="90"/>
      <c r="P2735" s="68"/>
    </row>
    <row r="2736">
      <c r="A2736" s="95">
        <v>7.3300191671E11</v>
      </c>
      <c r="B2736" s="151" t="s">
        <v>3114</v>
      </c>
      <c r="C2736" s="95" t="s">
        <v>97</v>
      </c>
      <c r="D2736" s="95">
        <v>1.0</v>
      </c>
      <c r="E2736" s="101">
        <v>59.5</v>
      </c>
      <c r="F2736" s="101">
        <f t="shared" si="460"/>
        <v>59.5</v>
      </c>
      <c r="G2736" s="101">
        <f t="shared" si="461"/>
        <v>14.875</v>
      </c>
      <c r="H2736" s="95" t="s">
        <v>193</v>
      </c>
      <c r="J2736" s="247" t="s">
        <v>3091</v>
      </c>
      <c r="K2736" s="89"/>
      <c r="L2736" s="90"/>
      <c r="M2736" s="90"/>
      <c r="P2736" s="68"/>
    </row>
    <row r="2737">
      <c r="A2737" s="95">
        <v>7.33001916765E11</v>
      </c>
      <c r="B2737" s="151" t="s">
        <v>3115</v>
      </c>
      <c r="C2737" s="95" t="s">
        <v>97</v>
      </c>
      <c r="D2737" s="95">
        <v>1.0</v>
      </c>
      <c r="E2737" s="101">
        <v>59.5</v>
      </c>
      <c r="F2737" s="101">
        <f t="shared" si="460"/>
        <v>59.5</v>
      </c>
      <c r="G2737" s="101">
        <f t="shared" si="461"/>
        <v>14.875</v>
      </c>
      <c r="H2737" s="95" t="s">
        <v>193</v>
      </c>
      <c r="J2737" s="247" t="s">
        <v>3091</v>
      </c>
      <c r="K2737" s="89"/>
      <c r="L2737" s="90"/>
      <c r="M2737" s="90"/>
      <c r="P2737" s="68"/>
    </row>
    <row r="2738">
      <c r="A2738" s="95">
        <v>7.33001916772E11</v>
      </c>
      <c r="B2738" s="151" t="s">
        <v>3116</v>
      </c>
      <c r="C2738" s="95" t="s">
        <v>97</v>
      </c>
      <c r="D2738" s="95">
        <v>1.0</v>
      </c>
      <c r="E2738" s="101">
        <v>59.5</v>
      </c>
      <c r="F2738" s="101">
        <f t="shared" si="460"/>
        <v>59.5</v>
      </c>
      <c r="G2738" s="101">
        <f t="shared" si="461"/>
        <v>14.875</v>
      </c>
      <c r="H2738" s="95" t="s">
        <v>193</v>
      </c>
      <c r="J2738" s="247" t="s">
        <v>3091</v>
      </c>
      <c r="K2738" s="89"/>
      <c r="L2738" s="90"/>
      <c r="M2738" s="90"/>
      <c r="P2738" s="68"/>
    </row>
    <row r="2739">
      <c r="A2739" s="95">
        <v>7.33001916789E11</v>
      </c>
      <c r="B2739" s="151" t="s">
        <v>3117</v>
      </c>
      <c r="C2739" s="95" t="s">
        <v>97</v>
      </c>
      <c r="D2739" s="95">
        <v>1.0</v>
      </c>
      <c r="E2739" s="101">
        <v>59.5</v>
      </c>
      <c r="F2739" s="101">
        <f t="shared" si="460"/>
        <v>59.5</v>
      </c>
      <c r="G2739" s="101">
        <f t="shared" si="461"/>
        <v>14.875</v>
      </c>
      <c r="H2739" s="95" t="s">
        <v>193</v>
      </c>
      <c r="J2739" s="247" t="s">
        <v>3091</v>
      </c>
      <c r="K2739" s="89"/>
      <c r="L2739" s="90"/>
      <c r="M2739" s="90"/>
      <c r="P2739" s="68"/>
    </row>
    <row r="2740">
      <c r="A2740" s="95">
        <v>7.33001916796E11</v>
      </c>
      <c r="B2740" s="151" t="s">
        <v>3118</v>
      </c>
      <c r="C2740" s="95" t="s">
        <v>97</v>
      </c>
      <c r="D2740" s="95">
        <v>1.0</v>
      </c>
      <c r="E2740" s="101">
        <v>59.5</v>
      </c>
      <c r="F2740" s="101">
        <f t="shared" si="460"/>
        <v>59.5</v>
      </c>
      <c r="G2740" s="101">
        <f t="shared" si="461"/>
        <v>14.875</v>
      </c>
      <c r="H2740" s="95" t="s">
        <v>193</v>
      </c>
      <c r="J2740" s="247" t="s">
        <v>3091</v>
      </c>
      <c r="K2740" s="89"/>
      <c r="L2740" s="90"/>
      <c r="M2740" s="90"/>
      <c r="P2740" s="68"/>
    </row>
    <row r="2741">
      <c r="A2741" s="95">
        <v>7.33001916901E11</v>
      </c>
      <c r="B2741" s="151" t="s">
        <v>3119</v>
      </c>
      <c r="C2741" s="95" t="s">
        <v>97</v>
      </c>
      <c r="D2741" s="95">
        <v>1.0</v>
      </c>
      <c r="E2741" s="101">
        <v>69.5</v>
      </c>
      <c r="F2741" s="101">
        <f t="shared" si="460"/>
        <v>69.5</v>
      </c>
      <c r="G2741" s="101">
        <f t="shared" si="461"/>
        <v>17.375</v>
      </c>
      <c r="H2741" s="95" t="s">
        <v>193</v>
      </c>
      <c r="J2741" s="247" t="s">
        <v>3091</v>
      </c>
      <c r="K2741" s="89"/>
      <c r="L2741" s="90"/>
      <c r="M2741" s="90"/>
      <c r="P2741" s="68"/>
    </row>
    <row r="2742">
      <c r="A2742" s="95">
        <v>7.33002020874E11</v>
      </c>
      <c r="B2742" s="151" t="s">
        <v>3120</v>
      </c>
      <c r="C2742" s="95" t="s">
        <v>97</v>
      </c>
      <c r="D2742" s="95">
        <v>1.0</v>
      </c>
      <c r="E2742" s="101">
        <v>24.5</v>
      </c>
      <c r="F2742" s="101">
        <f t="shared" si="460"/>
        <v>24.5</v>
      </c>
      <c r="G2742" s="101">
        <f t="shared" si="461"/>
        <v>6.125</v>
      </c>
      <c r="H2742" s="95" t="s">
        <v>193</v>
      </c>
      <c r="J2742" s="247" t="s">
        <v>3091</v>
      </c>
      <c r="K2742" s="89"/>
      <c r="L2742" s="90"/>
      <c r="M2742" s="90"/>
      <c r="P2742" s="68"/>
    </row>
    <row r="2743">
      <c r="A2743" s="95">
        <v>7.3300217654E11</v>
      </c>
      <c r="B2743" s="151" t="s">
        <v>3121</v>
      </c>
      <c r="C2743" s="95" t="s">
        <v>97</v>
      </c>
      <c r="D2743" s="95">
        <v>1.0</v>
      </c>
      <c r="E2743" s="101">
        <v>59.5</v>
      </c>
      <c r="F2743" s="101">
        <f t="shared" si="460"/>
        <v>59.5</v>
      </c>
      <c r="G2743" s="101">
        <f t="shared" si="461"/>
        <v>14.875</v>
      </c>
      <c r="H2743" s="95" t="s">
        <v>402</v>
      </c>
      <c r="J2743" s="247" t="s">
        <v>3091</v>
      </c>
      <c r="K2743" s="89"/>
      <c r="L2743" s="90"/>
      <c r="M2743" s="90"/>
      <c r="P2743" s="68"/>
    </row>
    <row r="2744">
      <c r="A2744" s="95">
        <v>7.33002392001E11</v>
      </c>
      <c r="B2744" s="151" t="s">
        <v>3122</v>
      </c>
      <c r="C2744" s="95" t="s">
        <v>97</v>
      </c>
      <c r="D2744" s="95">
        <v>1.0</v>
      </c>
      <c r="E2744" s="101">
        <v>69.5</v>
      </c>
      <c r="F2744" s="101">
        <f t="shared" si="460"/>
        <v>69.5</v>
      </c>
      <c r="G2744" s="101">
        <f t="shared" si="461"/>
        <v>17.375</v>
      </c>
      <c r="H2744" s="95" t="s">
        <v>402</v>
      </c>
      <c r="J2744" s="247" t="s">
        <v>3091</v>
      </c>
      <c r="K2744" s="89"/>
      <c r="L2744" s="90"/>
      <c r="M2744" s="90"/>
      <c r="P2744" s="68"/>
    </row>
    <row r="2745">
      <c r="A2745" s="95">
        <v>8.10026360381E11</v>
      </c>
      <c r="B2745" s="151" t="s">
        <v>3123</v>
      </c>
      <c r="C2745" s="95" t="s">
        <v>97</v>
      </c>
      <c r="D2745" s="95">
        <v>1.0</v>
      </c>
      <c r="E2745" s="101">
        <v>59.36</v>
      </c>
      <c r="F2745" s="101">
        <f t="shared" si="460"/>
        <v>59.36</v>
      </c>
      <c r="G2745" s="101">
        <f t="shared" si="461"/>
        <v>14.84</v>
      </c>
      <c r="H2745" s="95" t="s">
        <v>3124</v>
      </c>
      <c r="J2745" s="247" t="s">
        <v>3091</v>
      </c>
      <c r="K2745" s="89"/>
      <c r="L2745" s="90"/>
      <c r="M2745" s="90"/>
      <c r="P2745" s="68"/>
    </row>
    <row r="2746">
      <c r="A2746" s="95">
        <v>8.83806165681E11</v>
      </c>
      <c r="B2746" s="151" t="s">
        <v>3125</v>
      </c>
      <c r="C2746" s="95" t="s">
        <v>97</v>
      </c>
      <c r="D2746" s="95">
        <v>1.0</v>
      </c>
      <c r="E2746" s="101">
        <v>125.0</v>
      </c>
      <c r="F2746" s="101">
        <f t="shared" si="460"/>
        <v>125</v>
      </c>
      <c r="G2746" s="101">
        <f t="shared" si="461"/>
        <v>31.25</v>
      </c>
      <c r="H2746" s="95" t="s">
        <v>196</v>
      </c>
      <c r="J2746" s="247" t="s">
        <v>3091</v>
      </c>
      <c r="K2746" s="89"/>
      <c r="L2746" s="90"/>
      <c r="M2746" s="90"/>
      <c r="P2746" s="68"/>
    </row>
    <row r="2747">
      <c r="A2747" s="95">
        <v>8.84094510559E11</v>
      </c>
      <c r="B2747" s="151" t="s">
        <v>3126</v>
      </c>
      <c r="C2747" s="95" t="s">
        <v>97</v>
      </c>
      <c r="D2747" s="95">
        <v>1.0</v>
      </c>
      <c r="E2747" s="101">
        <v>195.0</v>
      </c>
      <c r="F2747" s="101">
        <f t="shared" si="460"/>
        <v>195</v>
      </c>
      <c r="G2747" s="101">
        <f t="shared" si="461"/>
        <v>48.75</v>
      </c>
      <c r="H2747" s="95" t="s">
        <v>196</v>
      </c>
      <c r="J2747" s="247" t="s">
        <v>3091</v>
      </c>
      <c r="K2747" s="89"/>
      <c r="L2747" s="90"/>
      <c r="M2747" s="90"/>
      <c r="P2747" s="68"/>
    </row>
    <row r="2748">
      <c r="A2748" s="95">
        <v>8.89631123551E11</v>
      </c>
      <c r="B2748" s="151" t="s">
        <v>636</v>
      </c>
      <c r="C2748" s="95" t="s">
        <v>97</v>
      </c>
      <c r="D2748" s="95">
        <v>1.0</v>
      </c>
      <c r="E2748" s="101">
        <v>79.0</v>
      </c>
      <c r="F2748" s="101">
        <f t="shared" si="460"/>
        <v>79</v>
      </c>
      <c r="G2748" s="101">
        <f t="shared" si="461"/>
        <v>19.75</v>
      </c>
      <c r="H2748" s="95" t="s">
        <v>637</v>
      </c>
      <c r="J2748" s="247" t="s">
        <v>3091</v>
      </c>
      <c r="K2748" s="89"/>
      <c r="L2748" s="90"/>
      <c r="M2748" s="90"/>
      <c r="P2748" s="68"/>
    </row>
    <row r="2749">
      <c r="A2749" s="211"/>
      <c r="B2749" s="231" t="s">
        <v>3127</v>
      </c>
      <c r="C2749" s="234" t="str">
        <f>MID($B2749,6,8)</f>
        <v>KL187102</v>
      </c>
      <c r="D2749" s="231"/>
      <c r="E2749" s="231"/>
      <c r="F2749" s="231"/>
      <c r="G2749" s="231"/>
      <c r="H2749" s="235">
        <v>44560.0</v>
      </c>
      <c r="J2749" s="108" t="str">
        <f>IF(LEFT(B2749,3)="Box","BOX","COUNT")</f>
        <v>BOX</v>
      </c>
      <c r="K2749" s="99">
        <f>SUMIF($J$4:$J$8712,$C2749,$D$4:$D$8712)</f>
        <v>43</v>
      </c>
      <c r="L2749" s="50">
        <f>SUMIF($J$4:$J$8712,$C2749,$F$4:$F$8712)</f>
        <v>3566.61</v>
      </c>
      <c r="M2749" s="50">
        <f>SUMIF($J$4:$J$8712,$C2749,$G$4:$G$8712)</f>
        <v>891.6525</v>
      </c>
      <c r="N2749" s="70" t="str">
        <f>C2749</f>
        <v>KL187102</v>
      </c>
      <c r="O2749" s="70" t="str">
        <f>J2750</f>
        <v>NSHIP</v>
      </c>
      <c r="P2749" s="68">
        <f>M2749</f>
        <v>891.6525</v>
      </c>
    </row>
    <row r="2750">
      <c r="A2750" s="211"/>
      <c r="B2750" s="231"/>
      <c r="C2750" s="109"/>
      <c r="D2750" s="109"/>
      <c r="E2750" s="116"/>
      <c r="F2750" s="116"/>
      <c r="G2750" s="116"/>
      <c r="H2750" s="109"/>
      <c r="J2750" s="108" t="str">
        <f>IF(B2750="","NSHIP","SHIP")</f>
        <v>NSHIP</v>
      </c>
      <c r="K2750" s="99">
        <f>IF($J2750="NSHIP",0,-SUMIF($J$4:$J$8712,$C2749,$D$4:$D$8712))</f>
        <v>0</v>
      </c>
      <c r="L2750" s="50">
        <f>IF($J2750="NSHIP",0,-SUMIF($J$4:$J$8710,$C2749,$F$4:$F$8710))</f>
        <v>0</v>
      </c>
      <c r="M2750" s="50">
        <f>IF($J2750="NSHIP",0,-SUMIF($J$4:$J$8710,$C2749,$G$4:$G$8710))</f>
        <v>0</v>
      </c>
      <c r="P2750" s="68"/>
    </row>
    <row r="2751">
      <c r="A2751" s="95">
        <v>6.89886542851E11</v>
      </c>
      <c r="B2751" s="151" t="s">
        <v>3128</v>
      </c>
      <c r="C2751" s="95" t="s">
        <v>97</v>
      </c>
      <c r="D2751" s="95">
        <v>1.0</v>
      </c>
      <c r="E2751" s="101">
        <v>109.0</v>
      </c>
      <c r="F2751" s="101">
        <f t="shared" ref="F2751:F2789" si="462">E2751*D2751</f>
        <v>109</v>
      </c>
      <c r="G2751" s="101">
        <f t="shared" ref="G2751:G2789" si="463">F2751/4</f>
        <v>27.25</v>
      </c>
      <c r="H2751" s="95" t="s">
        <v>661</v>
      </c>
      <c r="J2751" s="247" t="s">
        <v>3129</v>
      </c>
      <c r="K2751" s="89"/>
      <c r="L2751" s="90"/>
      <c r="M2751" s="90"/>
      <c r="P2751" s="68"/>
    </row>
    <row r="2752">
      <c r="A2752" s="95">
        <v>7.06256492223E11</v>
      </c>
      <c r="B2752" s="151" t="s">
        <v>3102</v>
      </c>
      <c r="C2752" s="95" t="s">
        <v>97</v>
      </c>
      <c r="D2752" s="95">
        <v>1.0</v>
      </c>
      <c r="E2752" s="101">
        <v>69.5</v>
      </c>
      <c r="F2752" s="101">
        <f t="shared" si="462"/>
        <v>69.5</v>
      </c>
      <c r="G2752" s="101">
        <f t="shared" si="463"/>
        <v>17.375</v>
      </c>
      <c r="H2752" s="95" t="s">
        <v>402</v>
      </c>
      <c r="J2752" s="247" t="s">
        <v>3129</v>
      </c>
      <c r="K2752" s="89"/>
      <c r="L2752" s="90"/>
      <c r="M2752" s="90"/>
      <c r="P2752" s="68"/>
    </row>
    <row r="2753">
      <c r="A2753" s="95">
        <v>7.32998271192E11</v>
      </c>
      <c r="B2753" s="151" t="s">
        <v>3130</v>
      </c>
      <c r="C2753" s="95" t="s">
        <v>97</v>
      </c>
      <c r="D2753" s="95">
        <v>1.0</v>
      </c>
      <c r="E2753" s="101">
        <v>69.5</v>
      </c>
      <c r="F2753" s="101">
        <f t="shared" si="462"/>
        <v>69.5</v>
      </c>
      <c r="G2753" s="101">
        <f t="shared" si="463"/>
        <v>17.375</v>
      </c>
      <c r="H2753" s="95" t="s">
        <v>402</v>
      </c>
      <c r="J2753" s="247" t="s">
        <v>3129</v>
      </c>
      <c r="K2753" s="89"/>
      <c r="L2753" s="90"/>
      <c r="M2753" s="90"/>
      <c r="P2753" s="68"/>
    </row>
    <row r="2754">
      <c r="A2754" s="95">
        <v>7.32998473527E11</v>
      </c>
      <c r="B2754" s="151" t="s">
        <v>3131</v>
      </c>
      <c r="C2754" s="95" t="s">
        <v>97</v>
      </c>
      <c r="D2754" s="95">
        <v>1.0</v>
      </c>
      <c r="E2754" s="101">
        <v>79.5</v>
      </c>
      <c r="F2754" s="101">
        <f t="shared" si="462"/>
        <v>79.5</v>
      </c>
      <c r="G2754" s="101">
        <f t="shared" si="463"/>
        <v>19.875</v>
      </c>
      <c r="H2754" s="95" t="s">
        <v>400</v>
      </c>
      <c r="J2754" s="247" t="s">
        <v>3129</v>
      </c>
      <c r="K2754" s="89"/>
      <c r="L2754" s="90"/>
      <c r="M2754" s="90"/>
      <c r="P2754" s="68"/>
    </row>
    <row r="2755">
      <c r="A2755" s="95">
        <v>7.32999092604E11</v>
      </c>
      <c r="B2755" s="151" t="s">
        <v>3132</v>
      </c>
      <c r="C2755" s="95" t="s">
        <v>97</v>
      </c>
      <c r="D2755" s="95">
        <v>1.0</v>
      </c>
      <c r="E2755" s="101">
        <v>29.5</v>
      </c>
      <c r="F2755" s="101">
        <f t="shared" si="462"/>
        <v>29.5</v>
      </c>
      <c r="G2755" s="101">
        <f t="shared" si="463"/>
        <v>7.375</v>
      </c>
      <c r="H2755" s="95" t="s">
        <v>193</v>
      </c>
      <c r="J2755" s="247" t="s">
        <v>3129</v>
      </c>
      <c r="K2755" s="89"/>
      <c r="L2755" s="90"/>
      <c r="M2755" s="90"/>
      <c r="P2755" s="68"/>
    </row>
    <row r="2756">
      <c r="A2756" s="95">
        <v>7.32999660469E11</v>
      </c>
      <c r="B2756" s="151" t="s">
        <v>3133</v>
      </c>
      <c r="C2756" s="95" t="s">
        <v>97</v>
      </c>
      <c r="D2756" s="95">
        <v>1.0</v>
      </c>
      <c r="E2756" s="101">
        <v>59.5</v>
      </c>
      <c r="F2756" s="101">
        <f t="shared" si="462"/>
        <v>59.5</v>
      </c>
      <c r="G2756" s="101">
        <f t="shared" si="463"/>
        <v>14.875</v>
      </c>
      <c r="H2756" s="95" t="s">
        <v>402</v>
      </c>
      <c r="J2756" s="247" t="s">
        <v>3129</v>
      </c>
      <c r="K2756" s="89"/>
      <c r="L2756" s="90"/>
      <c r="M2756" s="90"/>
      <c r="P2756" s="68"/>
    </row>
    <row r="2757">
      <c r="A2757" s="95">
        <v>7.32999660476E11</v>
      </c>
      <c r="B2757" s="151" t="s">
        <v>3134</v>
      </c>
      <c r="C2757" s="95" t="s">
        <v>97</v>
      </c>
      <c r="D2757" s="95">
        <v>2.0</v>
      </c>
      <c r="E2757" s="101">
        <v>59.5</v>
      </c>
      <c r="F2757" s="101">
        <f t="shared" si="462"/>
        <v>119</v>
      </c>
      <c r="G2757" s="101">
        <f t="shared" si="463"/>
        <v>29.75</v>
      </c>
      <c r="H2757" s="95" t="s">
        <v>402</v>
      </c>
      <c r="J2757" s="247" t="s">
        <v>3129</v>
      </c>
      <c r="K2757" s="89"/>
      <c r="L2757" s="90"/>
      <c r="M2757" s="90"/>
      <c r="P2757" s="68"/>
    </row>
    <row r="2758">
      <c r="A2758" s="95">
        <v>7.32999850938E11</v>
      </c>
      <c r="B2758" s="151" t="s">
        <v>3135</v>
      </c>
      <c r="C2758" s="95" t="s">
        <v>97</v>
      </c>
      <c r="D2758" s="95">
        <v>1.0</v>
      </c>
      <c r="E2758" s="101">
        <v>99.5</v>
      </c>
      <c r="F2758" s="101">
        <f t="shared" si="462"/>
        <v>99.5</v>
      </c>
      <c r="G2758" s="101">
        <f t="shared" si="463"/>
        <v>24.875</v>
      </c>
      <c r="H2758" s="95" t="s">
        <v>402</v>
      </c>
      <c r="J2758" s="247" t="s">
        <v>3129</v>
      </c>
      <c r="K2758" s="89"/>
      <c r="L2758" s="90"/>
      <c r="M2758" s="90"/>
      <c r="P2758" s="68"/>
    </row>
    <row r="2759">
      <c r="A2759" s="95">
        <v>7.33001415053E11</v>
      </c>
      <c r="B2759" s="151" t="s">
        <v>3136</v>
      </c>
      <c r="C2759" s="95" t="s">
        <v>97</v>
      </c>
      <c r="D2759" s="95">
        <v>1.0</v>
      </c>
      <c r="E2759" s="101">
        <v>49.5</v>
      </c>
      <c r="F2759" s="101">
        <f t="shared" si="462"/>
        <v>49.5</v>
      </c>
      <c r="G2759" s="101">
        <f t="shared" si="463"/>
        <v>12.375</v>
      </c>
      <c r="H2759" s="95" t="s">
        <v>402</v>
      </c>
      <c r="J2759" s="247" t="s">
        <v>3129</v>
      </c>
      <c r="K2759" s="89"/>
      <c r="L2759" s="90"/>
      <c r="M2759" s="90"/>
      <c r="P2759" s="68"/>
    </row>
    <row r="2760">
      <c r="A2760" s="95">
        <v>7.3300142918E11</v>
      </c>
      <c r="B2760" s="151" t="s">
        <v>3137</v>
      </c>
      <c r="C2760" s="95" t="s">
        <v>97</v>
      </c>
      <c r="D2760" s="95">
        <v>1.0</v>
      </c>
      <c r="E2760" s="101">
        <v>79.5</v>
      </c>
      <c r="F2760" s="101">
        <f t="shared" si="462"/>
        <v>79.5</v>
      </c>
      <c r="G2760" s="101">
        <f t="shared" si="463"/>
        <v>19.875</v>
      </c>
      <c r="H2760" s="95" t="s">
        <v>193</v>
      </c>
      <c r="J2760" s="247" t="s">
        <v>3129</v>
      </c>
      <c r="K2760" s="89"/>
      <c r="L2760" s="90"/>
      <c r="M2760" s="90"/>
      <c r="P2760" s="68"/>
    </row>
    <row r="2761">
      <c r="A2761" s="95">
        <v>7.33001450023E11</v>
      </c>
      <c r="B2761" s="151" t="s">
        <v>3106</v>
      </c>
      <c r="C2761" s="95" t="s">
        <v>97</v>
      </c>
      <c r="D2761" s="95">
        <v>1.0</v>
      </c>
      <c r="E2761" s="101">
        <v>69.5</v>
      </c>
      <c r="F2761" s="101">
        <f t="shared" si="462"/>
        <v>69.5</v>
      </c>
      <c r="G2761" s="101">
        <f t="shared" si="463"/>
        <v>17.375</v>
      </c>
      <c r="H2761" s="95" t="s">
        <v>193</v>
      </c>
      <c r="J2761" s="247" t="s">
        <v>3129</v>
      </c>
      <c r="K2761" s="89"/>
      <c r="L2761" s="90"/>
      <c r="M2761" s="90"/>
      <c r="P2761" s="68"/>
    </row>
    <row r="2762">
      <c r="A2762" s="95">
        <v>7.33001450054E11</v>
      </c>
      <c r="B2762" s="151" t="s">
        <v>3109</v>
      </c>
      <c r="C2762" s="95" t="s">
        <v>97</v>
      </c>
      <c r="D2762" s="95">
        <v>2.0</v>
      </c>
      <c r="E2762" s="101">
        <v>69.5</v>
      </c>
      <c r="F2762" s="101">
        <f t="shared" si="462"/>
        <v>139</v>
      </c>
      <c r="G2762" s="101">
        <f t="shared" si="463"/>
        <v>34.75</v>
      </c>
      <c r="H2762" s="95" t="s">
        <v>193</v>
      </c>
      <c r="J2762" s="247" t="s">
        <v>3129</v>
      </c>
      <c r="K2762" s="89"/>
      <c r="L2762" s="90"/>
      <c r="M2762" s="90"/>
      <c r="P2762" s="68"/>
    </row>
    <row r="2763">
      <c r="A2763" s="95">
        <v>7.33001450122E11</v>
      </c>
      <c r="B2763" s="151" t="s">
        <v>3138</v>
      </c>
      <c r="C2763" s="95" t="s">
        <v>97</v>
      </c>
      <c r="D2763" s="95">
        <v>1.0</v>
      </c>
      <c r="E2763" s="101">
        <v>69.5</v>
      </c>
      <c r="F2763" s="101">
        <f t="shared" si="462"/>
        <v>69.5</v>
      </c>
      <c r="G2763" s="101">
        <f t="shared" si="463"/>
        <v>17.375</v>
      </c>
      <c r="H2763" s="95" t="s">
        <v>193</v>
      </c>
      <c r="J2763" s="247" t="s">
        <v>3129</v>
      </c>
      <c r="K2763" s="89"/>
      <c r="L2763" s="90"/>
      <c r="M2763" s="90"/>
      <c r="P2763" s="68"/>
    </row>
    <row r="2764">
      <c r="A2764" s="95">
        <v>7.33001546757E11</v>
      </c>
      <c r="B2764" s="151" t="s">
        <v>3139</v>
      </c>
      <c r="C2764" s="95" t="s">
        <v>97</v>
      </c>
      <c r="D2764" s="95">
        <v>1.0</v>
      </c>
      <c r="E2764" s="101">
        <v>49.5</v>
      </c>
      <c r="F2764" s="101">
        <f t="shared" si="462"/>
        <v>49.5</v>
      </c>
      <c r="G2764" s="101">
        <f t="shared" si="463"/>
        <v>12.375</v>
      </c>
      <c r="H2764" s="95" t="s">
        <v>3140</v>
      </c>
      <c r="J2764" s="247" t="s">
        <v>3129</v>
      </c>
      <c r="K2764" s="89"/>
      <c r="L2764" s="90"/>
      <c r="M2764" s="90"/>
      <c r="P2764" s="68"/>
    </row>
    <row r="2765">
      <c r="A2765" s="95">
        <v>7.33001555889E11</v>
      </c>
      <c r="B2765" s="151" t="s">
        <v>3141</v>
      </c>
      <c r="C2765" s="95" t="s">
        <v>97</v>
      </c>
      <c r="D2765" s="95">
        <v>1.0</v>
      </c>
      <c r="E2765" s="101">
        <v>59.5</v>
      </c>
      <c r="F2765" s="101">
        <f t="shared" si="462"/>
        <v>59.5</v>
      </c>
      <c r="G2765" s="101">
        <f t="shared" si="463"/>
        <v>14.875</v>
      </c>
      <c r="H2765" s="95" t="s">
        <v>193</v>
      </c>
      <c r="J2765" s="247" t="s">
        <v>3129</v>
      </c>
      <c r="K2765" s="89"/>
      <c r="L2765" s="90"/>
      <c r="M2765" s="90"/>
      <c r="P2765" s="68"/>
    </row>
    <row r="2766">
      <c r="A2766" s="95">
        <v>7.33001595243E11</v>
      </c>
      <c r="B2766" s="151" t="s">
        <v>3142</v>
      </c>
      <c r="C2766" s="95" t="s">
        <v>97</v>
      </c>
      <c r="D2766" s="95">
        <v>1.0</v>
      </c>
      <c r="E2766" s="101">
        <v>129.5</v>
      </c>
      <c r="F2766" s="101">
        <f t="shared" si="462"/>
        <v>129.5</v>
      </c>
      <c r="G2766" s="101">
        <f t="shared" si="463"/>
        <v>32.375</v>
      </c>
      <c r="H2766" s="95" t="s">
        <v>193</v>
      </c>
      <c r="J2766" s="247" t="s">
        <v>3129</v>
      </c>
      <c r="K2766" s="89"/>
      <c r="L2766" s="90"/>
      <c r="M2766" s="90"/>
      <c r="P2766" s="68"/>
    </row>
    <row r="2767">
      <c r="A2767" s="95">
        <v>7.33001736356E11</v>
      </c>
      <c r="B2767" s="151" t="s">
        <v>3143</v>
      </c>
      <c r="C2767" s="95" t="s">
        <v>97</v>
      </c>
      <c r="D2767" s="95">
        <v>1.0</v>
      </c>
      <c r="E2767" s="101">
        <v>69.5</v>
      </c>
      <c r="F2767" s="101">
        <f t="shared" si="462"/>
        <v>69.5</v>
      </c>
      <c r="G2767" s="101">
        <f t="shared" si="463"/>
        <v>17.375</v>
      </c>
      <c r="H2767" s="95" t="s">
        <v>402</v>
      </c>
      <c r="J2767" s="247" t="s">
        <v>3129</v>
      </c>
      <c r="K2767" s="89"/>
      <c r="L2767" s="90"/>
      <c r="M2767" s="90"/>
      <c r="P2767" s="68"/>
    </row>
    <row r="2768">
      <c r="A2768" s="95">
        <v>7.33001738381E11</v>
      </c>
      <c r="B2768" s="151" t="s">
        <v>3144</v>
      </c>
      <c r="C2768" s="95" t="s">
        <v>97</v>
      </c>
      <c r="D2768" s="95">
        <v>1.0</v>
      </c>
      <c r="E2768" s="101">
        <v>79.5</v>
      </c>
      <c r="F2768" s="101">
        <f t="shared" si="462"/>
        <v>79.5</v>
      </c>
      <c r="G2768" s="101">
        <f t="shared" si="463"/>
        <v>19.875</v>
      </c>
      <c r="H2768" s="95" t="s">
        <v>402</v>
      </c>
      <c r="J2768" s="247" t="s">
        <v>3129</v>
      </c>
      <c r="K2768" s="89"/>
      <c r="L2768" s="90"/>
      <c r="M2768" s="90"/>
      <c r="P2768" s="68"/>
    </row>
    <row r="2769">
      <c r="A2769" s="95">
        <v>7.33001779285E11</v>
      </c>
      <c r="B2769" s="151" t="s">
        <v>3145</v>
      </c>
      <c r="C2769" s="95" t="s">
        <v>97</v>
      </c>
      <c r="D2769" s="95">
        <v>1.0</v>
      </c>
      <c r="E2769" s="101">
        <v>59.5</v>
      </c>
      <c r="F2769" s="101">
        <f t="shared" si="462"/>
        <v>59.5</v>
      </c>
      <c r="G2769" s="101">
        <f t="shared" si="463"/>
        <v>14.875</v>
      </c>
      <c r="H2769" s="95" t="s">
        <v>193</v>
      </c>
      <c r="J2769" s="247" t="s">
        <v>3129</v>
      </c>
      <c r="K2769" s="89"/>
      <c r="L2769" s="90"/>
      <c r="M2769" s="90"/>
      <c r="P2769" s="68"/>
    </row>
    <row r="2770">
      <c r="A2770" s="95">
        <v>7.33001793472E11</v>
      </c>
      <c r="B2770" s="151" t="s">
        <v>3146</v>
      </c>
      <c r="C2770" s="95" t="s">
        <v>97</v>
      </c>
      <c r="D2770" s="95">
        <v>1.0</v>
      </c>
      <c r="E2770" s="101">
        <v>69.5</v>
      </c>
      <c r="F2770" s="101">
        <f t="shared" si="462"/>
        <v>69.5</v>
      </c>
      <c r="G2770" s="101">
        <f t="shared" si="463"/>
        <v>17.375</v>
      </c>
      <c r="H2770" s="95" t="s">
        <v>402</v>
      </c>
      <c r="J2770" s="247" t="s">
        <v>3129</v>
      </c>
      <c r="K2770" s="89"/>
      <c r="L2770" s="90"/>
      <c r="M2770" s="90"/>
      <c r="P2770" s="68"/>
    </row>
    <row r="2771">
      <c r="A2771" s="95">
        <v>7.33001795636E11</v>
      </c>
      <c r="B2771" s="151" t="s">
        <v>3147</v>
      </c>
      <c r="C2771" s="95" t="s">
        <v>97</v>
      </c>
      <c r="D2771" s="95">
        <v>1.0</v>
      </c>
      <c r="E2771" s="101">
        <v>89.5</v>
      </c>
      <c r="F2771" s="101">
        <f t="shared" si="462"/>
        <v>89.5</v>
      </c>
      <c r="G2771" s="101">
        <f t="shared" si="463"/>
        <v>22.375</v>
      </c>
      <c r="H2771" s="95" t="s">
        <v>402</v>
      </c>
      <c r="J2771" s="247" t="s">
        <v>3129</v>
      </c>
      <c r="K2771" s="89"/>
      <c r="L2771" s="90"/>
      <c r="M2771" s="90"/>
      <c r="P2771" s="68"/>
    </row>
    <row r="2772">
      <c r="A2772" s="95">
        <v>7.33001820659E11</v>
      </c>
      <c r="B2772" s="151" t="s">
        <v>3148</v>
      </c>
      <c r="C2772" s="95" t="s">
        <v>97</v>
      </c>
      <c r="D2772" s="95">
        <v>1.0</v>
      </c>
      <c r="E2772" s="101">
        <v>69.5</v>
      </c>
      <c r="F2772" s="101">
        <f t="shared" si="462"/>
        <v>69.5</v>
      </c>
      <c r="G2772" s="101">
        <f t="shared" si="463"/>
        <v>17.375</v>
      </c>
      <c r="H2772" s="95" t="s">
        <v>193</v>
      </c>
      <c r="J2772" s="247" t="s">
        <v>3129</v>
      </c>
      <c r="K2772" s="89"/>
      <c r="L2772" s="90"/>
      <c r="M2772" s="90"/>
      <c r="P2772" s="68"/>
    </row>
    <row r="2773">
      <c r="A2773" s="95">
        <v>7.33001820666E11</v>
      </c>
      <c r="B2773" s="151" t="s">
        <v>3149</v>
      </c>
      <c r="C2773" s="95" t="s">
        <v>97</v>
      </c>
      <c r="D2773" s="95">
        <v>1.0</v>
      </c>
      <c r="E2773" s="101">
        <v>69.5</v>
      </c>
      <c r="F2773" s="101">
        <f t="shared" si="462"/>
        <v>69.5</v>
      </c>
      <c r="G2773" s="101">
        <f t="shared" si="463"/>
        <v>17.375</v>
      </c>
      <c r="H2773" s="95" t="s">
        <v>193</v>
      </c>
      <c r="J2773" s="247" t="s">
        <v>3129</v>
      </c>
      <c r="K2773" s="89"/>
      <c r="L2773" s="90"/>
      <c r="M2773" s="90"/>
      <c r="P2773" s="68"/>
    </row>
    <row r="2774">
      <c r="A2774" s="95">
        <v>7.33001864295E11</v>
      </c>
      <c r="B2774" s="151" t="s">
        <v>3150</v>
      </c>
      <c r="C2774" s="95" t="s">
        <v>97</v>
      </c>
      <c r="D2774" s="95">
        <v>2.0</v>
      </c>
      <c r="E2774" s="101">
        <v>89.5</v>
      </c>
      <c r="F2774" s="101">
        <f t="shared" si="462"/>
        <v>179</v>
      </c>
      <c r="G2774" s="101">
        <f t="shared" si="463"/>
        <v>44.75</v>
      </c>
      <c r="H2774" s="95" t="s">
        <v>193</v>
      </c>
      <c r="J2774" s="247" t="s">
        <v>3129</v>
      </c>
      <c r="K2774" s="89"/>
      <c r="L2774" s="90"/>
      <c r="M2774" s="90"/>
      <c r="P2774" s="68"/>
    </row>
    <row r="2775">
      <c r="A2775" s="95">
        <v>7.33001864301E11</v>
      </c>
      <c r="B2775" s="151" t="s">
        <v>3151</v>
      </c>
      <c r="C2775" s="95" t="s">
        <v>97</v>
      </c>
      <c r="D2775" s="95">
        <v>3.0</v>
      </c>
      <c r="E2775" s="101">
        <v>89.5</v>
      </c>
      <c r="F2775" s="101">
        <f t="shared" si="462"/>
        <v>268.5</v>
      </c>
      <c r="G2775" s="101">
        <f t="shared" si="463"/>
        <v>67.125</v>
      </c>
      <c r="H2775" s="95" t="s">
        <v>193</v>
      </c>
      <c r="J2775" s="247" t="s">
        <v>3129</v>
      </c>
      <c r="K2775" s="89"/>
      <c r="L2775" s="90"/>
      <c r="M2775" s="90"/>
      <c r="P2775" s="68"/>
    </row>
    <row r="2776">
      <c r="A2776" s="95">
        <v>7.33001864318E11</v>
      </c>
      <c r="B2776" s="151" t="s">
        <v>3152</v>
      </c>
      <c r="C2776" s="95" t="s">
        <v>97</v>
      </c>
      <c r="D2776" s="95">
        <v>1.0</v>
      </c>
      <c r="E2776" s="101">
        <v>89.5</v>
      </c>
      <c r="F2776" s="101">
        <f t="shared" si="462"/>
        <v>89.5</v>
      </c>
      <c r="G2776" s="101">
        <f t="shared" si="463"/>
        <v>22.375</v>
      </c>
      <c r="H2776" s="95" t="s">
        <v>193</v>
      </c>
      <c r="J2776" s="247" t="s">
        <v>3129</v>
      </c>
      <c r="K2776" s="89"/>
      <c r="L2776" s="90"/>
      <c r="M2776" s="90"/>
      <c r="P2776" s="68"/>
    </row>
    <row r="2777">
      <c r="A2777" s="95">
        <v>7.33001865445E11</v>
      </c>
      <c r="B2777" s="151" t="s">
        <v>3153</v>
      </c>
      <c r="C2777" s="95" t="s">
        <v>97</v>
      </c>
      <c r="D2777" s="95">
        <v>1.0</v>
      </c>
      <c r="E2777" s="101">
        <v>69.5</v>
      </c>
      <c r="F2777" s="101">
        <f t="shared" si="462"/>
        <v>69.5</v>
      </c>
      <c r="G2777" s="101">
        <f t="shared" si="463"/>
        <v>17.375</v>
      </c>
      <c r="H2777" s="95" t="s">
        <v>193</v>
      </c>
      <c r="J2777" s="247" t="s">
        <v>3129</v>
      </c>
      <c r="K2777" s="89"/>
      <c r="L2777" s="90"/>
      <c r="M2777" s="90"/>
      <c r="P2777" s="68"/>
    </row>
    <row r="2778">
      <c r="A2778" s="95">
        <v>7.33001869238E11</v>
      </c>
      <c r="B2778" s="151" t="s">
        <v>3154</v>
      </c>
      <c r="C2778" s="95" t="s">
        <v>97</v>
      </c>
      <c r="D2778" s="95">
        <v>1.0</v>
      </c>
      <c r="E2778" s="101">
        <v>69.5</v>
      </c>
      <c r="F2778" s="101">
        <f t="shared" si="462"/>
        <v>69.5</v>
      </c>
      <c r="G2778" s="101">
        <f t="shared" si="463"/>
        <v>17.375</v>
      </c>
      <c r="H2778" s="95" t="s">
        <v>193</v>
      </c>
      <c r="J2778" s="247" t="s">
        <v>3129</v>
      </c>
      <c r="K2778" s="89"/>
      <c r="L2778" s="90"/>
      <c r="M2778" s="90"/>
      <c r="P2778" s="68"/>
    </row>
    <row r="2779">
      <c r="A2779" s="95">
        <v>7.3300190412E11</v>
      </c>
      <c r="B2779" s="151" t="s">
        <v>3155</v>
      </c>
      <c r="C2779" s="95" t="s">
        <v>97</v>
      </c>
      <c r="D2779" s="95">
        <v>1.0</v>
      </c>
      <c r="E2779" s="101">
        <v>69.5</v>
      </c>
      <c r="F2779" s="101">
        <f t="shared" si="462"/>
        <v>69.5</v>
      </c>
      <c r="G2779" s="101">
        <f t="shared" si="463"/>
        <v>17.375</v>
      </c>
      <c r="H2779" s="95" t="s">
        <v>402</v>
      </c>
      <c r="J2779" s="247" t="s">
        <v>3129</v>
      </c>
      <c r="K2779" s="89"/>
      <c r="L2779" s="90"/>
      <c r="M2779" s="90"/>
      <c r="P2779" s="68"/>
    </row>
    <row r="2780">
      <c r="A2780" s="95">
        <v>7.33001912729E11</v>
      </c>
      <c r="B2780" s="151" t="s">
        <v>3156</v>
      </c>
      <c r="C2780" s="95" t="s">
        <v>97</v>
      </c>
      <c r="D2780" s="95">
        <v>1.0</v>
      </c>
      <c r="E2780" s="101">
        <v>69.5</v>
      </c>
      <c r="F2780" s="101">
        <f t="shared" si="462"/>
        <v>69.5</v>
      </c>
      <c r="G2780" s="101">
        <f t="shared" si="463"/>
        <v>17.375</v>
      </c>
      <c r="H2780" s="95" t="s">
        <v>193</v>
      </c>
      <c r="J2780" s="247" t="s">
        <v>3129</v>
      </c>
      <c r="K2780" s="89"/>
      <c r="L2780" s="90"/>
      <c r="M2780" s="90"/>
      <c r="P2780" s="68"/>
    </row>
    <row r="2781">
      <c r="A2781" s="95">
        <v>7.3300191668E11</v>
      </c>
      <c r="B2781" s="151" t="s">
        <v>3157</v>
      </c>
      <c r="C2781" s="95" t="s">
        <v>97</v>
      </c>
      <c r="D2781" s="95">
        <v>1.0</v>
      </c>
      <c r="E2781" s="101">
        <v>59.5</v>
      </c>
      <c r="F2781" s="101">
        <f t="shared" si="462"/>
        <v>59.5</v>
      </c>
      <c r="G2781" s="101">
        <f t="shared" si="463"/>
        <v>14.875</v>
      </c>
      <c r="H2781" s="95" t="s">
        <v>193</v>
      </c>
      <c r="J2781" s="247" t="s">
        <v>3129</v>
      </c>
      <c r="K2781" s="89"/>
      <c r="L2781" s="90"/>
      <c r="M2781" s="90"/>
      <c r="P2781" s="68"/>
    </row>
    <row r="2782">
      <c r="A2782" s="95">
        <v>7.33001916734E11</v>
      </c>
      <c r="B2782" s="151" t="s">
        <v>3158</v>
      </c>
      <c r="C2782" s="95" t="s">
        <v>97</v>
      </c>
      <c r="D2782" s="95">
        <v>1.0</v>
      </c>
      <c r="E2782" s="101">
        <v>59.5</v>
      </c>
      <c r="F2782" s="101">
        <f t="shared" si="462"/>
        <v>59.5</v>
      </c>
      <c r="G2782" s="101">
        <f t="shared" si="463"/>
        <v>14.875</v>
      </c>
      <c r="H2782" s="95" t="s">
        <v>193</v>
      </c>
      <c r="J2782" s="247" t="s">
        <v>3129</v>
      </c>
      <c r="K2782" s="89"/>
      <c r="L2782" s="90"/>
      <c r="M2782" s="90"/>
      <c r="P2782" s="68"/>
    </row>
    <row r="2783">
      <c r="A2783" s="95">
        <v>7.33001916789E11</v>
      </c>
      <c r="B2783" s="151" t="s">
        <v>3117</v>
      </c>
      <c r="C2783" s="95" t="s">
        <v>97</v>
      </c>
      <c r="D2783" s="95">
        <v>1.0</v>
      </c>
      <c r="E2783" s="101">
        <v>59.5</v>
      </c>
      <c r="F2783" s="101">
        <f t="shared" si="462"/>
        <v>59.5</v>
      </c>
      <c r="G2783" s="101">
        <f t="shared" si="463"/>
        <v>14.875</v>
      </c>
      <c r="H2783" s="95" t="s">
        <v>193</v>
      </c>
      <c r="J2783" s="247" t="s">
        <v>3129</v>
      </c>
      <c r="K2783" s="89"/>
      <c r="L2783" s="90"/>
      <c r="M2783" s="90"/>
      <c r="P2783" s="68"/>
    </row>
    <row r="2784">
      <c r="A2784" s="95">
        <v>7.33001916864E11</v>
      </c>
      <c r="B2784" s="151" t="s">
        <v>3159</v>
      </c>
      <c r="C2784" s="95" t="s">
        <v>97</v>
      </c>
      <c r="D2784" s="95">
        <v>1.0</v>
      </c>
      <c r="E2784" s="101">
        <v>69.5</v>
      </c>
      <c r="F2784" s="101">
        <f t="shared" si="462"/>
        <v>69.5</v>
      </c>
      <c r="G2784" s="101">
        <f t="shared" si="463"/>
        <v>17.375</v>
      </c>
      <c r="H2784" s="95" t="s">
        <v>193</v>
      </c>
      <c r="J2784" s="247" t="s">
        <v>3129</v>
      </c>
      <c r="K2784" s="89"/>
      <c r="L2784" s="90"/>
      <c r="M2784" s="90"/>
      <c r="P2784" s="68"/>
    </row>
    <row r="2785">
      <c r="A2785" s="95">
        <v>7.33002033195E11</v>
      </c>
      <c r="B2785" s="151" t="s">
        <v>3160</v>
      </c>
      <c r="C2785" s="95" t="s">
        <v>97</v>
      </c>
      <c r="D2785" s="95">
        <v>1.0</v>
      </c>
      <c r="E2785" s="101">
        <v>69.5</v>
      </c>
      <c r="F2785" s="101">
        <f t="shared" si="462"/>
        <v>69.5</v>
      </c>
      <c r="G2785" s="101">
        <f t="shared" si="463"/>
        <v>17.375</v>
      </c>
      <c r="H2785" s="95" t="s">
        <v>402</v>
      </c>
      <c r="J2785" s="247" t="s">
        <v>3129</v>
      </c>
      <c r="K2785" s="89"/>
      <c r="L2785" s="90"/>
      <c r="M2785" s="90"/>
      <c r="P2785" s="68"/>
    </row>
    <row r="2786">
      <c r="A2786" s="95">
        <v>7.33002174997E11</v>
      </c>
      <c r="B2786" s="151" t="s">
        <v>3161</v>
      </c>
      <c r="C2786" s="95" t="s">
        <v>97</v>
      </c>
      <c r="D2786" s="95">
        <v>1.0</v>
      </c>
      <c r="E2786" s="101">
        <v>59.5</v>
      </c>
      <c r="F2786" s="101">
        <f t="shared" si="462"/>
        <v>59.5</v>
      </c>
      <c r="G2786" s="101">
        <f t="shared" si="463"/>
        <v>14.875</v>
      </c>
      <c r="H2786" s="95" t="s">
        <v>402</v>
      </c>
      <c r="J2786" s="247" t="s">
        <v>3129</v>
      </c>
      <c r="K2786" s="89"/>
      <c r="L2786" s="90"/>
      <c r="M2786" s="90"/>
      <c r="P2786" s="68"/>
    </row>
    <row r="2787">
      <c r="A2787" s="95">
        <v>7.33002392025E11</v>
      </c>
      <c r="B2787" s="151" t="s">
        <v>3162</v>
      </c>
      <c r="C2787" s="95" t="s">
        <v>97</v>
      </c>
      <c r="D2787" s="95">
        <v>1.0</v>
      </c>
      <c r="E2787" s="101">
        <v>69.5</v>
      </c>
      <c r="F2787" s="101">
        <f t="shared" si="462"/>
        <v>69.5</v>
      </c>
      <c r="G2787" s="101">
        <f t="shared" si="463"/>
        <v>17.375</v>
      </c>
      <c r="H2787" s="95" t="s">
        <v>402</v>
      </c>
      <c r="J2787" s="247" t="s">
        <v>3129</v>
      </c>
      <c r="K2787" s="89"/>
      <c r="L2787" s="90"/>
      <c r="M2787" s="90"/>
      <c r="P2787" s="68"/>
    </row>
    <row r="2788">
      <c r="A2788" s="95">
        <v>8.83806125142E11</v>
      </c>
      <c r="B2788" s="151" t="s">
        <v>3163</v>
      </c>
      <c r="C2788" s="95" t="s">
        <v>97</v>
      </c>
      <c r="D2788" s="95">
        <v>1.0</v>
      </c>
      <c r="E2788" s="101">
        <v>240.0</v>
      </c>
      <c r="F2788" s="101">
        <f t="shared" si="462"/>
        <v>240</v>
      </c>
      <c r="G2788" s="101">
        <f t="shared" si="463"/>
        <v>60</v>
      </c>
      <c r="H2788" s="95" t="s">
        <v>198</v>
      </c>
      <c r="J2788" s="247" t="s">
        <v>3129</v>
      </c>
      <c r="K2788" s="89"/>
      <c r="L2788" s="90"/>
      <c r="M2788" s="90"/>
      <c r="P2788" s="68"/>
    </row>
    <row r="2789">
      <c r="A2789" s="95">
        <v>8.84094389339E11</v>
      </c>
      <c r="B2789" s="151" t="s">
        <v>542</v>
      </c>
      <c r="C2789" s="95" t="s">
        <v>97</v>
      </c>
      <c r="D2789" s="95">
        <v>1.0</v>
      </c>
      <c r="E2789" s="101">
        <v>195.0</v>
      </c>
      <c r="F2789" s="101">
        <f t="shared" si="462"/>
        <v>195</v>
      </c>
      <c r="G2789" s="101">
        <f t="shared" si="463"/>
        <v>48.75</v>
      </c>
      <c r="H2789" s="95" t="s">
        <v>196</v>
      </c>
      <c r="J2789" s="247" t="s">
        <v>3129</v>
      </c>
      <c r="K2789" s="89"/>
      <c r="L2789" s="90"/>
      <c r="M2789" s="90"/>
      <c r="P2789" s="68"/>
    </row>
    <row r="2790">
      <c r="A2790" s="211"/>
      <c r="B2790" s="231" t="s">
        <v>3164</v>
      </c>
      <c r="C2790" s="234" t="str">
        <f>MID($B2790,6,8)</f>
        <v>KL187103</v>
      </c>
      <c r="D2790" s="231"/>
      <c r="E2790" s="231"/>
      <c r="F2790" s="231"/>
      <c r="G2790" s="231"/>
      <c r="H2790" s="235">
        <v>44560.0</v>
      </c>
      <c r="J2790" s="108" t="str">
        <f>IF(LEFT(B2790,3)="Box","BOX","COUNT")</f>
        <v>BOX</v>
      </c>
      <c r="K2790" s="99">
        <f>SUMIF($J$4:$J$8712,$C2790,$D$4:$D$8712)</f>
        <v>44</v>
      </c>
      <c r="L2790" s="50">
        <f>SUMIF($J$4:$J$8712,$C2790,$F$4:$F$8712)</f>
        <v>3483.5</v>
      </c>
      <c r="M2790" s="50">
        <f>SUMIF($J$4:$J$8712,$C2790,$G$4:$G$8712)</f>
        <v>870.875</v>
      </c>
      <c r="N2790" s="70" t="str">
        <f>C2790</f>
        <v>KL187103</v>
      </c>
      <c r="O2790" s="70" t="str">
        <f>J2791</f>
        <v>NSHIP</v>
      </c>
      <c r="P2790" s="68">
        <f>M2790</f>
        <v>870.875</v>
      </c>
    </row>
    <row r="2791">
      <c r="A2791" s="211"/>
      <c r="B2791" s="231"/>
      <c r="C2791" s="109"/>
      <c r="D2791" s="109"/>
      <c r="E2791" s="116"/>
      <c r="F2791" s="116"/>
      <c r="G2791" s="116"/>
      <c r="H2791" s="109"/>
      <c r="J2791" s="108" t="str">
        <f>IF(B2791="","NSHIP","SHIP")</f>
        <v>NSHIP</v>
      </c>
      <c r="K2791" s="99">
        <f>IF($J2791="NSHIP",0,-SUMIF($J$4:$J$8712,$C2790,$D$4:$D$8712))</f>
        <v>0</v>
      </c>
      <c r="L2791" s="50">
        <f>IF($J2791="NSHIP",0,-SUMIF($J$4:$J$8710,$C2790,$F$4:$F$8710))</f>
        <v>0</v>
      </c>
      <c r="M2791" s="50">
        <f>IF($J2791="NSHIP",0,-SUMIF($J$4:$J$8710,$C2790,$G$4:$G$8710))</f>
        <v>0</v>
      </c>
      <c r="P2791" s="68"/>
    </row>
    <row r="2792">
      <c r="A2792" s="95">
        <v>9.3487345238E10</v>
      </c>
      <c r="B2792" s="151" t="s">
        <v>3165</v>
      </c>
      <c r="C2792" s="95" t="s">
        <v>97</v>
      </c>
      <c r="D2792" s="95">
        <v>1.0</v>
      </c>
      <c r="E2792" s="101">
        <v>79.0</v>
      </c>
      <c r="F2792" s="101">
        <f t="shared" ref="F2792:F2838" si="464">E2792*D2792</f>
        <v>79</v>
      </c>
      <c r="G2792" s="101">
        <f t="shared" ref="G2792:G2838" si="465">F2792/4</f>
        <v>19.75</v>
      </c>
      <c r="H2792" s="95" t="s">
        <v>3166</v>
      </c>
      <c r="J2792" s="247" t="s">
        <v>3167</v>
      </c>
      <c r="K2792" s="89"/>
      <c r="L2792" s="90"/>
      <c r="M2792" s="90"/>
      <c r="P2792" s="68"/>
    </row>
    <row r="2793">
      <c r="A2793" s="95">
        <v>1.93768259626E11</v>
      </c>
      <c r="B2793" s="151" t="s">
        <v>3168</v>
      </c>
      <c r="C2793" s="95" t="s">
        <v>97</v>
      </c>
      <c r="D2793" s="95">
        <v>1.0</v>
      </c>
      <c r="E2793" s="101">
        <v>59.0</v>
      </c>
      <c r="F2793" s="101">
        <f t="shared" si="464"/>
        <v>59</v>
      </c>
      <c r="G2793" s="101">
        <f t="shared" si="465"/>
        <v>14.75</v>
      </c>
      <c r="H2793" s="95" t="s">
        <v>388</v>
      </c>
      <c r="J2793" s="247" t="s">
        <v>3167</v>
      </c>
      <c r="K2793" s="89"/>
      <c r="L2793" s="90"/>
      <c r="M2793" s="90"/>
      <c r="P2793" s="68"/>
    </row>
    <row r="2794">
      <c r="A2794" s="95">
        <v>6.63309888177E11</v>
      </c>
      <c r="B2794" s="151" t="s">
        <v>3169</v>
      </c>
      <c r="C2794" s="95" t="s">
        <v>97</v>
      </c>
      <c r="D2794" s="95">
        <v>1.0</v>
      </c>
      <c r="E2794" s="101">
        <v>180.0</v>
      </c>
      <c r="F2794" s="101">
        <f t="shared" si="464"/>
        <v>180</v>
      </c>
      <c r="G2794" s="101">
        <f t="shared" si="465"/>
        <v>45</v>
      </c>
      <c r="H2794" s="95" t="s">
        <v>3170</v>
      </c>
      <c r="J2794" s="247" t="s">
        <v>3167</v>
      </c>
      <c r="K2794" s="89"/>
      <c r="L2794" s="90"/>
      <c r="M2794" s="90"/>
      <c r="P2794" s="68"/>
    </row>
    <row r="2795">
      <c r="A2795" s="95">
        <v>6.81283323477E11</v>
      </c>
      <c r="B2795" s="151" t="s">
        <v>3171</v>
      </c>
      <c r="C2795" s="95" t="s">
        <v>97</v>
      </c>
      <c r="D2795" s="95">
        <v>1.0</v>
      </c>
      <c r="E2795" s="101">
        <v>69.0</v>
      </c>
      <c r="F2795" s="101">
        <f t="shared" si="464"/>
        <v>69</v>
      </c>
      <c r="G2795" s="101">
        <f t="shared" si="465"/>
        <v>17.25</v>
      </c>
      <c r="H2795" s="95" t="s">
        <v>392</v>
      </c>
      <c r="J2795" s="247" t="s">
        <v>3167</v>
      </c>
      <c r="K2795" s="89"/>
      <c r="L2795" s="90"/>
      <c r="M2795" s="90"/>
      <c r="P2795" s="68"/>
    </row>
    <row r="2796">
      <c r="A2796" s="95">
        <v>7.06256032511E11</v>
      </c>
      <c r="B2796" s="151" t="s">
        <v>3172</v>
      </c>
      <c r="C2796" s="95" t="s">
        <v>97</v>
      </c>
      <c r="D2796" s="95">
        <v>1.0</v>
      </c>
      <c r="E2796" s="101">
        <v>44.5</v>
      </c>
      <c r="F2796" s="101">
        <f t="shared" si="464"/>
        <v>44.5</v>
      </c>
      <c r="G2796" s="101">
        <f t="shared" si="465"/>
        <v>11.125</v>
      </c>
      <c r="H2796" s="95" t="s">
        <v>193</v>
      </c>
      <c r="J2796" s="247" t="s">
        <v>3167</v>
      </c>
      <c r="K2796" s="89"/>
      <c r="L2796" s="90"/>
      <c r="M2796" s="90"/>
      <c r="P2796" s="68"/>
    </row>
    <row r="2797">
      <c r="A2797" s="95">
        <v>7.07762076006E11</v>
      </c>
      <c r="B2797" s="151" t="s">
        <v>3173</v>
      </c>
      <c r="C2797" s="95" t="s">
        <v>97</v>
      </c>
      <c r="D2797" s="95">
        <v>1.0</v>
      </c>
      <c r="E2797" s="101">
        <v>149.0</v>
      </c>
      <c r="F2797" s="101">
        <f t="shared" si="464"/>
        <v>149</v>
      </c>
      <c r="G2797" s="101">
        <f t="shared" si="465"/>
        <v>37.25</v>
      </c>
      <c r="H2797" s="95" t="s">
        <v>187</v>
      </c>
      <c r="J2797" s="247" t="s">
        <v>3167</v>
      </c>
      <c r="K2797" s="89"/>
      <c r="L2797" s="90"/>
      <c r="M2797" s="90"/>
      <c r="P2797" s="68"/>
    </row>
    <row r="2798">
      <c r="A2798" s="95">
        <v>7.08008673713E11</v>
      </c>
      <c r="B2798" s="151" t="s">
        <v>3174</v>
      </c>
      <c r="C2798" s="95" t="s">
        <v>97</v>
      </c>
      <c r="D2798" s="95">
        <v>1.0</v>
      </c>
      <c r="E2798" s="101">
        <v>69.0</v>
      </c>
      <c r="F2798" s="101">
        <f t="shared" si="464"/>
        <v>69</v>
      </c>
      <c r="G2798" s="101">
        <f t="shared" si="465"/>
        <v>17.25</v>
      </c>
      <c r="H2798" s="95" t="s">
        <v>3175</v>
      </c>
      <c r="J2798" s="247" t="s">
        <v>3167</v>
      </c>
      <c r="K2798" s="89"/>
      <c r="L2798" s="90"/>
      <c r="M2798" s="90"/>
      <c r="P2798" s="68"/>
    </row>
    <row r="2799">
      <c r="A2799" s="95">
        <v>7.32994165136E11</v>
      </c>
      <c r="B2799" s="151" t="s">
        <v>3176</v>
      </c>
      <c r="C2799" s="95" t="s">
        <v>97</v>
      </c>
      <c r="D2799" s="95">
        <v>1.0</v>
      </c>
      <c r="E2799" s="101">
        <v>24.5</v>
      </c>
      <c r="F2799" s="101">
        <f t="shared" si="464"/>
        <v>24.5</v>
      </c>
      <c r="G2799" s="101">
        <f t="shared" si="465"/>
        <v>6.125</v>
      </c>
      <c r="H2799" s="95" t="s">
        <v>193</v>
      </c>
      <c r="J2799" s="247" t="s">
        <v>3167</v>
      </c>
      <c r="K2799" s="89"/>
      <c r="L2799" s="90"/>
      <c r="M2799" s="90"/>
      <c r="P2799" s="68"/>
    </row>
    <row r="2800">
      <c r="A2800" s="95">
        <v>7.32996696935E11</v>
      </c>
      <c r="B2800" s="151" t="s">
        <v>3177</v>
      </c>
      <c r="C2800" s="95" t="s">
        <v>97</v>
      </c>
      <c r="D2800" s="95">
        <v>1.0</v>
      </c>
      <c r="E2800" s="101">
        <v>59.5</v>
      </c>
      <c r="F2800" s="101">
        <f t="shared" si="464"/>
        <v>59.5</v>
      </c>
      <c r="G2800" s="101">
        <f t="shared" si="465"/>
        <v>14.875</v>
      </c>
      <c r="H2800" s="95" t="s">
        <v>402</v>
      </c>
      <c r="J2800" s="247" t="s">
        <v>3167</v>
      </c>
      <c r="K2800" s="89"/>
      <c r="L2800" s="90"/>
      <c r="M2800" s="90"/>
      <c r="P2800" s="68"/>
    </row>
    <row r="2801">
      <c r="A2801" s="95">
        <v>7.3299669698E11</v>
      </c>
      <c r="B2801" s="151" t="s">
        <v>3178</v>
      </c>
      <c r="C2801" s="95" t="s">
        <v>97</v>
      </c>
      <c r="D2801" s="95">
        <v>1.0</v>
      </c>
      <c r="E2801" s="101">
        <v>59.5</v>
      </c>
      <c r="F2801" s="101">
        <f t="shared" si="464"/>
        <v>59.5</v>
      </c>
      <c r="G2801" s="101">
        <f t="shared" si="465"/>
        <v>14.875</v>
      </c>
      <c r="H2801" s="95" t="s">
        <v>402</v>
      </c>
      <c r="J2801" s="247" t="s">
        <v>3167</v>
      </c>
      <c r="K2801" s="89"/>
      <c r="L2801" s="90"/>
      <c r="M2801" s="90"/>
      <c r="P2801" s="68"/>
    </row>
    <row r="2802">
      <c r="A2802" s="95">
        <v>7.32998656807E11</v>
      </c>
      <c r="B2802" s="151" t="s">
        <v>3179</v>
      </c>
      <c r="C2802" s="95" t="s">
        <v>97</v>
      </c>
      <c r="D2802" s="95">
        <v>1.0</v>
      </c>
      <c r="E2802" s="101">
        <v>59.5</v>
      </c>
      <c r="F2802" s="101">
        <f t="shared" si="464"/>
        <v>59.5</v>
      </c>
      <c r="G2802" s="101">
        <f t="shared" si="465"/>
        <v>14.875</v>
      </c>
      <c r="H2802" s="95" t="s">
        <v>402</v>
      </c>
      <c r="J2802" s="247" t="s">
        <v>3167</v>
      </c>
      <c r="K2802" s="89"/>
      <c r="L2802" s="90"/>
      <c r="M2802" s="90"/>
      <c r="P2802" s="68"/>
    </row>
    <row r="2803">
      <c r="A2803" s="95">
        <v>7.32999660452E11</v>
      </c>
      <c r="B2803" s="151" t="s">
        <v>3180</v>
      </c>
      <c r="C2803" s="95" t="s">
        <v>97</v>
      </c>
      <c r="D2803" s="95">
        <v>1.0</v>
      </c>
      <c r="E2803" s="101">
        <v>59.5</v>
      </c>
      <c r="F2803" s="101">
        <f t="shared" si="464"/>
        <v>59.5</v>
      </c>
      <c r="G2803" s="101">
        <f t="shared" si="465"/>
        <v>14.875</v>
      </c>
      <c r="H2803" s="95" t="s">
        <v>402</v>
      </c>
      <c r="J2803" s="247" t="s">
        <v>3167</v>
      </c>
      <c r="K2803" s="89"/>
      <c r="L2803" s="90"/>
      <c r="M2803" s="90"/>
      <c r="P2803" s="68"/>
    </row>
    <row r="2804">
      <c r="A2804" s="95">
        <v>7.32999660469E11</v>
      </c>
      <c r="B2804" s="151" t="s">
        <v>3133</v>
      </c>
      <c r="C2804" s="95" t="s">
        <v>97</v>
      </c>
      <c r="D2804" s="95">
        <v>1.0</v>
      </c>
      <c r="E2804" s="101">
        <v>59.5</v>
      </c>
      <c r="F2804" s="101">
        <f t="shared" si="464"/>
        <v>59.5</v>
      </c>
      <c r="G2804" s="101">
        <f t="shared" si="465"/>
        <v>14.875</v>
      </c>
      <c r="H2804" s="95" t="s">
        <v>402</v>
      </c>
      <c r="J2804" s="247" t="s">
        <v>3167</v>
      </c>
      <c r="K2804" s="89"/>
      <c r="L2804" s="90"/>
      <c r="M2804" s="90"/>
      <c r="P2804" s="68"/>
    </row>
    <row r="2805">
      <c r="A2805" s="95">
        <v>7.3299985057E11</v>
      </c>
      <c r="B2805" s="151" t="s">
        <v>3181</v>
      </c>
      <c r="C2805" s="95" t="s">
        <v>97</v>
      </c>
      <c r="D2805" s="95">
        <v>1.0</v>
      </c>
      <c r="E2805" s="101">
        <v>59.5</v>
      </c>
      <c r="F2805" s="101">
        <f t="shared" si="464"/>
        <v>59.5</v>
      </c>
      <c r="G2805" s="101">
        <f t="shared" si="465"/>
        <v>14.875</v>
      </c>
      <c r="H2805" s="95" t="s">
        <v>402</v>
      </c>
      <c r="J2805" s="247" t="s">
        <v>3167</v>
      </c>
      <c r="K2805" s="89"/>
      <c r="L2805" s="90"/>
      <c r="M2805" s="90"/>
      <c r="P2805" s="68"/>
    </row>
    <row r="2806">
      <c r="A2806" s="95">
        <v>7.32999901913E11</v>
      </c>
      <c r="B2806" s="151" t="s">
        <v>3182</v>
      </c>
      <c r="C2806" s="95" t="s">
        <v>97</v>
      </c>
      <c r="D2806" s="95">
        <v>1.0</v>
      </c>
      <c r="E2806" s="101">
        <v>69.5</v>
      </c>
      <c r="F2806" s="101">
        <f t="shared" si="464"/>
        <v>69.5</v>
      </c>
      <c r="G2806" s="101">
        <f t="shared" si="465"/>
        <v>17.375</v>
      </c>
      <c r="H2806" s="95" t="s">
        <v>402</v>
      </c>
      <c r="J2806" s="247" t="s">
        <v>3167</v>
      </c>
      <c r="K2806" s="89"/>
      <c r="L2806" s="90"/>
      <c r="M2806" s="90"/>
      <c r="P2806" s="68"/>
    </row>
    <row r="2807">
      <c r="A2807" s="95">
        <v>7.33001274148E11</v>
      </c>
      <c r="B2807" s="151" t="s">
        <v>3183</v>
      </c>
      <c r="C2807" s="95" t="s">
        <v>97</v>
      </c>
      <c r="D2807" s="95">
        <v>1.0</v>
      </c>
      <c r="E2807" s="101">
        <v>59.5</v>
      </c>
      <c r="F2807" s="101">
        <f t="shared" si="464"/>
        <v>59.5</v>
      </c>
      <c r="G2807" s="101">
        <f t="shared" si="465"/>
        <v>14.875</v>
      </c>
      <c r="H2807" s="95" t="s">
        <v>193</v>
      </c>
      <c r="J2807" s="247" t="s">
        <v>3167</v>
      </c>
      <c r="K2807" s="89"/>
      <c r="L2807" s="90"/>
      <c r="M2807" s="90"/>
      <c r="P2807" s="68"/>
    </row>
    <row r="2808">
      <c r="A2808" s="95">
        <v>7.33001391883E11</v>
      </c>
      <c r="B2808" s="151" t="s">
        <v>3184</v>
      </c>
      <c r="C2808" s="95" t="s">
        <v>97</v>
      </c>
      <c r="D2808" s="95">
        <v>1.0</v>
      </c>
      <c r="E2808" s="101">
        <v>99.5</v>
      </c>
      <c r="F2808" s="101">
        <f t="shared" si="464"/>
        <v>99.5</v>
      </c>
      <c r="G2808" s="101">
        <f t="shared" si="465"/>
        <v>24.875</v>
      </c>
      <c r="H2808" s="95" t="s">
        <v>402</v>
      </c>
      <c r="J2808" s="247" t="s">
        <v>3167</v>
      </c>
      <c r="K2808" s="89"/>
      <c r="L2808" s="90"/>
      <c r="M2808" s="90"/>
      <c r="P2808" s="68"/>
    </row>
    <row r="2809">
      <c r="A2809" s="95">
        <v>7.33001407775E11</v>
      </c>
      <c r="B2809" s="151" t="s">
        <v>3185</v>
      </c>
      <c r="C2809" s="95" t="s">
        <v>97</v>
      </c>
      <c r="D2809" s="95">
        <v>1.0</v>
      </c>
      <c r="E2809" s="101">
        <v>64.5</v>
      </c>
      <c r="F2809" s="101">
        <f t="shared" si="464"/>
        <v>64.5</v>
      </c>
      <c r="G2809" s="101">
        <f t="shared" si="465"/>
        <v>16.125</v>
      </c>
      <c r="H2809" s="95" t="s">
        <v>402</v>
      </c>
      <c r="J2809" s="247" t="s">
        <v>3167</v>
      </c>
      <c r="K2809" s="89"/>
      <c r="L2809" s="90"/>
      <c r="M2809" s="90"/>
      <c r="P2809" s="68"/>
    </row>
    <row r="2810">
      <c r="A2810" s="95">
        <v>7.33001409823E11</v>
      </c>
      <c r="B2810" s="151" t="s">
        <v>3186</v>
      </c>
      <c r="C2810" s="95" t="s">
        <v>97</v>
      </c>
      <c r="D2810" s="95">
        <v>1.0</v>
      </c>
      <c r="E2810" s="101">
        <v>89.5</v>
      </c>
      <c r="F2810" s="101">
        <f t="shared" si="464"/>
        <v>89.5</v>
      </c>
      <c r="G2810" s="101">
        <f t="shared" si="465"/>
        <v>22.375</v>
      </c>
      <c r="H2810" s="95" t="s">
        <v>3187</v>
      </c>
      <c r="J2810" s="247" t="s">
        <v>3167</v>
      </c>
      <c r="K2810" s="89"/>
      <c r="L2810" s="90"/>
      <c r="M2810" s="90"/>
      <c r="P2810" s="68"/>
    </row>
    <row r="2811">
      <c r="A2811" s="95">
        <v>7.33001450047E11</v>
      </c>
      <c r="B2811" s="151" t="s">
        <v>3108</v>
      </c>
      <c r="C2811" s="95" t="s">
        <v>97</v>
      </c>
      <c r="D2811" s="95">
        <v>1.0</v>
      </c>
      <c r="E2811" s="101">
        <v>69.5</v>
      </c>
      <c r="F2811" s="101">
        <f t="shared" si="464"/>
        <v>69.5</v>
      </c>
      <c r="G2811" s="101">
        <f t="shared" si="465"/>
        <v>17.375</v>
      </c>
      <c r="H2811" s="95" t="s">
        <v>193</v>
      </c>
      <c r="J2811" s="247" t="s">
        <v>3167</v>
      </c>
      <c r="K2811" s="89"/>
      <c r="L2811" s="90"/>
      <c r="M2811" s="90"/>
      <c r="P2811" s="68"/>
    </row>
    <row r="2812">
      <c r="A2812" s="95">
        <v>7.33001450108E11</v>
      </c>
      <c r="B2812" s="151" t="s">
        <v>3111</v>
      </c>
      <c r="C2812" s="95" t="s">
        <v>97</v>
      </c>
      <c r="D2812" s="95">
        <v>3.0</v>
      </c>
      <c r="E2812" s="101">
        <v>69.5</v>
      </c>
      <c r="F2812" s="101">
        <f t="shared" si="464"/>
        <v>208.5</v>
      </c>
      <c r="G2812" s="101">
        <f t="shared" si="465"/>
        <v>52.125</v>
      </c>
      <c r="H2812" s="95" t="s">
        <v>193</v>
      </c>
      <c r="J2812" s="247" t="s">
        <v>3167</v>
      </c>
      <c r="K2812" s="89"/>
      <c r="L2812" s="90"/>
      <c r="M2812" s="90"/>
      <c r="P2812" s="68"/>
    </row>
    <row r="2813">
      <c r="A2813" s="95">
        <v>7.33001450122E11</v>
      </c>
      <c r="B2813" s="151" t="s">
        <v>3138</v>
      </c>
      <c r="C2813" s="95" t="s">
        <v>97</v>
      </c>
      <c r="D2813" s="95">
        <v>1.0</v>
      </c>
      <c r="E2813" s="101">
        <v>69.5</v>
      </c>
      <c r="F2813" s="101">
        <f t="shared" si="464"/>
        <v>69.5</v>
      </c>
      <c r="G2813" s="101">
        <f t="shared" si="465"/>
        <v>17.375</v>
      </c>
      <c r="H2813" s="95" t="s">
        <v>193</v>
      </c>
      <c r="J2813" s="247" t="s">
        <v>3167</v>
      </c>
      <c r="K2813" s="89"/>
      <c r="L2813" s="90"/>
      <c r="M2813" s="90"/>
      <c r="P2813" s="68"/>
    </row>
    <row r="2814">
      <c r="A2814" s="95">
        <v>7.33001546733E11</v>
      </c>
      <c r="B2814" s="151" t="s">
        <v>3188</v>
      </c>
      <c r="C2814" s="95" t="s">
        <v>97</v>
      </c>
      <c r="D2814" s="95">
        <v>1.0</v>
      </c>
      <c r="E2814" s="101">
        <v>49.5</v>
      </c>
      <c r="F2814" s="101">
        <f t="shared" si="464"/>
        <v>49.5</v>
      </c>
      <c r="G2814" s="101">
        <f t="shared" si="465"/>
        <v>12.375</v>
      </c>
      <c r="H2814" s="95" t="s">
        <v>3140</v>
      </c>
      <c r="J2814" s="247" t="s">
        <v>3167</v>
      </c>
      <c r="K2814" s="89"/>
      <c r="L2814" s="90"/>
      <c r="M2814" s="90"/>
      <c r="P2814" s="68"/>
    </row>
    <row r="2815">
      <c r="A2815" s="95">
        <v>7.3300154674E11</v>
      </c>
      <c r="B2815" s="151" t="s">
        <v>3189</v>
      </c>
      <c r="C2815" s="95" t="s">
        <v>97</v>
      </c>
      <c r="D2815" s="95">
        <v>3.0</v>
      </c>
      <c r="E2815" s="101">
        <v>49.5</v>
      </c>
      <c r="F2815" s="101">
        <f t="shared" si="464"/>
        <v>148.5</v>
      </c>
      <c r="G2815" s="101">
        <f t="shared" si="465"/>
        <v>37.125</v>
      </c>
      <c r="H2815" s="95" t="s">
        <v>3140</v>
      </c>
      <c r="J2815" s="247" t="s">
        <v>3167</v>
      </c>
      <c r="K2815" s="89"/>
      <c r="L2815" s="90"/>
      <c r="M2815" s="90"/>
      <c r="P2815" s="68"/>
    </row>
    <row r="2816">
      <c r="A2816" s="95">
        <v>7.33001546757E11</v>
      </c>
      <c r="B2816" s="151" t="s">
        <v>3139</v>
      </c>
      <c r="C2816" s="95" t="s">
        <v>97</v>
      </c>
      <c r="D2816" s="95">
        <v>2.0</v>
      </c>
      <c r="E2816" s="101">
        <v>49.5</v>
      </c>
      <c r="F2816" s="101">
        <f t="shared" si="464"/>
        <v>99</v>
      </c>
      <c r="G2816" s="101">
        <f t="shared" si="465"/>
        <v>24.75</v>
      </c>
      <c r="H2816" s="95" t="s">
        <v>3140</v>
      </c>
      <c r="J2816" s="247" t="s">
        <v>3167</v>
      </c>
      <c r="K2816" s="89"/>
      <c r="L2816" s="90"/>
      <c r="M2816" s="90"/>
      <c r="P2816" s="68"/>
    </row>
    <row r="2817">
      <c r="A2817" s="95">
        <v>7.33001546764E11</v>
      </c>
      <c r="B2817" s="151" t="s">
        <v>3190</v>
      </c>
      <c r="C2817" s="95" t="s">
        <v>97</v>
      </c>
      <c r="D2817" s="95">
        <v>3.0</v>
      </c>
      <c r="E2817" s="101">
        <v>49.5</v>
      </c>
      <c r="F2817" s="101">
        <f t="shared" si="464"/>
        <v>148.5</v>
      </c>
      <c r="G2817" s="101">
        <f t="shared" si="465"/>
        <v>37.125</v>
      </c>
      <c r="H2817" s="95" t="s">
        <v>3140</v>
      </c>
      <c r="J2817" s="247" t="s">
        <v>3167</v>
      </c>
      <c r="K2817" s="89"/>
      <c r="L2817" s="90"/>
      <c r="M2817" s="90"/>
      <c r="P2817" s="68"/>
    </row>
    <row r="2818">
      <c r="A2818" s="95">
        <v>7.33001546795E11</v>
      </c>
      <c r="B2818" s="151" t="s">
        <v>3191</v>
      </c>
      <c r="C2818" s="95" t="s">
        <v>97</v>
      </c>
      <c r="D2818" s="95">
        <v>1.0</v>
      </c>
      <c r="E2818" s="101">
        <v>49.5</v>
      </c>
      <c r="F2818" s="101">
        <f t="shared" si="464"/>
        <v>49.5</v>
      </c>
      <c r="G2818" s="101">
        <f t="shared" si="465"/>
        <v>12.375</v>
      </c>
      <c r="H2818" s="95" t="s">
        <v>3140</v>
      </c>
      <c r="J2818" s="247" t="s">
        <v>3167</v>
      </c>
      <c r="K2818" s="89"/>
      <c r="L2818" s="90"/>
      <c r="M2818" s="90"/>
      <c r="P2818" s="68"/>
    </row>
    <row r="2819">
      <c r="A2819" s="95">
        <v>7.3300177994E11</v>
      </c>
      <c r="B2819" s="151" t="s">
        <v>3192</v>
      </c>
      <c r="C2819" s="95" t="s">
        <v>97</v>
      </c>
      <c r="D2819" s="95">
        <v>1.0</v>
      </c>
      <c r="E2819" s="101">
        <v>79.5</v>
      </c>
      <c r="F2819" s="101">
        <f t="shared" si="464"/>
        <v>79.5</v>
      </c>
      <c r="G2819" s="101">
        <f t="shared" si="465"/>
        <v>19.875</v>
      </c>
      <c r="H2819" s="95" t="s">
        <v>193</v>
      </c>
      <c r="J2819" s="247" t="s">
        <v>3167</v>
      </c>
      <c r="K2819" s="89"/>
      <c r="L2819" s="90"/>
      <c r="M2819" s="90"/>
      <c r="P2819" s="68"/>
    </row>
    <row r="2820">
      <c r="A2820" s="95">
        <v>7.33001779957E11</v>
      </c>
      <c r="B2820" s="151" t="s">
        <v>2097</v>
      </c>
      <c r="C2820" s="95" t="s">
        <v>97</v>
      </c>
      <c r="D2820" s="95">
        <v>1.0</v>
      </c>
      <c r="E2820" s="101">
        <v>79.5</v>
      </c>
      <c r="F2820" s="101">
        <f t="shared" si="464"/>
        <v>79.5</v>
      </c>
      <c r="G2820" s="101">
        <f t="shared" si="465"/>
        <v>19.875</v>
      </c>
      <c r="H2820" s="95" t="s">
        <v>193</v>
      </c>
      <c r="J2820" s="247" t="s">
        <v>3167</v>
      </c>
      <c r="K2820" s="89"/>
      <c r="L2820" s="90"/>
      <c r="M2820" s="90"/>
      <c r="P2820" s="68"/>
    </row>
    <row r="2821">
      <c r="A2821" s="95">
        <v>7.33001779995E11</v>
      </c>
      <c r="B2821" s="151" t="s">
        <v>3193</v>
      </c>
      <c r="C2821" s="95" t="s">
        <v>97</v>
      </c>
      <c r="D2821" s="95">
        <v>1.0</v>
      </c>
      <c r="E2821" s="101">
        <v>79.5</v>
      </c>
      <c r="F2821" s="101">
        <f t="shared" si="464"/>
        <v>79.5</v>
      </c>
      <c r="G2821" s="101">
        <f t="shared" si="465"/>
        <v>19.875</v>
      </c>
      <c r="H2821" s="95" t="s">
        <v>193</v>
      </c>
      <c r="J2821" s="247" t="s">
        <v>3167</v>
      </c>
      <c r="K2821" s="89"/>
      <c r="L2821" s="90"/>
      <c r="M2821" s="90"/>
      <c r="P2821" s="68"/>
    </row>
    <row r="2822">
      <c r="A2822" s="95">
        <v>7.33001791799E11</v>
      </c>
      <c r="B2822" s="151" t="s">
        <v>3194</v>
      </c>
      <c r="C2822" s="95" t="s">
        <v>97</v>
      </c>
      <c r="D2822" s="95">
        <v>1.0</v>
      </c>
      <c r="E2822" s="101">
        <v>69.5</v>
      </c>
      <c r="F2822" s="101">
        <f t="shared" si="464"/>
        <v>69.5</v>
      </c>
      <c r="G2822" s="101">
        <f t="shared" si="465"/>
        <v>17.375</v>
      </c>
      <c r="H2822" s="95" t="s">
        <v>402</v>
      </c>
      <c r="J2822" s="247" t="s">
        <v>3167</v>
      </c>
      <c r="K2822" s="89"/>
      <c r="L2822" s="90"/>
      <c r="M2822" s="90"/>
      <c r="P2822" s="68"/>
    </row>
    <row r="2823">
      <c r="A2823" s="95">
        <v>7.33001809135E11</v>
      </c>
      <c r="B2823" s="151" t="s">
        <v>3195</v>
      </c>
      <c r="C2823" s="95" t="s">
        <v>97</v>
      </c>
      <c r="D2823" s="95">
        <v>1.0</v>
      </c>
      <c r="E2823" s="101">
        <v>34.5</v>
      </c>
      <c r="F2823" s="101">
        <f t="shared" si="464"/>
        <v>34.5</v>
      </c>
      <c r="G2823" s="101">
        <f t="shared" si="465"/>
        <v>8.625</v>
      </c>
      <c r="H2823" s="95" t="s">
        <v>402</v>
      </c>
      <c r="J2823" s="247" t="s">
        <v>3167</v>
      </c>
      <c r="K2823" s="89"/>
      <c r="L2823" s="90"/>
      <c r="M2823" s="90"/>
      <c r="P2823" s="68"/>
    </row>
    <row r="2824">
      <c r="A2824" s="95">
        <v>7.33001820703E11</v>
      </c>
      <c r="B2824" s="151" t="s">
        <v>3113</v>
      </c>
      <c r="C2824" s="95" t="s">
        <v>97</v>
      </c>
      <c r="D2824" s="95">
        <v>1.0</v>
      </c>
      <c r="E2824" s="101">
        <v>69.5</v>
      </c>
      <c r="F2824" s="101">
        <f t="shared" si="464"/>
        <v>69.5</v>
      </c>
      <c r="G2824" s="101">
        <f t="shared" si="465"/>
        <v>17.375</v>
      </c>
      <c r="H2824" s="95" t="s">
        <v>193</v>
      </c>
      <c r="J2824" s="247" t="s">
        <v>3167</v>
      </c>
      <c r="K2824" s="89"/>
      <c r="L2824" s="90"/>
      <c r="M2824" s="90"/>
      <c r="P2824" s="68"/>
    </row>
    <row r="2825">
      <c r="A2825" s="95">
        <v>7.33001861102E11</v>
      </c>
      <c r="B2825" s="151" t="s">
        <v>3196</v>
      </c>
      <c r="C2825" s="95" t="s">
        <v>97</v>
      </c>
      <c r="D2825" s="95">
        <v>1.0</v>
      </c>
      <c r="E2825" s="101">
        <v>59.5</v>
      </c>
      <c r="F2825" s="101">
        <f t="shared" si="464"/>
        <v>59.5</v>
      </c>
      <c r="G2825" s="101">
        <f t="shared" si="465"/>
        <v>14.875</v>
      </c>
      <c r="H2825" s="95" t="s">
        <v>193</v>
      </c>
      <c r="J2825" s="247" t="s">
        <v>3167</v>
      </c>
      <c r="K2825" s="89"/>
      <c r="L2825" s="90"/>
      <c r="M2825" s="90"/>
      <c r="P2825" s="68"/>
    </row>
    <row r="2826">
      <c r="A2826" s="95">
        <v>7.33001861898E11</v>
      </c>
      <c r="B2826" s="151" t="s">
        <v>3197</v>
      </c>
      <c r="C2826" s="95" t="s">
        <v>97</v>
      </c>
      <c r="D2826" s="95">
        <v>1.0</v>
      </c>
      <c r="E2826" s="101">
        <v>89.5</v>
      </c>
      <c r="F2826" s="101">
        <f t="shared" si="464"/>
        <v>89.5</v>
      </c>
      <c r="G2826" s="101">
        <f t="shared" si="465"/>
        <v>22.375</v>
      </c>
      <c r="H2826" s="95" t="s">
        <v>193</v>
      </c>
      <c r="J2826" s="247" t="s">
        <v>3167</v>
      </c>
      <c r="K2826" s="89"/>
      <c r="L2826" s="90"/>
      <c r="M2826" s="90"/>
      <c r="P2826" s="68"/>
    </row>
    <row r="2827">
      <c r="A2827" s="95">
        <v>7.33001903826E11</v>
      </c>
      <c r="B2827" s="151" t="s">
        <v>3198</v>
      </c>
      <c r="C2827" s="95" t="s">
        <v>97</v>
      </c>
      <c r="D2827" s="95">
        <v>1.0</v>
      </c>
      <c r="E2827" s="101">
        <v>69.5</v>
      </c>
      <c r="F2827" s="101">
        <f t="shared" si="464"/>
        <v>69.5</v>
      </c>
      <c r="G2827" s="101">
        <f t="shared" si="465"/>
        <v>17.375</v>
      </c>
      <c r="H2827" s="95" t="s">
        <v>402</v>
      </c>
      <c r="J2827" s="247" t="s">
        <v>3167</v>
      </c>
      <c r="K2827" s="89"/>
      <c r="L2827" s="90"/>
      <c r="M2827" s="90"/>
      <c r="P2827" s="68"/>
    </row>
    <row r="2828">
      <c r="A2828" s="95">
        <v>7.33001903833E11</v>
      </c>
      <c r="B2828" s="151" t="s">
        <v>3199</v>
      </c>
      <c r="C2828" s="95" t="s">
        <v>97</v>
      </c>
      <c r="D2828" s="95">
        <v>1.0</v>
      </c>
      <c r="E2828" s="101">
        <v>69.5</v>
      </c>
      <c r="F2828" s="101">
        <f t="shared" si="464"/>
        <v>69.5</v>
      </c>
      <c r="G2828" s="101">
        <f t="shared" si="465"/>
        <v>17.375</v>
      </c>
      <c r="H2828" s="95" t="s">
        <v>402</v>
      </c>
      <c r="J2828" s="247" t="s">
        <v>3167</v>
      </c>
      <c r="K2828" s="89"/>
      <c r="L2828" s="90"/>
      <c r="M2828" s="90"/>
      <c r="P2828" s="68"/>
    </row>
    <row r="2829">
      <c r="A2829" s="95">
        <v>7.33001906001E11</v>
      </c>
      <c r="B2829" s="151" t="s">
        <v>3200</v>
      </c>
      <c r="C2829" s="95" t="s">
        <v>97</v>
      </c>
      <c r="D2829" s="95">
        <v>1.0</v>
      </c>
      <c r="E2829" s="101">
        <v>69.5</v>
      </c>
      <c r="F2829" s="101">
        <f t="shared" si="464"/>
        <v>69.5</v>
      </c>
      <c r="G2829" s="101">
        <f t="shared" si="465"/>
        <v>17.375</v>
      </c>
      <c r="H2829" s="95" t="s">
        <v>402</v>
      </c>
      <c r="J2829" s="247" t="s">
        <v>3167</v>
      </c>
      <c r="K2829" s="89"/>
      <c r="L2829" s="90"/>
      <c r="M2829" s="90"/>
      <c r="P2829" s="68"/>
    </row>
    <row r="2830">
      <c r="A2830" s="95">
        <v>7.33001906056E11</v>
      </c>
      <c r="B2830" s="151" t="s">
        <v>3201</v>
      </c>
      <c r="C2830" s="95" t="s">
        <v>97</v>
      </c>
      <c r="D2830" s="95">
        <v>1.0</v>
      </c>
      <c r="E2830" s="101">
        <v>64.5</v>
      </c>
      <c r="F2830" s="101">
        <f t="shared" si="464"/>
        <v>64.5</v>
      </c>
      <c r="G2830" s="101">
        <f t="shared" si="465"/>
        <v>16.125</v>
      </c>
      <c r="H2830" s="95" t="s">
        <v>402</v>
      </c>
      <c r="J2830" s="247" t="s">
        <v>3167</v>
      </c>
      <c r="K2830" s="89"/>
      <c r="L2830" s="90"/>
      <c r="M2830" s="90"/>
      <c r="P2830" s="68"/>
    </row>
    <row r="2831">
      <c r="A2831" s="95">
        <v>7.33001916727E11</v>
      </c>
      <c r="B2831" s="151" t="s">
        <v>3202</v>
      </c>
      <c r="C2831" s="95" t="s">
        <v>97</v>
      </c>
      <c r="D2831" s="95">
        <v>1.0</v>
      </c>
      <c r="E2831" s="101">
        <v>59.5</v>
      </c>
      <c r="F2831" s="101">
        <f t="shared" si="464"/>
        <v>59.5</v>
      </c>
      <c r="G2831" s="101">
        <f t="shared" si="465"/>
        <v>14.875</v>
      </c>
      <c r="H2831" s="95" t="s">
        <v>193</v>
      </c>
      <c r="J2831" s="247" t="s">
        <v>3167</v>
      </c>
      <c r="K2831" s="89"/>
      <c r="L2831" s="90"/>
      <c r="M2831" s="90"/>
      <c r="P2831" s="68"/>
    </row>
    <row r="2832">
      <c r="A2832" s="95">
        <v>7.33001916765E11</v>
      </c>
      <c r="B2832" s="151" t="s">
        <v>3115</v>
      </c>
      <c r="C2832" s="95" t="s">
        <v>97</v>
      </c>
      <c r="D2832" s="95">
        <v>1.0</v>
      </c>
      <c r="E2832" s="101">
        <v>59.5</v>
      </c>
      <c r="F2832" s="101">
        <f t="shared" si="464"/>
        <v>59.5</v>
      </c>
      <c r="G2832" s="101">
        <f t="shared" si="465"/>
        <v>14.875</v>
      </c>
      <c r="H2832" s="95" t="s">
        <v>193</v>
      </c>
      <c r="J2832" s="247" t="s">
        <v>3167</v>
      </c>
      <c r="K2832" s="89"/>
      <c r="L2832" s="90"/>
      <c r="M2832" s="90"/>
      <c r="P2832" s="68"/>
    </row>
    <row r="2833">
      <c r="A2833" s="95">
        <v>7.33001916802E11</v>
      </c>
      <c r="B2833" s="151" t="s">
        <v>3203</v>
      </c>
      <c r="C2833" s="95" t="s">
        <v>97</v>
      </c>
      <c r="D2833" s="95">
        <v>1.0</v>
      </c>
      <c r="E2833" s="101">
        <v>59.5</v>
      </c>
      <c r="F2833" s="101">
        <f t="shared" si="464"/>
        <v>59.5</v>
      </c>
      <c r="G2833" s="101">
        <f t="shared" si="465"/>
        <v>14.875</v>
      </c>
      <c r="H2833" s="95" t="s">
        <v>193</v>
      </c>
      <c r="J2833" s="247" t="s">
        <v>3167</v>
      </c>
      <c r="K2833" s="89"/>
      <c r="L2833" s="90"/>
      <c r="M2833" s="90"/>
      <c r="P2833" s="68"/>
    </row>
    <row r="2834">
      <c r="A2834" s="95">
        <v>7.3300216776E11</v>
      </c>
      <c r="B2834" s="151" t="s">
        <v>3204</v>
      </c>
      <c r="C2834" s="95" t="s">
        <v>97</v>
      </c>
      <c r="D2834" s="95">
        <v>1.0</v>
      </c>
      <c r="E2834" s="101">
        <v>59.5</v>
      </c>
      <c r="F2834" s="101">
        <f t="shared" si="464"/>
        <v>59.5</v>
      </c>
      <c r="G2834" s="101">
        <f t="shared" si="465"/>
        <v>14.875</v>
      </c>
      <c r="H2834" s="95" t="s">
        <v>402</v>
      </c>
      <c r="J2834" s="247" t="s">
        <v>3167</v>
      </c>
      <c r="K2834" s="89"/>
      <c r="L2834" s="90"/>
      <c r="M2834" s="90"/>
      <c r="P2834" s="68"/>
    </row>
    <row r="2835">
      <c r="A2835" s="95">
        <v>7.33002167814E11</v>
      </c>
      <c r="B2835" s="151" t="s">
        <v>3205</v>
      </c>
      <c r="C2835" s="95" t="s">
        <v>97</v>
      </c>
      <c r="D2835" s="95">
        <v>1.0</v>
      </c>
      <c r="E2835" s="101">
        <v>59.5</v>
      </c>
      <c r="F2835" s="101">
        <f t="shared" si="464"/>
        <v>59.5</v>
      </c>
      <c r="G2835" s="101">
        <f t="shared" si="465"/>
        <v>14.875</v>
      </c>
      <c r="H2835" s="95" t="s">
        <v>402</v>
      </c>
      <c r="J2835" s="247" t="s">
        <v>3167</v>
      </c>
      <c r="K2835" s="89"/>
      <c r="L2835" s="90"/>
      <c r="M2835" s="90"/>
      <c r="P2835" s="68"/>
    </row>
    <row r="2836">
      <c r="A2836" s="95">
        <v>7.3300217526E11</v>
      </c>
      <c r="B2836" s="151" t="s">
        <v>3206</v>
      </c>
      <c r="C2836" s="95" t="s">
        <v>97</v>
      </c>
      <c r="D2836" s="95">
        <v>1.0</v>
      </c>
      <c r="E2836" s="101">
        <v>79.5</v>
      </c>
      <c r="F2836" s="101">
        <f t="shared" si="464"/>
        <v>79.5</v>
      </c>
      <c r="G2836" s="101">
        <f t="shared" si="465"/>
        <v>19.875</v>
      </c>
      <c r="H2836" s="95" t="s">
        <v>402</v>
      </c>
      <c r="J2836" s="247" t="s">
        <v>3167</v>
      </c>
      <c r="K2836" s="89"/>
      <c r="L2836" s="90"/>
      <c r="M2836" s="90"/>
      <c r="P2836" s="68"/>
    </row>
    <row r="2837">
      <c r="A2837" s="95">
        <v>7.33002189564E11</v>
      </c>
      <c r="B2837" s="151" t="s">
        <v>3207</v>
      </c>
      <c r="C2837" s="95" t="s">
        <v>97</v>
      </c>
      <c r="D2837" s="95">
        <v>1.0</v>
      </c>
      <c r="E2837" s="101">
        <v>79.5</v>
      </c>
      <c r="F2837" s="101">
        <f t="shared" si="464"/>
        <v>79.5</v>
      </c>
      <c r="G2837" s="101">
        <f t="shared" si="465"/>
        <v>19.875</v>
      </c>
      <c r="H2837" s="95" t="s">
        <v>402</v>
      </c>
      <c r="J2837" s="247" t="s">
        <v>3167</v>
      </c>
      <c r="K2837" s="89"/>
      <c r="L2837" s="90"/>
      <c r="M2837" s="90"/>
      <c r="P2837" s="68"/>
    </row>
    <row r="2838">
      <c r="A2838" s="95">
        <v>7.33002207428E11</v>
      </c>
      <c r="B2838" s="151" t="s">
        <v>3208</v>
      </c>
      <c r="C2838" s="95" t="s">
        <v>97</v>
      </c>
      <c r="D2838" s="95">
        <v>1.0</v>
      </c>
      <c r="E2838" s="101">
        <v>69.5</v>
      </c>
      <c r="F2838" s="101">
        <f t="shared" si="464"/>
        <v>69.5</v>
      </c>
      <c r="G2838" s="101">
        <f t="shared" si="465"/>
        <v>17.375</v>
      </c>
      <c r="H2838" s="95" t="s">
        <v>402</v>
      </c>
      <c r="J2838" s="247" t="s">
        <v>3167</v>
      </c>
      <c r="K2838" s="89"/>
      <c r="L2838" s="90"/>
      <c r="M2838" s="90"/>
      <c r="P2838" s="68"/>
    </row>
    <row r="2839">
      <c r="A2839" s="211"/>
      <c r="B2839" s="231" t="s">
        <v>3209</v>
      </c>
      <c r="C2839" s="234" t="str">
        <f>MID($B2839,6,8)</f>
        <v>KL187104</v>
      </c>
      <c r="D2839" s="231"/>
      <c r="E2839" s="231"/>
      <c r="F2839" s="231"/>
      <c r="G2839" s="231"/>
      <c r="H2839" s="235">
        <v>44560.0</v>
      </c>
      <c r="J2839" s="108" t="str">
        <f>IF(LEFT(B2839,3)="Box","BOX","COUNT")</f>
        <v>BOX</v>
      </c>
      <c r="K2839" s="99">
        <f>SUMIF($J$4:$J$8712,$C2839,$D$4:$D$8712)</f>
        <v>54</v>
      </c>
      <c r="L2839" s="50">
        <f>SUMIF($J$4:$J$8712,$C2839,$F$4:$F$8712)</f>
        <v>3616</v>
      </c>
      <c r="M2839" s="50">
        <f>SUMIF($J$4:$J$8712,$C2839,$G$4:$G$8712)</f>
        <v>904</v>
      </c>
      <c r="N2839" s="70" t="str">
        <f>C2839</f>
        <v>KL187104</v>
      </c>
      <c r="O2839" s="70" t="str">
        <f>J2840</f>
        <v>NSHIP</v>
      </c>
      <c r="P2839" s="68">
        <f>M2839</f>
        <v>904</v>
      </c>
    </row>
    <row r="2840">
      <c r="A2840" s="211"/>
      <c r="B2840" s="231"/>
      <c r="C2840" s="109"/>
      <c r="D2840" s="109"/>
      <c r="E2840" s="116"/>
      <c r="F2840" s="116"/>
      <c r="G2840" s="116"/>
      <c r="H2840" s="109"/>
      <c r="J2840" s="108" t="str">
        <f>IF(B2840="","NSHIP","SHIP")</f>
        <v>NSHIP</v>
      </c>
      <c r="K2840" s="99">
        <f>IF($J2840="NSHIP",0,-SUMIF($J$4:$J$8712,$C2839,$D$4:$D$8712))</f>
        <v>0</v>
      </c>
      <c r="L2840" s="50">
        <f>IF($J2840="NSHIP",0,-SUMIF($J$4:$J$8710,$C2839,$F$4:$F$8710))</f>
        <v>0</v>
      </c>
      <c r="M2840" s="50">
        <f>IF($J2840="NSHIP",0,-SUMIF($J$4:$J$8710,$C2839,$G$4:$G$8710))</f>
        <v>0</v>
      </c>
      <c r="P2840" s="68"/>
    </row>
    <row r="2841">
      <c r="A2841" s="95">
        <v>1.90917342E11</v>
      </c>
      <c r="B2841" s="151" t="s">
        <v>3210</v>
      </c>
      <c r="C2841" s="95" t="s">
        <v>97</v>
      </c>
      <c r="D2841" s="95">
        <v>1.0</v>
      </c>
      <c r="E2841" s="101">
        <v>39.0</v>
      </c>
      <c r="F2841" s="101">
        <f t="shared" ref="F2841:F2879" si="466">E2841*D2841</f>
        <v>39</v>
      </c>
      <c r="G2841" s="101">
        <f t="shared" ref="G2841:G2879" si="467">F2841/4</f>
        <v>9.75</v>
      </c>
      <c r="H2841" s="95" t="s">
        <v>3211</v>
      </c>
      <c r="J2841" s="247" t="s">
        <v>3212</v>
      </c>
      <c r="K2841" s="89"/>
      <c r="L2841" s="90"/>
      <c r="M2841" s="90"/>
      <c r="P2841" s="68"/>
    </row>
    <row r="2842">
      <c r="A2842" s="95">
        <v>1.90917345148E11</v>
      </c>
      <c r="B2842" s="151" t="s">
        <v>3213</v>
      </c>
      <c r="C2842" s="95" t="s">
        <v>97</v>
      </c>
      <c r="D2842" s="95">
        <v>1.0</v>
      </c>
      <c r="E2842" s="101">
        <v>69.0</v>
      </c>
      <c r="F2842" s="101">
        <f t="shared" si="466"/>
        <v>69</v>
      </c>
      <c r="G2842" s="101">
        <f t="shared" si="467"/>
        <v>17.25</v>
      </c>
      <c r="H2842" s="95" t="s">
        <v>3211</v>
      </c>
      <c r="J2842" s="247" t="s">
        <v>3212</v>
      </c>
      <c r="K2842" s="89"/>
      <c r="L2842" s="90"/>
      <c r="M2842" s="90"/>
      <c r="P2842" s="68"/>
    </row>
    <row r="2843">
      <c r="A2843" s="95">
        <v>1.90917348163E11</v>
      </c>
      <c r="B2843" s="151" t="s">
        <v>3214</v>
      </c>
      <c r="C2843" s="95" t="s">
        <v>97</v>
      </c>
      <c r="D2843" s="95">
        <v>1.0</v>
      </c>
      <c r="E2843" s="101">
        <v>89.0</v>
      </c>
      <c r="F2843" s="101">
        <f t="shared" si="466"/>
        <v>89</v>
      </c>
      <c r="G2843" s="101">
        <f t="shared" si="467"/>
        <v>22.25</v>
      </c>
      <c r="H2843" s="95" t="s">
        <v>3211</v>
      </c>
      <c r="J2843" s="247" t="s">
        <v>3212</v>
      </c>
      <c r="K2843" s="89"/>
      <c r="L2843" s="90"/>
      <c r="M2843" s="90"/>
      <c r="P2843" s="68"/>
    </row>
    <row r="2844">
      <c r="A2844" s="95">
        <v>1.93768109372E11</v>
      </c>
      <c r="B2844" s="151" t="s">
        <v>3215</v>
      </c>
      <c r="C2844" s="95" t="s">
        <v>97</v>
      </c>
      <c r="D2844" s="95">
        <v>1.0</v>
      </c>
      <c r="E2844" s="101">
        <v>89.0</v>
      </c>
      <c r="F2844" s="101">
        <f t="shared" si="466"/>
        <v>89</v>
      </c>
      <c r="G2844" s="101">
        <f t="shared" si="467"/>
        <v>22.25</v>
      </c>
      <c r="H2844" s="95" t="s">
        <v>3216</v>
      </c>
      <c r="J2844" s="247" t="s">
        <v>3212</v>
      </c>
      <c r="K2844" s="89"/>
      <c r="L2844" s="90"/>
      <c r="M2844" s="90"/>
      <c r="P2844" s="68"/>
    </row>
    <row r="2845">
      <c r="A2845" s="95">
        <v>6.36206367281E11</v>
      </c>
      <c r="B2845" s="151" t="s">
        <v>3217</v>
      </c>
      <c r="C2845" s="95" t="s">
        <v>97</v>
      </c>
      <c r="D2845" s="95">
        <v>1.0</v>
      </c>
      <c r="E2845" s="101">
        <v>44.5</v>
      </c>
      <c r="F2845" s="101">
        <f t="shared" si="466"/>
        <v>44.5</v>
      </c>
      <c r="G2845" s="101">
        <f t="shared" si="467"/>
        <v>11.125</v>
      </c>
      <c r="H2845" s="95" t="s">
        <v>193</v>
      </c>
      <c r="J2845" s="247" t="s">
        <v>3212</v>
      </c>
      <c r="K2845" s="89"/>
      <c r="L2845" s="90"/>
      <c r="M2845" s="90"/>
      <c r="P2845" s="68"/>
    </row>
    <row r="2846">
      <c r="A2846" s="95">
        <v>7.07762395473E11</v>
      </c>
      <c r="B2846" s="151" t="s">
        <v>3218</v>
      </c>
      <c r="C2846" s="95" t="s">
        <v>97</v>
      </c>
      <c r="D2846" s="95">
        <v>3.0</v>
      </c>
      <c r="E2846" s="101">
        <v>149.0</v>
      </c>
      <c r="F2846" s="101">
        <f t="shared" si="466"/>
        <v>447</v>
      </c>
      <c r="G2846" s="101">
        <f t="shared" si="467"/>
        <v>111.75</v>
      </c>
      <c r="H2846" s="95" t="s">
        <v>3219</v>
      </c>
      <c r="J2846" s="247" t="s">
        <v>3212</v>
      </c>
      <c r="K2846" s="89"/>
      <c r="L2846" s="90"/>
      <c r="M2846" s="90"/>
      <c r="P2846" s="68"/>
    </row>
    <row r="2847">
      <c r="A2847" s="95">
        <v>7.32997569993E11</v>
      </c>
      <c r="B2847" s="151" t="s">
        <v>3220</v>
      </c>
      <c r="C2847" s="95" t="s">
        <v>97</v>
      </c>
      <c r="D2847" s="95">
        <v>1.0</v>
      </c>
      <c r="E2847" s="101">
        <v>59.5</v>
      </c>
      <c r="F2847" s="101">
        <f t="shared" si="466"/>
        <v>59.5</v>
      </c>
      <c r="G2847" s="101">
        <f t="shared" si="467"/>
        <v>14.875</v>
      </c>
      <c r="H2847" s="95" t="s">
        <v>402</v>
      </c>
      <c r="J2847" s="247" t="s">
        <v>3212</v>
      </c>
      <c r="K2847" s="89"/>
      <c r="L2847" s="90"/>
      <c r="M2847" s="90"/>
      <c r="P2847" s="68"/>
    </row>
    <row r="2848">
      <c r="A2848" s="95">
        <v>7.32999033157E11</v>
      </c>
      <c r="B2848" s="151" t="s">
        <v>3221</v>
      </c>
      <c r="C2848" s="95" t="s">
        <v>97</v>
      </c>
      <c r="D2848" s="95">
        <v>1.0</v>
      </c>
      <c r="E2848" s="101">
        <v>59.5</v>
      </c>
      <c r="F2848" s="101">
        <f t="shared" si="466"/>
        <v>59.5</v>
      </c>
      <c r="G2848" s="101">
        <f t="shared" si="467"/>
        <v>14.875</v>
      </c>
      <c r="H2848" s="95" t="s">
        <v>402</v>
      </c>
      <c r="J2848" s="247" t="s">
        <v>3212</v>
      </c>
      <c r="K2848" s="89"/>
      <c r="L2848" s="90"/>
      <c r="M2848" s="90"/>
      <c r="P2848" s="68"/>
    </row>
    <row r="2849">
      <c r="A2849" s="95">
        <v>7.32999033164E11</v>
      </c>
      <c r="B2849" s="151" t="s">
        <v>3222</v>
      </c>
      <c r="C2849" s="95" t="s">
        <v>97</v>
      </c>
      <c r="D2849" s="95">
        <v>1.0</v>
      </c>
      <c r="E2849" s="101">
        <v>59.5</v>
      </c>
      <c r="F2849" s="101">
        <f t="shared" si="466"/>
        <v>59.5</v>
      </c>
      <c r="G2849" s="101">
        <f t="shared" si="467"/>
        <v>14.875</v>
      </c>
      <c r="H2849" s="95" t="s">
        <v>402</v>
      </c>
      <c r="J2849" s="247" t="s">
        <v>3212</v>
      </c>
      <c r="K2849" s="89"/>
      <c r="L2849" s="90"/>
      <c r="M2849" s="90"/>
      <c r="P2849" s="68"/>
    </row>
    <row r="2850">
      <c r="A2850" s="95">
        <v>7.32999290369E11</v>
      </c>
      <c r="B2850" s="151" t="s">
        <v>3223</v>
      </c>
      <c r="C2850" s="95" t="s">
        <v>97</v>
      </c>
      <c r="D2850" s="95">
        <v>1.0</v>
      </c>
      <c r="E2850" s="101">
        <v>59.5</v>
      </c>
      <c r="F2850" s="101">
        <f t="shared" si="466"/>
        <v>59.5</v>
      </c>
      <c r="G2850" s="101">
        <f t="shared" si="467"/>
        <v>14.875</v>
      </c>
      <c r="H2850" s="95" t="s">
        <v>402</v>
      </c>
      <c r="J2850" s="247" t="s">
        <v>3212</v>
      </c>
      <c r="K2850" s="89"/>
      <c r="L2850" s="90"/>
      <c r="M2850" s="90"/>
      <c r="P2850" s="68"/>
    </row>
    <row r="2851">
      <c r="A2851" s="95">
        <v>7.32999324316E11</v>
      </c>
      <c r="B2851" s="151" t="s">
        <v>3224</v>
      </c>
      <c r="C2851" s="95" t="s">
        <v>97</v>
      </c>
      <c r="D2851" s="95">
        <v>1.0</v>
      </c>
      <c r="E2851" s="101">
        <v>49.5</v>
      </c>
      <c r="F2851" s="101">
        <f t="shared" si="466"/>
        <v>49.5</v>
      </c>
      <c r="G2851" s="101">
        <f t="shared" si="467"/>
        <v>12.375</v>
      </c>
      <c r="H2851" s="95" t="s">
        <v>402</v>
      </c>
      <c r="J2851" s="247" t="s">
        <v>3212</v>
      </c>
      <c r="K2851" s="89"/>
      <c r="L2851" s="90"/>
      <c r="M2851" s="90"/>
      <c r="P2851" s="68"/>
    </row>
    <row r="2852">
      <c r="A2852" s="95">
        <v>7.3299932446E11</v>
      </c>
      <c r="B2852" s="151" t="s">
        <v>3225</v>
      </c>
      <c r="C2852" s="95" t="s">
        <v>97</v>
      </c>
      <c r="D2852" s="95">
        <v>1.0</v>
      </c>
      <c r="E2852" s="101">
        <v>64.5</v>
      </c>
      <c r="F2852" s="101">
        <f t="shared" si="466"/>
        <v>64.5</v>
      </c>
      <c r="G2852" s="101">
        <f t="shared" si="467"/>
        <v>16.125</v>
      </c>
      <c r="H2852" s="95" t="s">
        <v>402</v>
      </c>
      <c r="J2852" s="247" t="s">
        <v>3212</v>
      </c>
      <c r="K2852" s="89"/>
      <c r="L2852" s="90"/>
      <c r="M2852" s="90"/>
      <c r="P2852" s="68"/>
    </row>
    <row r="2853">
      <c r="A2853" s="95">
        <v>7.32999522163E11</v>
      </c>
      <c r="B2853" s="151" t="s">
        <v>3226</v>
      </c>
      <c r="C2853" s="95" t="s">
        <v>97</v>
      </c>
      <c r="D2853" s="95">
        <v>1.0</v>
      </c>
      <c r="E2853" s="101">
        <v>99.5</v>
      </c>
      <c r="F2853" s="101">
        <f t="shared" si="466"/>
        <v>99.5</v>
      </c>
      <c r="G2853" s="101">
        <f t="shared" si="467"/>
        <v>24.875</v>
      </c>
      <c r="H2853" s="95" t="s">
        <v>193</v>
      </c>
      <c r="J2853" s="247" t="s">
        <v>3212</v>
      </c>
      <c r="K2853" s="89"/>
      <c r="L2853" s="90"/>
      <c r="M2853" s="90"/>
      <c r="P2853" s="68"/>
    </row>
    <row r="2854">
      <c r="A2854" s="95">
        <v>7.32999657407E11</v>
      </c>
      <c r="B2854" s="151" t="s">
        <v>3227</v>
      </c>
      <c r="C2854" s="95" t="s">
        <v>97</v>
      </c>
      <c r="D2854" s="95">
        <v>2.0</v>
      </c>
      <c r="E2854" s="101">
        <v>49.5</v>
      </c>
      <c r="F2854" s="101">
        <f t="shared" si="466"/>
        <v>99</v>
      </c>
      <c r="G2854" s="101">
        <f t="shared" si="467"/>
        <v>24.75</v>
      </c>
      <c r="H2854" s="95" t="s">
        <v>402</v>
      </c>
      <c r="J2854" s="247" t="s">
        <v>3212</v>
      </c>
      <c r="K2854" s="89"/>
      <c r="L2854" s="90"/>
      <c r="M2854" s="90"/>
      <c r="P2854" s="68"/>
    </row>
    <row r="2855">
      <c r="A2855" s="95">
        <v>7.32999905782E11</v>
      </c>
      <c r="B2855" s="151" t="s">
        <v>3228</v>
      </c>
      <c r="C2855" s="95" t="s">
        <v>97</v>
      </c>
      <c r="D2855" s="95">
        <v>1.0</v>
      </c>
      <c r="E2855" s="101">
        <v>59.5</v>
      </c>
      <c r="F2855" s="101">
        <f t="shared" si="466"/>
        <v>59.5</v>
      </c>
      <c r="G2855" s="101">
        <f t="shared" si="467"/>
        <v>14.875</v>
      </c>
      <c r="H2855" s="95" t="s">
        <v>402</v>
      </c>
      <c r="J2855" s="247" t="s">
        <v>3212</v>
      </c>
      <c r="K2855" s="89"/>
      <c r="L2855" s="90"/>
      <c r="M2855" s="90"/>
      <c r="P2855" s="68"/>
    </row>
    <row r="2856">
      <c r="A2856" s="95">
        <v>7.32999946006E11</v>
      </c>
      <c r="B2856" s="151" t="s">
        <v>3229</v>
      </c>
      <c r="C2856" s="95" t="s">
        <v>97</v>
      </c>
      <c r="D2856" s="95">
        <v>1.0</v>
      </c>
      <c r="E2856" s="101">
        <v>59.5</v>
      </c>
      <c r="F2856" s="101">
        <f t="shared" si="466"/>
        <v>59.5</v>
      </c>
      <c r="G2856" s="101">
        <f t="shared" si="467"/>
        <v>14.875</v>
      </c>
      <c r="H2856" s="95" t="s">
        <v>402</v>
      </c>
      <c r="J2856" s="247" t="s">
        <v>3212</v>
      </c>
      <c r="K2856" s="89"/>
      <c r="L2856" s="90"/>
      <c r="M2856" s="90"/>
      <c r="P2856" s="68"/>
    </row>
    <row r="2857">
      <c r="A2857" s="95">
        <v>7.32999978861E11</v>
      </c>
      <c r="B2857" s="151" t="s">
        <v>3230</v>
      </c>
      <c r="C2857" s="95" t="s">
        <v>97</v>
      </c>
      <c r="D2857" s="95">
        <v>1.0</v>
      </c>
      <c r="E2857" s="101">
        <v>119.5</v>
      </c>
      <c r="F2857" s="101">
        <f t="shared" si="466"/>
        <v>119.5</v>
      </c>
      <c r="G2857" s="101">
        <f t="shared" si="467"/>
        <v>29.875</v>
      </c>
      <c r="H2857" s="95" t="s">
        <v>193</v>
      </c>
      <c r="J2857" s="247" t="s">
        <v>3212</v>
      </c>
      <c r="K2857" s="89"/>
      <c r="L2857" s="90"/>
      <c r="M2857" s="90"/>
      <c r="P2857" s="68"/>
    </row>
    <row r="2858">
      <c r="A2858" s="95">
        <v>7.33001273998E11</v>
      </c>
      <c r="B2858" s="151" t="s">
        <v>3103</v>
      </c>
      <c r="C2858" s="95" t="s">
        <v>97</v>
      </c>
      <c r="D2858" s="95">
        <v>1.0</v>
      </c>
      <c r="E2858" s="101">
        <v>59.5</v>
      </c>
      <c r="F2858" s="101">
        <f t="shared" si="466"/>
        <v>59.5</v>
      </c>
      <c r="G2858" s="101">
        <f t="shared" si="467"/>
        <v>14.875</v>
      </c>
      <c r="H2858" s="95" t="s">
        <v>193</v>
      </c>
      <c r="J2858" s="247" t="s">
        <v>3212</v>
      </c>
      <c r="K2858" s="89"/>
      <c r="L2858" s="90"/>
      <c r="M2858" s="90"/>
      <c r="P2858" s="68"/>
    </row>
    <row r="2859">
      <c r="A2859" s="95">
        <v>7.33001450122E11</v>
      </c>
      <c r="B2859" s="151" t="s">
        <v>3138</v>
      </c>
      <c r="C2859" s="95" t="s">
        <v>97</v>
      </c>
      <c r="D2859" s="95">
        <v>4.0</v>
      </c>
      <c r="E2859" s="101">
        <v>69.5</v>
      </c>
      <c r="F2859" s="101">
        <f t="shared" si="466"/>
        <v>278</v>
      </c>
      <c r="G2859" s="101">
        <f t="shared" si="467"/>
        <v>69.5</v>
      </c>
      <c r="H2859" s="95" t="s">
        <v>193</v>
      </c>
      <c r="J2859" s="247" t="s">
        <v>3212</v>
      </c>
      <c r="K2859" s="89"/>
      <c r="L2859" s="90"/>
      <c r="M2859" s="90"/>
      <c r="P2859" s="68"/>
    </row>
    <row r="2860">
      <c r="A2860" s="95">
        <v>7.3300145397E11</v>
      </c>
      <c r="B2860" s="151" t="s">
        <v>3231</v>
      </c>
      <c r="C2860" s="95" t="s">
        <v>97</v>
      </c>
      <c r="D2860" s="95">
        <v>1.0</v>
      </c>
      <c r="E2860" s="101">
        <v>59.5</v>
      </c>
      <c r="F2860" s="101">
        <f t="shared" si="466"/>
        <v>59.5</v>
      </c>
      <c r="G2860" s="101">
        <f t="shared" si="467"/>
        <v>14.875</v>
      </c>
      <c r="H2860" s="95" t="s">
        <v>402</v>
      </c>
      <c r="J2860" s="247" t="s">
        <v>3212</v>
      </c>
      <c r="K2860" s="89"/>
      <c r="L2860" s="90"/>
      <c r="M2860" s="90"/>
      <c r="P2860" s="68"/>
    </row>
    <row r="2861">
      <c r="A2861" s="95">
        <v>7.33001498049E11</v>
      </c>
      <c r="B2861" s="151" t="s">
        <v>3232</v>
      </c>
      <c r="C2861" s="95" t="s">
        <v>97</v>
      </c>
      <c r="D2861" s="95">
        <v>1.0</v>
      </c>
      <c r="E2861" s="101">
        <v>69.5</v>
      </c>
      <c r="F2861" s="101">
        <f t="shared" si="466"/>
        <v>69.5</v>
      </c>
      <c r="G2861" s="101">
        <f t="shared" si="467"/>
        <v>17.375</v>
      </c>
      <c r="H2861" s="95" t="s">
        <v>402</v>
      </c>
      <c r="J2861" s="247" t="s">
        <v>3212</v>
      </c>
      <c r="K2861" s="89"/>
      <c r="L2861" s="90"/>
      <c r="M2861" s="90"/>
      <c r="P2861" s="68"/>
    </row>
    <row r="2862">
      <c r="A2862" s="95">
        <v>7.33001523635E11</v>
      </c>
      <c r="B2862" s="151" t="s">
        <v>3233</v>
      </c>
      <c r="C2862" s="95" t="s">
        <v>97</v>
      </c>
      <c r="D2862" s="95">
        <v>1.0</v>
      </c>
      <c r="E2862" s="101">
        <v>99.5</v>
      </c>
      <c r="F2862" s="101">
        <f t="shared" si="466"/>
        <v>99.5</v>
      </c>
      <c r="G2862" s="101">
        <f t="shared" si="467"/>
        <v>24.875</v>
      </c>
      <c r="H2862" s="95" t="s">
        <v>402</v>
      </c>
      <c r="J2862" s="247" t="s">
        <v>3212</v>
      </c>
      <c r="K2862" s="89"/>
      <c r="L2862" s="90"/>
      <c r="M2862" s="90"/>
      <c r="P2862" s="68"/>
    </row>
    <row r="2863">
      <c r="A2863" s="95">
        <v>7.33001733935E11</v>
      </c>
      <c r="B2863" s="151" t="s">
        <v>3234</v>
      </c>
      <c r="C2863" s="95" t="s">
        <v>97</v>
      </c>
      <c r="D2863" s="95">
        <v>1.0</v>
      </c>
      <c r="E2863" s="101">
        <v>49.5</v>
      </c>
      <c r="F2863" s="101">
        <f t="shared" si="466"/>
        <v>49.5</v>
      </c>
      <c r="G2863" s="101">
        <f t="shared" si="467"/>
        <v>12.375</v>
      </c>
      <c r="H2863" s="95" t="s">
        <v>402</v>
      </c>
      <c r="J2863" s="247" t="s">
        <v>3212</v>
      </c>
      <c r="K2863" s="89"/>
      <c r="L2863" s="90"/>
      <c r="M2863" s="90"/>
      <c r="P2863" s="68"/>
    </row>
    <row r="2864">
      <c r="A2864" s="95">
        <v>7.33001737247E11</v>
      </c>
      <c r="B2864" s="151" t="s">
        <v>3235</v>
      </c>
      <c r="C2864" s="95" t="s">
        <v>97</v>
      </c>
      <c r="D2864" s="95">
        <v>1.0</v>
      </c>
      <c r="E2864" s="101">
        <v>79.5</v>
      </c>
      <c r="F2864" s="101">
        <f t="shared" si="466"/>
        <v>79.5</v>
      </c>
      <c r="G2864" s="101">
        <f t="shared" si="467"/>
        <v>19.875</v>
      </c>
      <c r="H2864" s="95" t="s">
        <v>402</v>
      </c>
      <c r="J2864" s="247" t="s">
        <v>3212</v>
      </c>
      <c r="K2864" s="89"/>
      <c r="L2864" s="90"/>
      <c r="M2864" s="90"/>
      <c r="P2864" s="68"/>
    </row>
    <row r="2865">
      <c r="A2865" s="95">
        <v>7.33001740308E11</v>
      </c>
      <c r="B2865" s="151" t="s">
        <v>3236</v>
      </c>
      <c r="C2865" s="95" t="s">
        <v>97</v>
      </c>
      <c r="D2865" s="95">
        <v>1.0</v>
      </c>
      <c r="E2865" s="101">
        <v>49.5</v>
      </c>
      <c r="F2865" s="101">
        <f t="shared" si="466"/>
        <v>49.5</v>
      </c>
      <c r="G2865" s="101">
        <f t="shared" si="467"/>
        <v>12.375</v>
      </c>
      <c r="H2865" s="95" t="s">
        <v>402</v>
      </c>
      <c r="J2865" s="247" t="s">
        <v>3212</v>
      </c>
      <c r="K2865" s="89"/>
      <c r="L2865" s="90"/>
      <c r="M2865" s="90"/>
      <c r="P2865" s="68"/>
    </row>
    <row r="2866">
      <c r="A2866" s="95">
        <v>7.33001779957E11</v>
      </c>
      <c r="B2866" s="151" t="s">
        <v>2097</v>
      </c>
      <c r="C2866" s="95" t="s">
        <v>97</v>
      </c>
      <c r="D2866" s="95">
        <v>1.0</v>
      </c>
      <c r="E2866" s="101">
        <v>79.5</v>
      </c>
      <c r="F2866" s="101">
        <f t="shared" si="466"/>
        <v>79.5</v>
      </c>
      <c r="G2866" s="101">
        <f t="shared" si="467"/>
        <v>19.875</v>
      </c>
      <c r="H2866" s="95" t="s">
        <v>193</v>
      </c>
      <c r="J2866" s="247" t="s">
        <v>3212</v>
      </c>
      <c r="K2866" s="89"/>
      <c r="L2866" s="90"/>
      <c r="M2866" s="90"/>
      <c r="P2866" s="68"/>
    </row>
    <row r="2867">
      <c r="A2867" s="95">
        <v>7.3300179031E11</v>
      </c>
      <c r="B2867" s="151" t="s">
        <v>3237</v>
      </c>
      <c r="C2867" s="95" t="s">
        <v>97</v>
      </c>
      <c r="D2867" s="95">
        <v>2.0</v>
      </c>
      <c r="E2867" s="101">
        <v>89.5</v>
      </c>
      <c r="F2867" s="101">
        <f t="shared" si="466"/>
        <v>179</v>
      </c>
      <c r="G2867" s="101">
        <f t="shared" si="467"/>
        <v>44.75</v>
      </c>
      <c r="H2867" s="95" t="s">
        <v>402</v>
      </c>
      <c r="J2867" s="247" t="s">
        <v>3212</v>
      </c>
      <c r="K2867" s="89"/>
      <c r="L2867" s="90"/>
      <c r="M2867" s="90"/>
      <c r="P2867" s="68"/>
    </row>
    <row r="2868">
      <c r="A2868" s="95">
        <v>7.33001793427E11</v>
      </c>
      <c r="B2868" s="151" t="s">
        <v>3238</v>
      </c>
      <c r="C2868" s="95" t="s">
        <v>97</v>
      </c>
      <c r="D2868" s="95">
        <v>1.0</v>
      </c>
      <c r="E2868" s="101">
        <v>69.5</v>
      </c>
      <c r="F2868" s="101">
        <f t="shared" si="466"/>
        <v>69.5</v>
      </c>
      <c r="G2868" s="101">
        <f t="shared" si="467"/>
        <v>17.375</v>
      </c>
      <c r="H2868" s="95" t="s">
        <v>402</v>
      </c>
      <c r="J2868" s="247" t="s">
        <v>3212</v>
      </c>
      <c r="K2868" s="89"/>
      <c r="L2868" s="90"/>
      <c r="M2868" s="90"/>
      <c r="P2868" s="68"/>
    </row>
    <row r="2869">
      <c r="A2869" s="95">
        <v>7.33001794004E11</v>
      </c>
      <c r="B2869" s="151" t="s">
        <v>3239</v>
      </c>
      <c r="C2869" s="95" t="s">
        <v>97</v>
      </c>
      <c r="D2869" s="95">
        <v>1.0</v>
      </c>
      <c r="E2869" s="101">
        <v>69.5</v>
      </c>
      <c r="F2869" s="101">
        <f t="shared" si="466"/>
        <v>69.5</v>
      </c>
      <c r="G2869" s="101">
        <f t="shared" si="467"/>
        <v>17.375</v>
      </c>
      <c r="H2869" s="95" t="s">
        <v>402</v>
      </c>
      <c r="J2869" s="247" t="s">
        <v>3212</v>
      </c>
      <c r="K2869" s="89"/>
      <c r="L2869" s="90"/>
      <c r="M2869" s="90"/>
      <c r="P2869" s="68"/>
    </row>
    <row r="2870">
      <c r="A2870" s="95">
        <v>7.33001794264E11</v>
      </c>
      <c r="B2870" s="151" t="s">
        <v>3240</v>
      </c>
      <c r="C2870" s="95" t="s">
        <v>97</v>
      </c>
      <c r="D2870" s="95">
        <v>1.0</v>
      </c>
      <c r="E2870" s="101">
        <v>69.5</v>
      </c>
      <c r="F2870" s="101">
        <f t="shared" si="466"/>
        <v>69.5</v>
      </c>
      <c r="G2870" s="101">
        <f t="shared" si="467"/>
        <v>17.375</v>
      </c>
      <c r="H2870" s="95" t="s">
        <v>402</v>
      </c>
      <c r="J2870" s="247" t="s">
        <v>3212</v>
      </c>
      <c r="K2870" s="89"/>
      <c r="L2870" s="90"/>
      <c r="M2870" s="90"/>
      <c r="P2870" s="68"/>
    </row>
    <row r="2871">
      <c r="A2871" s="95">
        <v>7.33001869207E11</v>
      </c>
      <c r="B2871" s="151" t="s">
        <v>3241</v>
      </c>
      <c r="C2871" s="95" t="s">
        <v>97</v>
      </c>
      <c r="D2871" s="95">
        <v>1.0</v>
      </c>
      <c r="E2871" s="101">
        <v>69.5</v>
      </c>
      <c r="F2871" s="101">
        <f t="shared" si="466"/>
        <v>69.5</v>
      </c>
      <c r="G2871" s="101">
        <f t="shared" si="467"/>
        <v>17.375</v>
      </c>
      <c r="H2871" s="95" t="s">
        <v>193</v>
      </c>
      <c r="J2871" s="247" t="s">
        <v>3212</v>
      </c>
      <c r="K2871" s="89"/>
      <c r="L2871" s="90"/>
      <c r="M2871" s="90"/>
      <c r="P2871" s="68"/>
    </row>
    <row r="2872">
      <c r="A2872" s="95">
        <v>7.33002166657E11</v>
      </c>
      <c r="B2872" s="151" t="s">
        <v>3242</v>
      </c>
      <c r="C2872" s="95" t="s">
        <v>97</v>
      </c>
      <c r="D2872" s="95">
        <v>1.0</v>
      </c>
      <c r="E2872" s="101">
        <v>79.5</v>
      </c>
      <c r="F2872" s="101">
        <f t="shared" si="466"/>
        <v>79.5</v>
      </c>
      <c r="G2872" s="101">
        <f t="shared" si="467"/>
        <v>19.875</v>
      </c>
      <c r="H2872" s="95" t="s">
        <v>402</v>
      </c>
      <c r="J2872" s="247" t="s">
        <v>3212</v>
      </c>
      <c r="K2872" s="89"/>
      <c r="L2872" s="90"/>
      <c r="M2872" s="90"/>
      <c r="P2872" s="68"/>
    </row>
    <row r="2873">
      <c r="A2873" s="95">
        <v>7.33002168736E11</v>
      </c>
      <c r="B2873" s="151" t="s">
        <v>3243</v>
      </c>
      <c r="C2873" s="95" t="s">
        <v>97</v>
      </c>
      <c r="D2873" s="95">
        <v>1.0</v>
      </c>
      <c r="E2873" s="101">
        <v>69.5</v>
      </c>
      <c r="F2873" s="101">
        <f t="shared" si="466"/>
        <v>69.5</v>
      </c>
      <c r="G2873" s="101">
        <f t="shared" si="467"/>
        <v>17.375</v>
      </c>
      <c r="H2873" s="95" t="s">
        <v>402</v>
      </c>
      <c r="J2873" s="247" t="s">
        <v>3212</v>
      </c>
      <c r="K2873" s="89"/>
      <c r="L2873" s="90"/>
      <c r="M2873" s="90"/>
      <c r="P2873" s="68"/>
    </row>
    <row r="2874">
      <c r="A2874" s="95">
        <v>7.33002174959E11</v>
      </c>
      <c r="B2874" s="151" t="s">
        <v>3244</v>
      </c>
      <c r="C2874" s="95" t="s">
        <v>97</v>
      </c>
      <c r="D2874" s="95">
        <v>1.0</v>
      </c>
      <c r="E2874" s="101">
        <v>59.5</v>
      </c>
      <c r="F2874" s="101">
        <f t="shared" si="466"/>
        <v>59.5</v>
      </c>
      <c r="G2874" s="101">
        <f t="shared" si="467"/>
        <v>14.875</v>
      </c>
      <c r="H2874" s="95" t="s">
        <v>402</v>
      </c>
      <c r="J2874" s="247" t="s">
        <v>3212</v>
      </c>
      <c r="K2874" s="89"/>
      <c r="L2874" s="90"/>
      <c r="M2874" s="90"/>
      <c r="P2874" s="68"/>
    </row>
    <row r="2875">
      <c r="A2875" s="95">
        <v>7.33002175963E11</v>
      </c>
      <c r="B2875" s="151" t="s">
        <v>3245</v>
      </c>
      <c r="C2875" s="95" t="s">
        <v>97</v>
      </c>
      <c r="D2875" s="95">
        <v>1.0</v>
      </c>
      <c r="E2875" s="101">
        <v>59.5</v>
      </c>
      <c r="F2875" s="101">
        <f t="shared" si="466"/>
        <v>59.5</v>
      </c>
      <c r="G2875" s="101">
        <f t="shared" si="467"/>
        <v>14.875</v>
      </c>
      <c r="H2875" s="95" t="s">
        <v>402</v>
      </c>
      <c r="J2875" s="247" t="s">
        <v>3212</v>
      </c>
      <c r="K2875" s="89"/>
      <c r="L2875" s="90"/>
      <c r="M2875" s="90"/>
      <c r="P2875" s="68"/>
    </row>
    <row r="2876">
      <c r="A2876" s="95">
        <v>7.33002189045E11</v>
      </c>
      <c r="B2876" s="151" t="s">
        <v>3246</v>
      </c>
      <c r="C2876" s="95" t="s">
        <v>97</v>
      </c>
      <c r="D2876" s="95">
        <v>1.0</v>
      </c>
      <c r="E2876" s="101">
        <v>149.5</v>
      </c>
      <c r="F2876" s="101">
        <f t="shared" si="466"/>
        <v>149.5</v>
      </c>
      <c r="G2876" s="101">
        <f t="shared" si="467"/>
        <v>37.375</v>
      </c>
      <c r="H2876" s="95" t="s">
        <v>402</v>
      </c>
      <c r="J2876" s="247" t="s">
        <v>3212</v>
      </c>
      <c r="K2876" s="89"/>
      <c r="L2876" s="90"/>
      <c r="M2876" s="90"/>
      <c r="P2876" s="68"/>
    </row>
    <row r="2877">
      <c r="A2877" s="95">
        <v>7.3300238387E11</v>
      </c>
      <c r="B2877" s="151" t="s">
        <v>3247</v>
      </c>
      <c r="C2877" s="95" t="s">
        <v>97</v>
      </c>
      <c r="D2877" s="95">
        <v>1.0</v>
      </c>
      <c r="E2877" s="101">
        <v>69.5</v>
      </c>
      <c r="F2877" s="101">
        <f t="shared" si="466"/>
        <v>69.5</v>
      </c>
      <c r="G2877" s="101">
        <f t="shared" si="467"/>
        <v>17.375</v>
      </c>
      <c r="H2877" s="95" t="s">
        <v>402</v>
      </c>
      <c r="J2877" s="247" t="s">
        <v>3212</v>
      </c>
      <c r="K2877" s="89"/>
      <c r="L2877" s="90"/>
      <c r="M2877" s="90"/>
      <c r="P2877" s="68"/>
    </row>
    <row r="2878">
      <c r="A2878" s="95">
        <v>7.33002385768E11</v>
      </c>
      <c r="B2878" s="151" t="s">
        <v>3248</v>
      </c>
      <c r="C2878" s="95" t="s">
        <v>97</v>
      </c>
      <c r="D2878" s="95">
        <v>1.0</v>
      </c>
      <c r="E2878" s="101">
        <v>69.5</v>
      </c>
      <c r="F2878" s="101">
        <f t="shared" si="466"/>
        <v>69.5</v>
      </c>
      <c r="G2878" s="101">
        <f t="shared" si="467"/>
        <v>17.375</v>
      </c>
      <c r="H2878" s="95" t="s">
        <v>402</v>
      </c>
      <c r="J2878" s="247" t="s">
        <v>3212</v>
      </c>
      <c r="K2878" s="89"/>
      <c r="L2878" s="90"/>
      <c r="M2878" s="90"/>
      <c r="P2878" s="68"/>
    </row>
    <row r="2879">
      <c r="A2879" s="95">
        <v>7.33002393725E11</v>
      </c>
      <c r="B2879" s="151" t="s">
        <v>3249</v>
      </c>
      <c r="C2879" s="95" t="s">
        <v>97</v>
      </c>
      <c r="D2879" s="95">
        <v>1.0</v>
      </c>
      <c r="E2879" s="101">
        <v>79.5</v>
      </c>
      <c r="F2879" s="101">
        <f t="shared" si="466"/>
        <v>79.5</v>
      </c>
      <c r="G2879" s="101">
        <f t="shared" si="467"/>
        <v>19.875</v>
      </c>
      <c r="H2879" s="95" t="s">
        <v>402</v>
      </c>
      <c r="J2879" s="247" t="s">
        <v>3212</v>
      </c>
      <c r="K2879" s="89"/>
      <c r="L2879" s="90"/>
      <c r="M2879" s="90"/>
      <c r="P2879" s="68"/>
    </row>
    <row r="2880">
      <c r="A2880" s="211"/>
      <c r="B2880" s="231" t="s">
        <v>3250</v>
      </c>
      <c r="C2880" s="234" t="str">
        <f>MID($B2880,6,8)</f>
        <v>KL187105</v>
      </c>
      <c r="D2880" s="231"/>
      <c r="E2880" s="231"/>
      <c r="F2880" s="231"/>
      <c r="G2880" s="231"/>
      <c r="H2880" s="235">
        <v>44560.0</v>
      </c>
      <c r="J2880" s="108" t="str">
        <f>IF(LEFT(B2880,3)="Box","BOX","COUNT")</f>
        <v>BOX</v>
      </c>
      <c r="K2880" s="99">
        <f>SUMIF($J$4:$J$8712,$C2880,$D$4:$D$8712)</f>
        <v>46</v>
      </c>
      <c r="L2880" s="50">
        <f>SUMIF($J$4:$J$8712,$C2880,$F$4:$F$8712)</f>
        <v>3483.5</v>
      </c>
      <c r="M2880" s="50">
        <f>SUMIF($J$4:$J$8712,$C2880,$G$4:$G$8712)</f>
        <v>870.875</v>
      </c>
      <c r="N2880" s="70" t="str">
        <f>C2880</f>
        <v>KL187105</v>
      </c>
      <c r="O2880" s="70" t="str">
        <f>J2881</f>
        <v>NSHIP</v>
      </c>
      <c r="P2880" s="68">
        <f>M2880</f>
        <v>870.875</v>
      </c>
    </row>
    <row r="2881">
      <c r="A2881" s="211"/>
      <c r="B2881" s="231"/>
      <c r="C2881" s="109"/>
      <c r="D2881" s="109"/>
      <c r="E2881" s="116"/>
      <c r="F2881" s="116"/>
      <c r="G2881" s="116"/>
      <c r="H2881" s="109"/>
      <c r="J2881" s="108" t="str">
        <f>IF(B2881="","NSHIP","SHIP")</f>
        <v>NSHIP</v>
      </c>
      <c r="K2881" s="99">
        <f>IF($J2881="NSHIP",0,-SUMIF($J$4:$J$8712,$C2880,$D$4:$D$8712))</f>
        <v>0</v>
      </c>
      <c r="L2881" s="50">
        <f>IF($J2881="NSHIP",0,-SUMIF($J$4:$J$8710,$C2880,$F$4:$F$8710))</f>
        <v>0</v>
      </c>
      <c r="M2881" s="50">
        <f>IF($J2881="NSHIP",0,-SUMIF($J$4:$J$8710,$C2880,$G$4:$G$8710))</f>
        <v>0</v>
      </c>
      <c r="P2881" s="68"/>
    </row>
    <row r="2882">
      <c r="A2882" s="95">
        <v>8.866637453E9</v>
      </c>
      <c r="B2882" s="151" t="s">
        <v>3251</v>
      </c>
      <c r="C2882" s="95" t="s">
        <v>97</v>
      </c>
      <c r="D2882" s="95">
        <v>1.0</v>
      </c>
      <c r="E2882" s="101">
        <v>44.5</v>
      </c>
      <c r="F2882" s="101">
        <f t="shared" ref="F2882:F2914" si="468">E2882*D2882</f>
        <v>44.5</v>
      </c>
      <c r="G2882" s="101">
        <f t="shared" ref="G2882:G2914" si="469">F2882/4</f>
        <v>11.125</v>
      </c>
      <c r="H2882" s="95" t="s">
        <v>3252</v>
      </c>
      <c r="J2882" s="247" t="s">
        <v>3253</v>
      </c>
      <c r="K2882" s="89"/>
      <c r="L2882" s="90"/>
      <c r="M2882" s="90"/>
      <c r="P2882" s="68"/>
    </row>
    <row r="2883">
      <c r="A2883" s="95">
        <v>1.90917341942E11</v>
      </c>
      <c r="B2883" s="151" t="s">
        <v>3254</v>
      </c>
      <c r="C2883" s="95" t="s">
        <v>97</v>
      </c>
      <c r="D2883" s="95">
        <v>2.0</v>
      </c>
      <c r="E2883" s="101">
        <v>39.0</v>
      </c>
      <c r="F2883" s="101">
        <f t="shared" si="468"/>
        <v>78</v>
      </c>
      <c r="G2883" s="101">
        <f t="shared" si="469"/>
        <v>19.5</v>
      </c>
      <c r="H2883" s="95" t="s">
        <v>3211</v>
      </c>
      <c r="J2883" s="247" t="s">
        <v>3253</v>
      </c>
      <c r="K2883" s="89"/>
      <c r="L2883" s="90"/>
      <c r="M2883" s="90"/>
      <c r="P2883" s="68"/>
    </row>
    <row r="2884">
      <c r="A2884" s="95">
        <v>1.90917345148E11</v>
      </c>
      <c r="B2884" s="151" t="s">
        <v>3213</v>
      </c>
      <c r="C2884" s="95" t="s">
        <v>97</v>
      </c>
      <c r="D2884" s="95">
        <v>1.0</v>
      </c>
      <c r="E2884" s="101">
        <v>69.0</v>
      </c>
      <c r="F2884" s="101">
        <f t="shared" si="468"/>
        <v>69</v>
      </c>
      <c r="G2884" s="101">
        <f t="shared" si="469"/>
        <v>17.25</v>
      </c>
      <c r="H2884" s="95" t="s">
        <v>3211</v>
      </c>
      <c r="J2884" s="247" t="s">
        <v>3253</v>
      </c>
      <c r="K2884" s="89"/>
      <c r="L2884" s="90"/>
      <c r="M2884" s="90"/>
      <c r="P2884" s="68"/>
    </row>
    <row r="2885">
      <c r="A2885" s="95">
        <v>1.90917345483E11</v>
      </c>
      <c r="B2885" s="151" t="s">
        <v>3255</v>
      </c>
      <c r="C2885" s="95" t="s">
        <v>97</v>
      </c>
      <c r="D2885" s="95">
        <v>1.0</v>
      </c>
      <c r="E2885" s="101">
        <v>99.0</v>
      </c>
      <c r="F2885" s="101">
        <f t="shared" si="468"/>
        <v>99</v>
      </c>
      <c r="G2885" s="101">
        <f t="shared" si="469"/>
        <v>24.75</v>
      </c>
      <c r="H2885" s="95" t="s">
        <v>3211</v>
      </c>
      <c r="J2885" s="247" t="s">
        <v>3253</v>
      </c>
      <c r="K2885" s="89"/>
      <c r="L2885" s="90"/>
      <c r="M2885" s="90"/>
      <c r="P2885" s="68"/>
    </row>
    <row r="2886">
      <c r="A2886" s="95">
        <v>1.93653272839E11</v>
      </c>
      <c r="B2886" s="151" t="s">
        <v>3256</v>
      </c>
      <c r="C2886" s="95" t="s">
        <v>97</v>
      </c>
      <c r="D2886" s="95">
        <v>1.0</v>
      </c>
      <c r="E2886" s="101">
        <v>118.0</v>
      </c>
      <c r="F2886" s="101">
        <f t="shared" si="468"/>
        <v>118</v>
      </c>
      <c r="G2886" s="101">
        <f t="shared" si="469"/>
        <v>29.5</v>
      </c>
      <c r="H2886" s="95" t="s">
        <v>3257</v>
      </c>
      <c r="J2886" s="247" t="s">
        <v>3253</v>
      </c>
      <c r="K2886" s="89"/>
      <c r="L2886" s="90"/>
      <c r="M2886" s="90"/>
      <c r="P2886" s="68"/>
    </row>
    <row r="2887">
      <c r="A2887" s="95">
        <v>1.95170021327E11</v>
      </c>
      <c r="B2887" s="151" t="s">
        <v>3258</v>
      </c>
      <c r="C2887" s="95" t="s">
        <v>97</v>
      </c>
      <c r="D2887" s="95">
        <v>1.0</v>
      </c>
      <c r="E2887" s="101">
        <v>299.0</v>
      </c>
      <c r="F2887" s="101">
        <f t="shared" si="468"/>
        <v>299</v>
      </c>
      <c r="G2887" s="101">
        <f t="shared" si="469"/>
        <v>74.75</v>
      </c>
      <c r="H2887" s="95" t="s">
        <v>1450</v>
      </c>
      <c r="J2887" s="247" t="s">
        <v>3253</v>
      </c>
      <c r="K2887" s="89"/>
      <c r="L2887" s="90"/>
      <c r="M2887" s="90"/>
      <c r="P2887" s="68"/>
    </row>
    <row r="2888">
      <c r="A2888" s="95">
        <v>7.06257607022E11</v>
      </c>
      <c r="B2888" s="151" t="s">
        <v>3259</v>
      </c>
      <c r="C2888" s="95" t="s">
        <v>97</v>
      </c>
      <c r="D2888" s="95">
        <v>1.0</v>
      </c>
      <c r="E2888" s="101">
        <v>59.5</v>
      </c>
      <c r="F2888" s="101">
        <f t="shared" si="468"/>
        <v>59.5</v>
      </c>
      <c r="G2888" s="101">
        <f t="shared" si="469"/>
        <v>14.875</v>
      </c>
      <c r="H2888" s="95" t="s">
        <v>402</v>
      </c>
      <c r="J2888" s="247" t="s">
        <v>3253</v>
      </c>
      <c r="K2888" s="89"/>
      <c r="L2888" s="90"/>
      <c r="M2888" s="90"/>
      <c r="P2888" s="68"/>
    </row>
    <row r="2889">
      <c r="A2889" s="95">
        <v>7.07762142862E11</v>
      </c>
      <c r="B2889" s="151" t="s">
        <v>3260</v>
      </c>
      <c r="C2889" s="95" t="s">
        <v>97</v>
      </c>
      <c r="D2889" s="95">
        <v>1.0</v>
      </c>
      <c r="E2889" s="101">
        <v>159.0</v>
      </c>
      <c r="F2889" s="101">
        <f t="shared" si="468"/>
        <v>159</v>
      </c>
      <c r="G2889" s="101">
        <f t="shared" si="469"/>
        <v>39.75</v>
      </c>
      <c r="H2889" s="95" t="s">
        <v>3219</v>
      </c>
      <c r="J2889" s="247" t="s">
        <v>3253</v>
      </c>
      <c r="K2889" s="89"/>
      <c r="L2889" s="90"/>
      <c r="M2889" s="90"/>
      <c r="P2889" s="68"/>
    </row>
    <row r="2890">
      <c r="A2890" s="95">
        <v>7.07762395473E11</v>
      </c>
      <c r="B2890" s="151" t="s">
        <v>3218</v>
      </c>
      <c r="C2890" s="95" t="s">
        <v>97</v>
      </c>
      <c r="D2890" s="95">
        <v>4.0</v>
      </c>
      <c r="E2890" s="101">
        <v>149.0</v>
      </c>
      <c r="F2890" s="101">
        <f t="shared" si="468"/>
        <v>596</v>
      </c>
      <c r="G2890" s="101">
        <f t="shared" si="469"/>
        <v>149</v>
      </c>
      <c r="H2890" s="95" t="s">
        <v>3219</v>
      </c>
      <c r="J2890" s="247" t="s">
        <v>3253</v>
      </c>
      <c r="K2890" s="89"/>
      <c r="L2890" s="90"/>
      <c r="M2890" s="90"/>
      <c r="P2890" s="68"/>
    </row>
    <row r="2891">
      <c r="A2891" s="95">
        <v>7.08008671863E11</v>
      </c>
      <c r="B2891" s="151" t="s">
        <v>3261</v>
      </c>
      <c r="C2891" s="95" t="s">
        <v>97</v>
      </c>
      <c r="D2891" s="95">
        <v>1.0</v>
      </c>
      <c r="E2891" s="101">
        <v>89.0</v>
      </c>
      <c r="F2891" s="101">
        <f t="shared" si="468"/>
        <v>89</v>
      </c>
      <c r="G2891" s="101">
        <f t="shared" si="469"/>
        <v>22.25</v>
      </c>
      <c r="H2891" s="95" t="s">
        <v>189</v>
      </c>
      <c r="J2891" s="247" t="s">
        <v>3253</v>
      </c>
      <c r="K2891" s="89"/>
      <c r="L2891" s="90"/>
      <c r="M2891" s="90"/>
      <c r="P2891" s="68"/>
    </row>
    <row r="2892">
      <c r="A2892" s="95">
        <v>7.32995251104E11</v>
      </c>
      <c r="B2892" s="151" t="s">
        <v>3262</v>
      </c>
      <c r="C2892" s="95" t="s">
        <v>97</v>
      </c>
      <c r="D2892" s="95">
        <v>1.0</v>
      </c>
      <c r="E2892" s="101">
        <v>49.5</v>
      </c>
      <c r="F2892" s="101">
        <f t="shared" si="468"/>
        <v>49.5</v>
      </c>
      <c r="G2892" s="101">
        <f t="shared" si="469"/>
        <v>12.375</v>
      </c>
      <c r="H2892" s="95" t="s">
        <v>402</v>
      </c>
      <c r="J2892" s="247" t="s">
        <v>3253</v>
      </c>
      <c r="K2892" s="89"/>
      <c r="L2892" s="90"/>
      <c r="M2892" s="90"/>
      <c r="P2892" s="68"/>
    </row>
    <row r="2893">
      <c r="A2893" s="95">
        <v>7.32998038085E11</v>
      </c>
      <c r="B2893" s="151" t="s">
        <v>3263</v>
      </c>
      <c r="C2893" s="95" t="s">
        <v>97</v>
      </c>
      <c r="D2893" s="95">
        <v>1.0</v>
      </c>
      <c r="E2893" s="101">
        <v>49.99</v>
      </c>
      <c r="F2893" s="101">
        <f t="shared" si="468"/>
        <v>49.99</v>
      </c>
      <c r="G2893" s="101">
        <f t="shared" si="469"/>
        <v>12.4975</v>
      </c>
      <c r="H2893" s="95" t="s">
        <v>3264</v>
      </c>
      <c r="J2893" s="247" t="s">
        <v>3253</v>
      </c>
      <c r="K2893" s="89"/>
      <c r="L2893" s="90"/>
      <c r="M2893" s="90"/>
      <c r="P2893" s="68"/>
    </row>
    <row r="2894">
      <c r="A2894" s="95">
        <v>7.32999141067E11</v>
      </c>
      <c r="B2894" s="151" t="s">
        <v>3265</v>
      </c>
      <c r="C2894" s="95" t="s">
        <v>97</v>
      </c>
      <c r="D2894" s="95">
        <v>1.0</v>
      </c>
      <c r="E2894" s="101">
        <v>34.5</v>
      </c>
      <c r="F2894" s="101">
        <f t="shared" si="468"/>
        <v>34.5</v>
      </c>
      <c r="G2894" s="101">
        <f t="shared" si="469"/>
        <v>8.625</v>
      </c>
      <c r="H2894" s="95" t="s">
        <v>400</v>
      </c>
      <c r="J2894" s="247" t="s">
        <v>3253</v>
      </c>
      <c r="K2894" s="89"/>
      <c r="L2894" s="90"/>
      <c r="M2894" s="90"/>
      <c r="P2894" s="68"/>
    </row>
    <row r="2895">
      <c r="A2895" s="95">
        <v>7.32999580293E11</v>
      </c>
      <c r="B2895" s="151" t="s">
        <v>3266</v>
      </c>
      <c r="C2895" s="95" t="s">
        <v>97</v>
      </c>
      <c r="D2895" s="95">
        <v>1.0</v>
      </c>
      <c r="E2895" s="101">
        <v>89.5</v>
      </c>
      <c r="F2895" s="101">
        <f t="shared" si="468"/>
        <v>89.5</v>
      </c>
      <c r="G2895" s="101">
        <f t="shared" si="469"/>
        <v>22.375</v>
      </c>
      <c r="H2895" s="95" t="s">
        <v>193</v>
      </c>
      <c r="J2895" s="247" t="s">
        <v>3253</v>
      </c>
      <c r="K2895" s="89"/>
      <c r="L2895" s="90"/>
      <c r="M2895" s="90"/>
      <c r="P2895" s="68"/>
    </row>
    <row r="2896">
      <c r="A2896" s="95">
        <v>7.32999680757E11</v>
      </c>
      <c r="B2896" s="151" t="s">
        <v>3267</v>
      </c>
      <c r="C2896" s="95" t="s">
        <v>97</v>
      </c>
      <c r="D2896" s="95">
        <v>1.0</v>
      </c>
      <c r="E2896" s="101">
        <v>69.5</v>
      </c>
      <c r="F2896" s="101">
        <f t="shared" si="468"/>
        <v>69.5</v>
      </c>
      <c r="G2896" s="101">
        <f t="shared" si="469"/>
        <v>17.375</v>
      </c>
      <c r="H2896" s="95" t="s">
        <v>402</v>
      </c>
      <c r="J2896" s="247" t="s">
        <v>3253</v>
      </c>
      <c r="K2896" s="89"/>
      <c r="L2896" s="90"/>
      <c r="M2896" s="90"/>
      <c r="P2896" s="68"/>
    </row>
    <row r="2897">
      <c r="A2897" s="95">
        <v>7.33001232995E11</v>
      </c>
      <c r="B2897" s="151" t="s">
        <v>3268</v>
      </c>
      <c r="C2897" s="95" t="s">
        <v>97</v>
      </c>
      <c r="D2897" s="95">
        <v>1.0</v>
      </c>
      <c r="E2897" s="101">
        <v>59.5</v>
      </c>
      <c r="F2897" s="101">
        <f t="shared" si="468"/>
        <v>59.5</v>
      </c>
      <c r="G2897" s="101">
        <f t="shared" si="469"/>
        <v>14.875</v>
      </c>
      <c r="H2897" s="95" t="s">
        <v>193</v>
      </c>
      <c r="J2897" s="247" t="s">
        <v>3253</v>
      </c>
      <c r="K2897" s="89"/>
      <c r="L2897" s="90"/>
      <c r="M2897" s="90"/>
      <c r="P2897" s="68"/>
    </row>
    <row r="2898">
      <c r="A2898" s="95">
        <v>7.33001274131E11</v>
      </c>
      <c r="B2898" s="151" t="s">
        <v>3269</v>
      </c>
      <c r="C2898" s="95" t="s">
        <v>97</v>
      </c>
      <c r="D2898" s="95">
        <v>1.0</v>
      </c>
      <c r="E2898" s="101">
        <v>59.5</v>
      </c>
      <c r="F2898" s="101">
        <f t="shared" si="468"/>
        <v>59.5</v>
      </c>
      <c r="G2898" s="101">
        <f t="shared" si="469"/>
        <v>14.875</v>
      </c>
      <c r="H2898" s="95" t="s">
        <v>193</v>
      </c>
      <c r="J2898" s="247" t="s">
        <v>3253</v>
      </c>
      <c r="K2898" s="89"/>
      <c r="L2898" s="90"/>
      <c r="M2898" s="90"/>
      <c r="P2898" s="68"/>
    </row>
    <row r="2899">
      <c r="A2899" s="95">
        <v>7.33001392712E11</v>
      </c>
      <c r="B2899" s="151" t="s">
        <v>3270</v>
      </c>
      <c r="C2899" s="95" t="s">
        <v>97</v>
      </c>
      <c r="D2899" s="95">
        <v>1.0</v>
      </c>
      <c r="E2899" s="101">
        <v>79.5</v>
      </c>
      <c r="F2899" s="101">
        <f t="shared" si="468"/>
        <v>79.5</v>
      </c>
      <c r="G2899" s="101">
        <f t="shared" si="469"/>
        <v>19.875</v>
      </c>
      <c r="H2899" s="95" t="s">
        <v>402</v>
      </c>
      <c r="J2899" s="247" t="s">
        <v>3253</v>
      </c>
      <c r="K2899" s="89"/>
      <c r="L2899" s="90"/>
      <c r="M2899" s="90"/>
      <c r="P2899" s="68"/>
    </row>
    <row r="2900">
      <c r="A2900" s="95">
        <v>7.33001392729E11</v>
      </c>
      <c r="B2900" s="151" t="s">
        <v>3271</v>
      </c>
      <c r="C2900" s="95" t="s">
        <v>97</v>
      </c>
      <c r="D2900" s="95">
        <v>1.0</v>
      </c>
      <c r="E2900" s="101">
        <v>79.5</v>
      </c>
      <c r="F2900" s="101">
        <f t="shared" si="468"/>
        <v>79.5</v>
      </c>
      <c r="G2900" s="101">
        <f t="shared" si="469"/>
        <v>19.875</v>
      </c>
      <c r="H2900" s="95" t="s">
        <v>402</v>
      </c>
      <c r="J2900" s="247" t="s">
        <v>3253</v>
      </c>
      <c r="K2900" s="89"/>
      <c r="L2900" s="90"/>
      <c r="M2900" s="90"/>
      <c r="P2900" s="68"/>
    </row>
    <row r="2901">
      <c r="A2901" s="95">
        <v>7.33001497431E11</v>
      </c>
      <c r="B2901" s="151" t="s">
        <v>3272</v>
      </c>
      <c r="C2901" s="95" t="s">
        <v>97</v>
      </c>
      <c r="D2901" s="95">
        <v>1.0</v>
      </c>
      <c r="E2901" s="101">
        <v>69.5</v>
      </c>
      <c r="F2901" s="101">
        <f t="shared" si="468"/>
        <v>69.5</v>
      </c>
      <c r="G2901" s="101">
        <f t="shared" si="469"/>
        <v>17.375</v>
      </c>
      <c r="H2901" s="95" t="s">
        <v>402</v>
      </c>
      <c r="J2901" s="247" t="s">
        <v>3253</v>
      </c>
      <c r="K2901" s="89"/>
      <c r="L2901" s="90"/>
      <c r="M2901" s="90"/>
      <c r="P2901" s="68"/>
    </row>
    <row r="2902">
      <c r="A2902" s="95">
        <v>7.33001521464E11</v>
      </c>
      <c r="B2902" s="151" t="s">
        <v>3273</v>
      </c>
      <c r="C2902" s="95" t="s">
        <v>97</v>
      </c>
      <c r="D2902" s="95">
        <v>1.0</v>
      </c>
      <c r="E2902" s="101">
        <v>99.5</v>
      </c>
      <c r="F2902" s="101">
        <f t="shared" si="468"/>
        <v>99.5</v>
      </c>
      <c r="G2902" s="101">
        <f t="shared" si="469"/>
        <v>24.875</v>
      </c>
      <c r="H2902" s="95" t="s">
        <v>402</v>
      </c>
      <c r="J2902" s="247" t="s">
        <v>3253</v>
      </c>
      <c r="K2902" s="89"/>
      <c r="L2902" s="90"/>
      <c r="M2902" s="90"/>
      <c r="P2902" s="68"/>
    </row>
    <row r="2903">
      <c r="A2903" s="95">
        <v>7.33001683322E11</v>
      </c>
      <c r="B2903" s="151" t="s">
        <v>3274</v>
      </c>
      <c r="C2903" s="95" t="s">
        <v>97</v>
      </c>
      <c r="D2903" s="95">
        <v>1.0</v>
      </c>
      <c r="E2903" s="101">
        <v>23.8</v>
      </c>
      <c r="F2903" s="101">
        <f t="shared" si="468"/>
        <v>23.8</v>
      </c>
      <c r="G2903" s="101">
        <f t="shared" si="469"/>
        <v>5.95</v>
      </c>
      <c r="H2903" s="95" t="s">
        <v>3275</v>
      </c>
      <c r="J2903" s="247" t="s">
        <v>3253</v>
      </c>
      <c r="K2903" s="89"/>
      <c r="L2903" s="90"/>
      <c r="M2903" s="90"/>
      <c r="P2903" s="68"/>
    </row>
    <row r="2904">
      <c r="A2904" s="95">
        <v>7.33001794257E11</v>
      </c>
      <c r="B2904" s="151" t="s">
        <v>3276</v>
      </c>
      <c r="C2904" s="95" t="s">
        <v>97</v>
      </c>
      <c r="D2904" s="95">
        <v>1.0</v>
      </c>
      <c r="E2904" s="101">
        <v>69.5</v>
      </c>
      <c r="F2904" s="101">
        <f t="shared" si="468"/>
        <v>69.5</v>
      </c>
      <c r="G2904" s="101">
        <f t="shared" si="469"/>
        <v>17.375</v>
      </c>
      <c r="H2904" s="95" t="s">
        <v>402</v>
      </c>
      <c r="J2904" s="247" t="s">
        <v>3253</v>
      </c>
      <c r="K2904" s="89"/>
      <c r="L2904" s="90"/>
      <c r="M2904" s="90"/>
      <c r="P2904" s="68"/>
    </row>
    <row r="2905">
      <c r="A2905" s="95">
        <v>7.33001916659E11</v>
      </c>
      <c r="B2905" s="151" t="s">
        <v>3277</v>
      </c>
      <c r="C2905" s="95" t="s">
        <v>97</v>
      </c>
      <c r="D2905" s="95">
        <v>1.0</v>
      </c>
      <c r="E2905" s="101">
        <v>59.5</v>
      </c>
      <c r="F2905" s="101">
        <f t="shared" si="468"/>
        <v>59.5</v>
      </c>
      <c r="G2905" s="101">
        <f t="shared" si="469"/>
        <v>14.875</v>
      </c>
      <c r="H2905" s="95" t="s">
        <v>193</v>
      </c>
      <c r="J2905" s="247" t="s">
        <v>3253</v>
      </c>
      <c r="K2905" s="89"/>
      <c r="L2905" s="90"/>
      <c r="M2905" s="90"/>
      <c r="P2905" s="68"/>
    </row>
    <row r="2906">
      <c r="A2906" s="95">
        <v>7.33002174942E11</v>
      </c>
      <c r="B2906" s="151" t="s">
        <v>3278</v>
      </c>
      <c r="C2906" s="95" t="s">
        <v>97</v>
      </c>
      <c r="D2906" s="95">
        <v>1.0</v>
      </c>
      <c r="E2906" s="101">
        <v>59.5</v>
      </c>
      <c r="F2906" s="101">
        <f t="shared" si="468"/>
        <v>59.5</v>
      </c>
      <c r="G2906" s="101">
        <f t="shared" si="469"/>
        <v>14.875</v>
      </c>
      <c r="H2906" s="95" t="s">
        <v>402</v>
      </c>
      <c r="J2906" s="247" t="s">
        <v>3253</v>
      </c>
      <c r="K2906" s="89"/>
      <c r="L2906" s="90"/>
      <c r="M2906" s="90"/>
      <c r="P2906" s="68"/>
    </row>
    <row r="2907">
      <c r="A2907" s="95">
        <v>7.33002175291E11</v>
      </c>
      <c r="B2907" s="151" t="s">
        <v>3279</v>
      </c>
      <c r="C2907" s="95" t="s">
        <v>97</v>
      </c>
      <c r="D2907" s="95">
        <v>1.0</v>
      </c>
      <c r="E2907" s="101">
        <v>79.5</v>
      </c>
      <c r="F2907" s="101">
        <f t="shared" si="468"/>
        <v>79.5</v>
      </c>
      <c r="G2907" s="101">
        <f t="shared" si="469"/>
        <v>19.875</v>
      </c>
      <c r="H2907" s="95" t="s">
        <v>402</v>
      </c>
      <c r="J2907" s="247" t="s">
        <v>3253</v>
      </c>
      <c r="K2907" s="89"/>
      <c r="L2907" s="90"/>
      <c r="M2907" s="90"/>
      <c r="P2907" s="68"/>
    </row>
    <row r="2908">
      <c r="A2908" s="95">
        <v>7.3300218714E11</v>
      </c>
      <c r="B2908" s="151" t="s">
        <v>3280</v>
      </c>
      <c r="C2908" s="95" t="s">
        <v>97</v>
      </c>
      <c r="D2908" s="95">
        <v>1.0</v>
      </c>
      <c r="E2908" s="101">
        <v>99.5</v>
      </c>
      <c r="F2908" s="101">
        <f t="shared" si="468"/>
        <v>99.5</v>
      </c>
      <c r="G2908" s="101">
        <f t="shared" si="469"/>
        <v>24.875</v>
      </c>
      <c r="H2908" s="95" t="s">
        <v>402</v>
      </c>
      <c r="J2908" s="247" t="s">
        <v>3253</v>
      </c>
      <c r="K2908" s="89"/>
      <c r="L2908" s="90"/>
      <c r="M2908" s="90"/>
      <c r="P2908" s="68"/>
    </row>
    <row r="2909">
      <c r="A2909" s="95">
        <v>7.33002189618E11</v>
      </c>
      <c r="B2909" s="151" t="s">
        <v>3281</v>
      </c>
      <c r="C2909" s="95" t="s">
        <v>97</v>
      </c>
      <c r="D2909" s="95">
        <v>1.0</v>
      </c>
      <c r="E2909" s="101">
        <v>79.5</v>
      </c>
      <c r="F2909" s="101">
        <f t="shared" si="468"/>
        <v>79.5</v>
      </c>
      <c r="G2909" s="101">
        <f t="shared" si="469"/>
        <v>19.875</v>
      </c>
      <c r="H2909" s="95" t="s">
        <v>402</v>
      </c>
      <c r="J2909" s="247" t="s">
        <v>3253</v>
      </c>
      <c r="K2909" s="89"/>
      <c r="L2909" s="90"/>
      <c r="M2909" s="90"/>
      <c r="P2909" s="68"/>
    </row>
    <row r="2910">
      <c r="A2910" s="95">
        <v>7.33002204649E11</v>
      </c>
      <c r="B2910" s="151" t="s">
        <v>3282</v>
      </c>
      <c r="C2910" s="95" t="s">
        <v>97</v>
      </c>
      <c r="D2910" s="95">
        <v>1.0</v>
      </c>
      <c r="E2910" s="101">
        <v>74.5</v>
      </c>
      <c r="F2910" s="101">
        <f t="shared" si="468"/>
        <v>74.5</v>
      </c>
      <c r="G2910" s="101">
        <f t="shared" si="469"/>
        <v>18.625</v>
      </c>
      <c r="H2910" s="95" t="s">
        <v>402</v>
      </c>
      <c r="J2910" s="247" t="s">
        <v>3253</v>
      </c>
      <c r="K2910" s="89"/>
      <c r="L2910" s="90"/>
      <c r="M2910" s="90"/>
      <c r="P2910" s="68"/>
    </row>
    <row r="2911">
      <c r="A2911" s="95">
        <v>7.3300220467E11</v>
      </c>
      <c r="B2911" s="151" t="s">
        <v>3283</v>
      </c>
      <c r="C2911" s="95" t="s">
        <v>97</v>
      </c>
      <c r="D2911" s="95">
        <v>1.0</v>
      </c>
      <c r="E2911" s="101">
        <v>74.5</v>
      </c>
      <c r="F2911" s="101">
        <f t="shared" si="468"/>
        <v>74.5</v>
      </c>
      <c r="G2911" s="101">
        <f t="shared" si="469"/>
        <v>18.625</v>
      </c>
      <c r="H2911" s="95" t="s">
        <v>402</v>
      </c>
      <c r="J2911" s="247" t="s">
        <v>3253</v>
      </c>
      <c r="K2911" s="89"/>
      <c r="L2911" s="90"/>
      <c r="M2911" s="90"/>
      <c r="P2911" s="68"/>
    </row>
    <row r="2912">
      <c r="A2912" s="95">
        <v>7.33002207589E11</v>
      </c>
      <c r="B2912" s="151" t="s">
        <v>3284</v>
      </c>
      <c r="C2912" s="95" t="s">
        <v>97</v>
      </c>
      <c r="D2912" s="95">
        <v>1.0</v>
      </c>
      <c r="E2912" s="101">
        <v>79.5</v>
      </c>
      <c r="F2912" s="101">
        <f t="shared" si="468"/>
        <v>79.5</v>
      </c>
      <c r="G2912" s="101">
        <f t="shared" si="469"/>
        <v>19.875</v>
      </c>
      <c r="H2912" s="95" t="s">
        <v>402</v>
      </c>
      <c r="J2912" s="247" t="s">
        <v>3253</v>
      </c>
      <c r="K2912" s="89"/>
      <c r="L2912" s="90"/>
      <c r="M2912" s="90"/>
      <c r="P2912" s="68"/>
    </row>
    <row r="2913">
      <c r="A2913" s="95">
        <v>7.33002394753E11</v>
      </c>
      <c r="B2913" s="151" t="s">
        <v>3285</v>
      </c>
      <c r="C2913" s="95" t="s">
        <v>97</v>
      </c>
      <c r="D2913" s="95">
        <v>1.0</v>
      </c>
      <c r="E2913" s="101">
        <v>129.5</v>
      </c>
      <c r="F2913" s="101">
        <f t="shared" si="468"/>
        <v>129.5</v>
      </c>
      <c r="G2913" s="101">
        <f t="shared" si="469"/>
        <v>32.375</v>
      </c>
      <c r="H2913" s="95" t="s">
        <v>402</v>
      </c>
      <c r="J2913" s="247" t="s">
        <v>3253</v>
      </c>
      <c r="K2913" s="89"/>
      <c r="L2913" s="90"/>
      <c r="M2913" s="90"/>
      <c r="P2913" s="68"/>
    </row>
    <row r="2914">
      <c r="A2914" s="95">
        <v>7.47941622457E11</v>
      </c>
      <c r="B2914" s="151" t="s">
        <v>3286</v>
      </c>
      <c r="C2914" s="95" t="s">
        <v>97</v>
      </c>
      <c r="D2914" s="95">
        <v>1.0</v>
      </c>
      <c r="E2914" s="101">
        <v>47.99</v>
      </c>
      <c r="F2914" s="101">
        <f t="shared" si="468"/>
        <v>47.99</v>
      </c>
      <c r="G2914" s="101">
        <f t="shared" si="469"/>
        <v>11.9975</v>
      </c>
      <c r="H2914" s="95" t="s">
        <v>3287</v>
      </c>
      <c r="J2914" s="247" t="s">
        <v>3253</v>
      </c>
      <c r="K2914" s="89"/>
      <c r="L2914" s="90"/>
      <c r="M2914" s="90"/>
      <c r="P2914" s="68"/>
    </row>
    <row r="2915">
      <c r="A2915" s="211"/>
      <c r="B2915" s="231" t="s">
        <v>3288</v>
      </c>
      <c r="C2915" s="234" t="str">
        <f>MID($B2915,6,8)</f>
        <v>KL187106</v>
      </c>
      <c r="D2915" s="231"/>
      <c r="E2915" s="231"/>
      <c r="F2915" s="231"/>
      <c r="G2915" s="231"/>
      <c r="H2915" s="235">
        <v>44560.0</v>
      </c>
      <c r="J2915" s="108" t="str">
        <f>IF(LEFT(B2915,3)="Box","BOX","COUNT")</f>
        <v>BOX</v>
      </c>
      <c r="K2915" s="99">
        <f>SUMIF($J$4:$J$8712,$C2915,$D$4:$D$8712)</f>
        <v>37</v>
      </c>
      <c r="L2915" s="50">
        <f>SUMIF($J$4:$J$8712,$C2915,$F$4:$F$8712)</f>
        <v>3227.78</v>
      </c>
      <c r="M2915" s="50">
        <f>SUMIF($J$4:$J$8712,$C2915,$G$4:$G$8712)</f>
        <v>806.945</v>
      </c>
      <c r="N2915" s="70" t="str">
        <f>C2915</f>
        <v>KL187106</v>
      </c>
      <c r="O2915" s="70" t="str">
        <f>J2916</f>
        <v>NSHIP</v>
      </c>
      <c r="P2915" s="68">
        <f>M2915</f>
        <v>806.945</v>
      </c>
    </row>
    <row r="2916">
      <c r="A2916" s="211"/>
      <c r="B2916" s="231"/>
      <c r="C2916" s="109"/>
      <c r="D2916" s="109"/>
      <c r="E2916" s="116"/>
      <c r="F2916" s="116"/>
      <c r="G2916" s="116"/>
      <c r="H2916" s="109"/>
      <c r="J2916" s="108" t="str">
        <f>IF(B2916="","NSHIP","SHIP")</f>
        <v>NSHIP</v>
      </c>
      <c r="K2916" s="99">
        <f>IF($J2916="NSHIP",0,-SUMIF($J$4:$J$8712,$C2915,$D$4:$D$8712))</f>
        <v>0</v>
      </c>
      <c r="L2916" s="50">
        <f>IF($J2916="NSHIP",0,-SUMIF($J$4:$J$8710,$C2915,$F$4:$F$8710))</f>
        <v>0</v>
      </c>
      <c r="M2916" s="50">
        <f>IF($J2916="NSHIP",0,-SUMIF($J$4:$J$8710,$C2915,$G$4:$G$8710))</f>
        <v>0</v>
      </c>
      <c r="P2916" s="68"/>
    </row>
    <row r="2917">
      <c r="A2917" s="95">
        <v>1.92284826596E11</v>
      </c>
      <c r="B2917" s="151" t="s">
        <v>3289</v>
      </c>
      <c r="C2917" s="95" t="s">
        <v>97</v>
      </c>
      <c r="D2917" s="95">
        <v>1.0</v>
      </c>
      <c r="E2917" s="101">
        <v>35.99</v>
      </c>
      <c r="F2917" s="101">
        <f t="shared" ref="F2917:F2959" si="470">E2917*D2917</f>
        <v>35.99</v>
      </c>
      <c r="G2917" s="101">
        <f t="shared" ref="G2917:G2959" si="471">F2917/4</f>
        <v>8.9975</v>
      </c>
      <c r="H2917" s="95" t="s">
        <v>591</v>
      </c>
      <c r="J2917" s="247" t="s">
        <v>3290</v>
      </c>
      <c r="K2917" s="89"/>
      <c r="L2917" s="90"/>
      <c r="M2917" s="90"/>
      <c r="P2917" s="68"/>
    </row>
    <row r="2918">
      <c r="A2918" s="95">
        <v>1.92504720734E11</v>
      </c>
      <c r="B2918" s="151" t="s">
        <v>761</v>
      </c>
      <c r="C2918" s="95" t="s">
        <v>97</v>
      </c>
      <c r="D2918" s="95">
        <v>1.0</v>
      </c>
      <c r="E2918" s="101">
        <v>40.0</v>
      </c>
      <c r="F2918" s="101">
        <f t="shared" si="470"/>
        <v>40</v>
      </c>
      <c r="G2918" s="101">
        <f t="shared" si="471"/>
        <v>10</v>
      </c>
      <c r="H2918" s="95" t="s">
        <v>762</v>
      </c>
      <c r="J2918" s="247" t="s">
        <v>3290</v>
      </c>
      <c r="K2918" s="89"/>
      <c r="L2918" s="90"/>
      <c r="M2918" s="90"/>
      <c r="P2918" s="68"/>
    </row>
    <row r="2919">
      <c r="A2919" s="95">
        <v>1.92648036104E11</v>
      </c>
      <c r="B2919" s="151" t="s">
        <v>3291</v>
      </c>
      <c r="C2919" s="95" t="s">
        <v>97</v>
      </c>
      <c r="D2919" s="95">
        <v>1.0</v>
      </c>
      <c r="E2919" s="101">
        <v>131.0</v>
      </c>
      <c r="F2919" s="101">
        <f t="shared" si="470"/>
        <v>131</v>
      </c>
      <c r="G2919" s="101">
        <f t="shared" si="471"/>
        <v>32.75</v>
      </c>
      <c r="H2919" s="95" t="s">
        <v>3292</v>
      </c>
      <c r="J2919" s="247" t="s">
        <v>3290</v>
      </c>
      <c r="K2919" s="89"/>
      <c r="L2919" s="90"/>
      <c r="M2919" s="90"/>
      <c r="P2919" s="68"/>
    </row>
    <row r="2920">
      <c r="A2920" s="95">
        <v>1.92648087991E11</v>
      </c>
      <c r="B2920" s="151" t="s">
        <v>3293</v>
      </c>
      <c r="C2920" s="95" t="s">
        <v>97</v>
      </c>
      <c r="D2920" s="95">
        <v>1.0</v>
      </c>
      <c r="E2920" s="101">
        <v>295.0</v>
      </c>
      <c r="F2920" s="101">
        <f t="shared" si="470"/>
        <v>295</v>
      </c>
      <c r="G2920" s="101">
        <f t="shared" si="471"/>
        <v>73.75</v>
      </c>
      <c r="H2920" s="95" t="s">
        <v>211</v>
      </c>
      <c r="J2920" s="247" t="s">
        <v>3290</v>
      </c>
      <c r="K2920" s="89"/>
      <c r="L2920" s="90"/>
      <c r="M2920" s="90"/>
      <c r="P2920" s="68"/>
    </row>
    <row r="2921">
      <c r="A2921" s="95">
        <v>1.92648111153E11</v>
      </c>
      <c r="B2921" s="151" t="s">
        <v>3294</v>
      </c>
      <c r="C2921" s="95" t="s">
        <v>97</v>
      </c>
      <c r="D2921" s="95">
        <v>1.0</v>
      </c>
      <c r="E2921" s="101">
        <v>139.98</v>
      </c>
      <c r="F2921" s="101">
        <f t="shared" si="470"/>
        <v>139.98</v>
      </c>
      <c r="G2921" s="101">
        <f t="shared" si="471"/>
        <v>34.995</v>
      </c>
      <c r="H2921" s="95" t="s">
        <v>3292</v>
      </c>
      <c r="J2921" s="247" t="s">
        <v>3290</v>
      </c>
      <c r="K2921" s="89"/>
      <c r="L2921" s="90"/>
      <c r="M2921" s="90"/>
      <c r="P2921" s="68"/>
    </row>
    <row r="2922">
      <c r="A2922" s="95">
        <v>1.93629035147E11</v>
      </c>
      <c r="B2922" s="151" t="s">
        <v>3295</v>
      </c>
      <c r="C2922" s="95" t="s">
        <v>97</v>
      </c>
      <c r="D2922" s="95">
        <v>1.0</v>
      </c>
      <c r="E2922" s="101">
        <v>98.0</v>
      </c>
      <c r="F2922" s="101">
        <f t="shared" si="470"/>
        <v>98</v>
      </c>
      <c r="G2922" s="101">
        <f t="shared" si="471"/>
        <v>24.5</v>
      </c>
      <c r="H2922" s="95" t="s">
        <v>1447</v>
      </c>
      <c r="J2922" s="247" t="s">
        <v>3290</v>
      </c>
      <c r="K2922" s="89"/>
      <c r="L2922" s="90"/>
      <c r="M2922" s="90"/>
      <c r="P2922" s="68"/>
    </row>
    <row r="2923">
      <c r="A2923" s="95">
        <v>1.94374564364E11</v>
      </c>
      <c r="B2923" s="151" t="s">
        <v>3296</v>
      </c>
      <c r="C2923" s="95" t="s">
        <v>97</v>
      </c>
      <c r="D2923" s="95">
        <v>1.0</v>
      </c>
      <c r="E2923" s="101">
        <v>128.0</v>
      </c>
      <c r="F2923" s="101">
        <f t="shared" si="470"/>
        <v>128</v>
      </c>
      <c r="G2923" s="101">
        <f t="shared" si="471"/>
        <v>32</v>
      </c>
      <c r="H2923" s="95" t="s">
        <v>169</v>
      </c>
      <c r="J2923" s="247" t="s">
        <v>3290</v>
      </c>
      <c r="K2923" s="89"/>
      <c r="L2923" s="90"/>
      <c r="M2923" s="90"/>
      <c r="P2923" s="68"/>
    </row>
    <row r="2924">
      <c r="A2924" s="95">
        <v>1.94592929709E11</v>
      </c>
      <c r="B2924" s="151" t="s">
        <v>3297</v>
      </c>
      <c r="C2924" s="95" t="s">
        <v>97</v>
      </c>
      <c r="D2924" s="95">
        <v>1.0</v>
      </c>
      <c r="E2924" s="101">
        <v>99.0</v>
      </c>
      <c r="F2924" s="101">
        <f t="shared" si="470"/>
        <v>99</v>
      </c>
      <c r="G2924" s="101">
        <f t="shared" si="471"/>
        <v>24.75</v>
      </c>
      <c r="H2924" s="95" t="s">
        <v>185</v>
      </c>
      <c r="J2924" s="247" t="s">
        <v>3290</v>
      </c>
      <c r="K2924" s="89"/>
      <c r="L2924" s="90"/>
      <c r="M2924" s="90"/>
      <c r="P2924" s="68"/>
    </row>
    <row r="2925">
      <c r="A2925" s="95">
        <v>1.94592939333E11</v>
      </c>
      <c r="B2925" s="151" t="s">
        <v>3298</v>
      </c>
      <c r="C2925" s="95" t="s">
        <v>97</v>
      </c>
      <c r="D2925" s="95">
        <v>1.0</v>
      </c>
      <c r="E2925" s="101">
        <v>109.0</v>
      </c>
      <c r="F2925" s="101">
        <f t="shared" si="470"/>
        <v>109</v>
      </c>
      <c r="G2925" s="101">
        <f t="shared" si="471"/>
        <v>27.25</v>
      </c>
      <c r="H2925" s="95" t="s">
        <v>661</v>
      </c>
      <c r="J2925" s="247" t="s">
        <v>3290</v>
      </c>
      <c r="K2925" s="89"/>
      <c r="L2925" s="90"/>
      <c r="M2925" s="90"/>
      <c r="P2925" s="68"/>
    </row>
    <row r="2926">
      <c r="A2926" s="95">
        <v>1.94592996923E11</v>
      </c>
      <c r="B2926" s="151" t="s">
        <v>3299</v>
      </c>
      <c r="C2926" s="95" t="s">
        <v>97</v>
      </c>
      <c r="D2926" s="95">
        <v>1.0</v>
      </c>
      <c r="E2926" s="101">
        <v>99.0</v>
      </c>
      <c r="F2926" s="101">
        <f t="shared" si="470"/>
        <v>99</v>
      </c>
      <c r="G2926" s="101">
        <f t="shared" si="471"/>
        <v>24.75</v>
      </c>
      <c r="H2926" s="95" t="s">
        <v>661</v>
      </c>
      <c r="J2926" s="247" t="s">
        <v>3290</v>
      </c>
      <c r="K2926" s="89"/>
      <c r="L2926" s="90"/>
      <c r="M2926" s="90"/>
      <c r="P2926" s="68"/>
    </row>
    <row r="2927">
      <c r="A2927" s="95">
        <v>1.95170006133E11</v>
      </c>
      <c r="B2927" s="151" t="s">
        <v>3300</v>
      </c>
      <c r="C2927" s="95" t="s">
        <v>97</v>
      </c>
      <c r="D2927" s="95">
        <v>1.0</v>
      </c>
      <c r="E2927" s="101">
        <v>189.0</v>
      </c>
      <c r="F2927" s="101">
        <f t="shared" si="470"/>
        <v>189</v>
      </c>
      <c r="G2927" s="101">
        <f t="shared" si="471"/>
        <v>47.25</v>
      </c>
      <c r="H2927" s="95" t="s">
        <v>171</v>
      </c>
      <c r="J2927" s="247" t="s">
        <v>3290</v>
      </c>
      <c r="K2927" s="89"/>
      <c r="L2927" s="90"/>
      <c r="M2927" s="90"/>
      <c r="P2927" s="68"/>
    </row>
    <row r="2928">
      <c r="A2928" s="95">
        <v>6.61414675194E11</v>
      </c>
      <c r="B2928" s="151" t="s">
        <v>3301</v>
      </c>
      <c r="C2928" s="95" t="s">
        <v>97</v>
      </c>
      <c r="D2928" s="95">
        <v>1.0</v>
      </c>
      <c r="E2928" s="101">
        <v>46.99</v>
      </c>
      <c r="F2928" s="101">
        <f t="shared" si="470"/>
        <v>46.99</v>
      </c>
      <c r="G2928" s="101">
        <f t="shared" si="471"/>
        <v>11.7475</v>
      </c>
      <c r="H2928" s="95" t="s">
        <v>3302</v>
      </c>
      <c r="J2928" s="247" t="s">
        <v>3290</v>
      </c>
      <c r="K2928" s="89"/>
      <c r="L2928" s="90"/>
      <c r="M2928" s="90"/>
      <c r="P2928" s="68"/>
    </row>
    <row r="2929">
      <c r="A2929" s="95">
        <v>6.89886187458E11</v>
      </c>
      <c r="B2929" s="151" t="s">
        <v>3303</v>
      </c>
      <c r="C2929" s="95" t="s">
        <v>97</v>
      </c>
      <c r="D2929" s="95">
        <v>1.0</v>
      </c>
      <c r="E2929" s="101">
        <v>24.98</v>
      </c>
      <c r="F2929" s="101">
        <f t="shared" si="470"/>
        <v>24.98</v>
      </c>
      <c r="G2929" s="101">
        <f t="shared" si="471"/>
        <v>6.245</v>
      </c>
      <c r="H2929" s="95" t="s">
        <v>185</v>
      </c>
      <c r="J2929" s="247" t="s">
        <v>3290</v>
      </c>
      <c r="K2929" s="89"/>
      <c r="L2929" s="90"/>
      <c r="M2929" s="90"/>
      <c r="P2929" s="68"/>
    </row>
    <row r="2930">
      <c r="A2930" s="95">
        <v>6.89886330557E11</v>
      </c>
      <c r="B2930" s="151" t="s">
        <v>3304</v>
      </c>
      <c r="C2930" s="95" t="s">
        <v>97</v>
      </c>
      <c r="D2930" s="95">
        <v>1.0</v>
      </c>
      <c r="E2930" s="101">
        <v>24.98</v>
      </c>
      <c r="F2930" s="101">
        <f t="shared" si="470"/>
        <v>24.98</v>
      </c>
      <c r="G2930" s="101">
        <f t="shared" si="471"/>
        <v>6.245</v>
      </c>
      <c r="H2930" s="95" t="s">
        <v>564</v>
      </c>
      <c r="J2930" s="247" t="s">
        <v>3290</v>
      </c>
      <c r="K2930" s="89"/>
      <c r="L2930" s="90"/>
      <c r="M2930" s="90"/>
      <c r="P2930" s="68"/>
    </row>
    <row r="2931">
      <c r="A2931" s="95">
        <v>6.9515978871E11</v>
      </c>
      <c r="B2931" s="151" t="s">
        <v>3305</v>
      </c>
      <c r="C2931" s="95" t="s">
        <v>97</v>
      </c>
      <c r="D2931" s="95">
        <v>1.0</v>
      </c>
      <c r="E2931" s="101">
        <v>124.0</v>
      </c>
      <c r="F2931" s="101">
        <f t="shared" si="470"/>
        <v>124</v>
      </c>
      <c r="G2931" s="101">
        <f t="shared" si="471"/>
        <v>31</v>
      </c>
      <c r="H2931" s="95" t="s">
        <v>701</v>
      </c>
      <c r="J2931" s="247" t="s">
        <v>3290</v>
      </c>
      <c r="K2931" s="89"/>
      <c r="L2931" s="90"/>
      <c r="M2931" s="90"/>
      <c r="P2931" s="68"/>
    </row>
    <row r="2932">
      <c r="A2932" s="95">
        <v>7.07762061224E11</v>
      </c>
      <c r="B2932" s="151" t="s">
        <v>3306</v>
      </c>
      <c r="C2932" s="95" t="s">
        <v>97</v>
      </c>
      <c r="D2932" s="95">
        <v>1.0</v>
      </c>
      <c r="E2932" s="101">
        <v>109.0</v>
      </c>
      <c r="F2932" s="101">
        <f t="shared" si="470"/>
        <v>109</v>
      </c>
      <c r="G2932" s="101">
        <f t="shared" si="471"/>
        <v>27.25</v>
      </c>
      <c r="H2932" s="95" t="s">
        <v>463</v>
      </c>
      <c r="J2932" s="247" t="s">
        <v>3290</v>
      </c>
      <c r="K2932" s="89"/>
      <c r="L2932" s="90"/>
      <c r="M2932" s="90"/>
      <c r="P2932" s="68"/>
    </row>
    <row r="2933">
      <c r="A2933" s="95">
        <v>7.08008596258E11</v>
      </c>
      <c r="B2933" s="151" t="s">
        <v>2085</v>
      </c>
      <c r="C2933" s="95" t="s">
        <v>97</v>
      </c>
      <c r="D2933" s="95">
        <v>1.0</v>
      </c>
      <c r="E2933" s="101">
        <v>50.99</v>
      </c>
      <c r="F2933" s="101">
        <f t="shared" si="470"/>
        <v>50.99</v>
      </c>
      <c r="G2933" s="101">
        <f t="shared" si="471"/>
        <v>12.7475</v>
      </c>
      <c r="H2933" s="95" t="s">
        <v>189</v>
      </c>
      <c r="J2933" s="247" t="s">
        <v>3290</v>
      </c>
      <c r="K2933" s="89"/>
      <c r="L2933" s="90"/>
      <c r="M2933" s="90"/>
      <c r="P2933" s="68"/>
    </row>
    <row r="2934">
      <c r="A2934" s="95">
        <v>7.32999556496E11</v>
      </c>
      <c r="B2934" s="151" t="s">
        <v>3307</v>
      </c>
      <c r="C2934" s="95" t="s">
        <v>97</v>
      </c>
      <c r="D2934" s="95">
        <v>1.0</v>
      </c>
      <c r="E2934" s="101">
        <v>69.5</v>
      </c>
      <c r="F2934" s="101">
        <f t="shared" si="470"/>
        <v>69.5</v>
      </c>
      <c r="G2934" s="101">
        <f t="shared" si="471"/>
        <v>17.375</v>
      </c>
      <c r="H2934" s="95" t="s">
        <v>402</v>
      </c>
      <c r="J2934" s="247" t="s">
        <v>3290</v>
      </c>
      <c r="K2934" s="89"/>
      <c r="L2934" s="90"/>
      <c r="M2934" s="90"/>
      <c r="P2934" s="68"/>
    </row>
    <row r="2935">
      <c r="A2935" s="95">
        <v>7.32999906116E11</v>
      </c>
      <c r="B2935" s="151" t="s">
        <v>3308</v>
      </c>
      <c r="C2935" s="95" t="s">
        <v>97</v>
      </c>
      <c r="D2935" s="95">
        <v>1.0</v>
      </c>
      <c r="E2935" s="101">
        <v>69.5</v>
      </c>
      <c r="F2935" s="101">
        <f t="shared" si="470"/>
        <v>69.5</v>
      </c>
      <c r="G2935" s="101">
        <f t="shared" si="471"/>
        <v>17.375</v>
      </c>
      <c r="H2935" s="95" t="s">
        <v>402</v>
      </c>
      <c r="J2935" s="247" t="s">
        <v>3290</v>
      </c>
      <c r="K2935" s="89"/>
      <c r="L2935" s="90"/>
      <c r="M2935" s="90"/>
      <c r="P2935" s="68"/>
    </row>
    <row r="2936">
      <c r="A2936" s="95">
        <v>7.32999946143E11</v>
      </c>
      <c r="B2936" s="151" t="s">
        <v>3309</v>
      </c>
      <c r="C2936" s="95" t="s">
        <v>97</v>
      </c>
      <c r="D2936" s="95">
        <v>1.0</v>
      </c>
      <c r="E2936" s="101">
        <v>59.5</v>
      </c>
      <c r="F2936" s="101">
        <f t="shared" si="470"/>
        <v>59.5</v>
      </c>
      <c r="G2936" s="101">
        <f t="shared" si="471"/>
        <v>14.875</v>
      </c>
      <c r="H2936" s="95" t="s">
        <v>402</v>
      </c>
      <c r="J2936" s="247" t="s">
        <v>3290</v>
      </c>
      <c r="K2936" s="89"/>
      <c r="L2936" s="90"/>
      <c r="M2936" s="90"/>
      <c r="P2936" s="68"/>
    </row>
    <row r="2937">
      <c r="A2937" s="95">
        <v>7.32999946891E11</v>
      </c>
      <c r="B2937" s="151" t="s">
        <v>3310</v>
      </c>
      <c r="C2937" s="95" t="s">
        <v>97</v>
      </c>
      <c r="D2937" s="95">
        <v>1.0</v>
      </c>
      <c r="E2937" s="101">
        <v>69.5</v>
      </c>
      <c r="F2937" s="101">
        <f t="shared" si="470"/>
        <v>69.5</v>
      </c>
      <c r="G2937" s="101">
        <f t="shared" si="471"/>
        <v>17.375</v>
      </c>
      <c r="H2937" s="95" t="s">
        <v>402</v>
      </c>
      <c r="J2937" s="247" t="s">
        <v>3290</v>
      </c>
      <c r="K2937" s="89"/>
      <c r="L2937" s="90"/>
      <c r="M2937" s="90"/>
      <c r="P2937" s="68"/>
    </row>
    <row r="2938">
      <c r="A2938" s="95">
        <v>7.33001450122E11</v>
      </c>
      <c r="B2938" s="151" t="s">
        <v>3138</v>
      </c>
      <c r="C2938" s="95" t="s">
        <v>97</v>
      </c>
      <c r="D2938" s="95">
        <v>1.0</v>
      </c>
      <c r="E2938" s="101">
        <v>69.5</v>
      </c>
      <c r="F2938" s="101">
        <f t="shared" si="470"/>
        <v>69.5</v>
      </c>
      <c r="G2938" s="101">
        <f t="shared" si="471"/>
        <v>17.375</v>
      </c>
      <c r="H2938" s="95" t="s">
        <v>193</v>
      </c>
      <c r="J2938" s="247" t="s">
        <v>3290</v>
      </c>
      <c r="K2938" s="89"/>
      <c r="L2938" s="90"/>
      <c r="M2938" s="90"/>
      <c r="P2938" s="68"/>
    </row>
    <row r="2939">
      <c r="A2939" s="95">
        <v>7.33001760245E11</v>
      </c>
      <c r="B2939" s="151" t="s">
        <v>3311</v>
      </c>
      <c r="C2939" s="95" t="s">
        <v>97</v>
      </c>
      <c r="D2939" s="95">
        <v>1.0</v>
      </c>
      <c r="E2939" s="101">
        <v>29.5</v>
      </c>
      <c r="F2939" s="101">
        <f t="shared" si="470"/>
        <v>29.5</v>
      </c>
      <c r="G2939" s="101">
        <f t="shared" si="471"/>
        <v>7.375</v>
      </c>
      <c r="H2939" s="95" t="s">
        <v>193</v>
      </c>
      <c r="J2939" s="247" t="s">
        <v>3290</v>
      </c>
      <c r="K2939" s="89"/>
      <c r="L2939" s="90"/>
      <c r="M2939" s="90"/>
      <c r="P2939" s="68"/>
    </row>
    <row r="2940">
      <c r="A2940" s="95">
        <v>7.33001905622E11</v>
      </c>
      <c r="B2940" s="151" t="s">
        <v>3312</v>
      </c>
      <c r="C2940" s="95" t="s">
        <v>97</v>
      </c>
      <c r="D2940" s="95">
        <v>1.0</v>
      </c>
      <c r="E2940" s="101">
        <v>59.5</v>
      </c>
      <c r="F2940" s="101">
        <f t="shared" si="470"/>
        <v>59.5</v>
      </c>
      <c r="G2940" s="101">
        <f t="shared" si="471"/>
        <v>14.875</v>
      </c>
      <c r="H2940" s="95" t="s">
        <v>402</v>
      </c>
      <c r="J2940" s="247" t="s">
        <v>3290</v>
      </c>
      <c r="K2940" s="89"/>
      <c r="L2940" s="90"/>
      <c r="M2940" s="90"/>
      <c r="P2940" s="68"/>
    </row>
    <row r="2941">
      <c r="A2941" s="95">
        <v>7.49709731661E11</v>
      </c>
      <c r="B2941" s="151" t="s">
        <v>3313</v>
      </c>
      <c r="C2941" s="95" t="s">
        <v>97</v>
      </c>
      <c r="D2941" s="95">
        <v>1.0</v>
      </c>
      <c r="E2941" s="101">
        <v>139.0</v>
      </c>
      <c r="F2941" s="101">
        <f t="shared" si="470"/>
        <v>139</v>
      </c>
      <c r="G2941" s="101">
        <f t="shared" si="471"/>
        <v>34.75</v>
      </c>
      <c r="H2941" s="95" t="s">
        <v>3314</v>
      </c>
      <c r="J2941" s="247" t="s">
        <v>3290</v>
      </c>
      <c r="K2941" s="89"/>
      <c r="L2941" s="90"/>
      <c r="M2941" s="90"/>
      <c r="P2941" s="68"/>
    </row>
    <row r="2942">
      <c r="A2942" s="95">
        <v>8.83806035601E11</v>
      </c>
      <c r="B2942" s="151" t="s">
        <v>764</v>
      </c>
      <c r="C2942" s="95" t="s">
        <v>97</v>
      </c>
      <c r="D2942" s="95">
        <v>1.0</v>
      </c>
      <c r="E2942" s="101">
        <v>185.0</v>
      </c>
      <c r="F2942" s="101">
        <f t="shared" si="470"/>
        <v>185</v>
      </c>
      <c r="G2942" s="101">
        <f t="shared" si="471"/>
        <v>46.25</v>
      </c>
      <c r="H2942" s="95" t="s">
        <v>198</v>
      </c>
      <c r="J2942" s="247" t="s">
        <v>3290</v>
      </c>
      <c r="K2942" s="89"/>
      <c r="L2942" s="90"/>
      <c r="M2942" s="90"/>
      <c r="P2942" s="68"/>
    </row>
    <row r="2943">
      <c r="A2943" s="95">
        <v>8.83806076932E11</v>
      </c>
      <c r="B2943" s="151" t="s">
        <v>3315</v>
      </c>
      <c r="C2943" s="95" t="s">
        <v>97</v>
      </c>
      <c r="D2943" s="95">
        <v>1.0</v>
      </c>
      <c r="E2943" s="101">
        <v>125.0</v>
      </c>
      <c r="F2943" s="101">
        <f t="shared" si="470"/>
        <v>125</v>
      </c>
      <c r="G2943" s="101">
        <f t="shared" si="471"/>
        <v>31.25</v>
      </c>
      <c r="H2943" s="95" t="s">
        <v>541</v>
      </c>
      <c r="J2943" s="247" t="s">
        <v>3290</v>
      </c>
      <c r="K2943" s="89"/>
      <c r="L2943" s="90"/>
      <c r="M2943" s="90"/>
      <c r="P2943" s="68"/>
    </row>
    <row r="2944">
      <c r="A2944" s="95">
        <v>8.83806248353E11</v>
      </c>
      <c r="B2944" s="151" t="s">
        <v>3316</v>
      </c>
      <c r="C2944" s="95" t="s">
        <v>97</v>
      </c>
      <c r="D2944" s="95">
        <v>1.0</v>
      </c>
      <c r="E2944" s="101">
        <v>109.0</v>
      </c>
      <c r="F2944" s="101">
        <f t="shared" si="470"/>
        <v>109</v>
      </c>
      <c r="G2944" s="101">
        <f t="shared" si="471"/>
        <v>27.25</v>
      </c>
      <c r="H2944" s="95" t="s">
        <v>541</v>
      </c>
      <c r="J2944" s="247" t="s">
        <v>3290</v>
      </c>
      <c r="K2944" s="89"/>
      <c r="L2944" s="90"/>
      <c r="M2944" s="90"/>
      <c r="P2944" s="68"/>
    </row>
    <row r="2945">
      <c r="A2945" s="95">
        <v>8.8380625459E11</v>
      </c>
      <c r="B2945" s="151" t="s">
        <v>3317</v>
      </c>
      <c r="C2945" s="95" t="s">
        <v>97</v>
      </c>
      <c r="D2945" s="95">
        <v>1.0</v>
      </c>
      <c r="E2945" s="101">
        <v>175.0</v>
      </c>
      <c r="F2945" s="101">
        <f t="shared" si="470"/>
        <v>175</v>
      </c>
      <c r="G2945" s="101">
        <f t="shared" si="471"/>
        <v>43.75</v>
      </c>
      <c r="H2945" s="95" t="s">
        <v>198</v>
      </c>
      <c r="J2945" s="247" t="s">
        <v>3290</v>
      </c>
      <c r="K2945" s="89"/>
      <c r="L2945" s="90"/>
      <c r="M2945" s="90"/>
      <c r="P2945" s="68"/>
    </row>
    <row r="2946">
      <c r="A2946" s="95">
        <v>8.83971887739E11</v>
      </c>
      <c r="B2946" s="151" t="s">
        <v>3318</v>
      </c>
      <c r="C2946" s="95" t="s">
        <v>97</v>
      </c>
      <c r="D2946" s="95">
        <v>1.0</v>
      </c>
      <c r="E2946" s="101">
        <v>189.0</v>
      </c>
      <c r="F2946" s="101">
        <f t="shared" si="470"/>
        <v>189</v>
      </c>
      <c r="G2946" s="101">
        <f t="shared" si="471"/>
        <v>47.25</v>
      </c>
      <c r="H2946" s="95" t="s">
        <v>484</v>
      </c>
      <c r="J2946" s="247" t="s">
        <v>3290</v>
      </c>
      <c r="K2946" s="89"/>
      <c r="L2946" s="90"/>
      <c r="M2946" s="90"/>
      <c r="P2946" s="68"/>
    </row>
    <row r="2947">
      <c r="A2947" s="95">
        <v>8.84094027637E11</v>
      </c>
      <c r="B2947" s="151" t="s">
        <v>3319</v>
      </c>
      <c r="C2947" s="95" t="s">
        <v>97</v>
      </c>
      <c r="D2947" s="95">
        <v>1.0</v>
      </c>
      <c r="E2947" s="101">
        <v>125.0</v>
      </c>
      <c r="F2947" s="101">
        <f t="shared" si="470"/>
        <v>125</v>
      </c>
      <c r="G2947" s="101">
        <f t="shared" si="471"/>
        <v>31.25</v>
      </c>
      <c r="H2947" s="95" t="s">
        <v>198</v>
      </c>
      <c r="J2947" s="247" t="s">
        <v>3290</v>
      </c>
      <c r="K2947" s="89"/>
      <c r="L2947" s="90"/>
      <c r="M2947" s="90"/>
      <c r="P2947" s="68"/>
    </row>
    <row r="2948">
      <c r="A2948" s="95">
        <v>8.84094116669E11</v>
      </c>
      <c r="B2948" s="151" t="s">
        <v>3320</v>
      </c>
      <c r="C2948" s="95" t="s">
        <v>97</v>
      </c>
      <c r="D2948" s="95">
        <v>1.0</v>
      </c>
      <c r="E2948" s="101">
        <v>109.0</v>
      </c>
      <c r="F2948" s="101">
        <f t="shared" si="470"/>
        <v>109</v>
      </c>
      <c r="G2948" s="101">
        <f t="shared" si="471"/>
        <v>27.25</v>
      </c>
      <c r="H2948" s="95" t="s">
        <v>196</v>
      </c>
      <c r="J2948" s="247" t="s">
        <v>3290</v>
      </c>
      <c r="K2948" s="89"/>
      <c r="L2948" s="90"/>
      <c r="M2948" s="90"/>
      <c r="P2948" s="68"/>
    </row>
    <row r="2949">
      <c r="A2949" s="95">
        <v>8.8409426241E11</v>
      </c>
      <c r="B2949" s="151" t="s">
        <v>3321</v>
      </c>
      <c r="C2949" s="95" t="s">
        <v>97</v>
      </c>
      <c r="D2949" s="95">
        <v>1.0</v>
      </c>
      <c r="E2949" s="101">
        <v>165.0</v>
      </c>
      <c r="F2949" s="101">
        <f t="shared" si="470"/>
        <v>165</v>
      </c>
      <c r="G2949" s="101">
        <f t="shared" si="471"/>
        <v>41.25</v>
      </c>
      <c r="H2949" s="95" t="s">
        <v>198</v>
      </c>
      <c r="J2949" s="247" t="s">
        <v>3290</v>
      </c>
      <c r="K2949" s="89"/>
      <c r="L2949" s="90"/>
      <c r="M2949" s="90"/>
      <c r="P2949" s="68"/>
    </row>
    <row r="2950">
      <c r="A2950" s="95">
        <v>8.84094418916E11</v>
      </c>
      <c r="B2950" s="151" t="s">
        <v>765</v>
      </c>
      <c r="C2950" s="95" t="s">
        <v>97</v>
      </c>
      <c r="D2950" s="95">
        <v>1.0</v>
      </c>
      <c r="E2950" s="101">
        <v>145.0</v>
      </c>
      <c r="F2950" s="101">
        <f t="shared" si="470"/>
        <v>145</v>
      </c>
      <c r="G2950" s="101">
        <f t="shared" si="471"/>
        <v>36.25</v>
      </c>
      <c r="H2950" s="95" t="s">
        <v>196</v>
      </c>
      <c r="J2950" s="247" t="s">
        <v>3290</v>
      </c>
      <c r="K2950" s="89"/>
      <c r="L2950" s="90"/>
      <c r="M2950" s="90"/>
      <c r="P2950" s="68"/>
    </row>
    <row r="2951">
      <c r="A2951" s="95">
        <v>8.84094491926E11</v>
      </c>
      <c r="B2951" s="151" t="s">
        <v>3322</v>
      </c>
      <c r="C2951" s="95" t="s">
        <v>97</v>
      </c>
      <c r="D2951" s="95">
        <v>1.0</v>
      </c>
      <c r="E2951" s="101">
        <v>155.0</v>
      </c>
      <c r="F2951" s="101">
        <f t="shared" si="470"/>
        <v>155</v>
      </c>
      <c r="G2951" s="101">
        <f t="shared" si="471"/>
        <v>38.75</v>
      </c>
      <c r="H2951" s="95" t="s">
        <v>198</v>
      </c>
      <c r="J2951" s="247" t="s">
        <v>3290</v>
      </c>
      <c r="K2951" s="89"/>
      <c r="L2951" s="90"/>
      <c r="M2951" s="90"/>
      <c r="P2951" s="68"/>
    </row>
    <row r="2952">
      <c r="A2952" s="95">
        <v>8.84094495276E11</v>
      </c>
      <c r="B2952" s="151" t="s">
        <v>3323</v>
      </c>
      <c r="C2952" s="95" t="s">
        <v>97</v>
      </c>
      <c r="D2952" s="95">
        <v>1.0</v>
      </c>
      <c r="E2952" s="101">
        <v>45.78</v>
      </c>
      <c r="F2952" s="101">
        <f t="shared" si="470"/>
        <v>45.78</v>
      </c>
      <c r="G2952" s="101">
        <f t="shared" si="471"/>
        <v>11.445</v>
      </c>
      <c r="H2952" s="95" t="s">
        <v>203</v>
      </c>
      <c r="J2952" s="247" t="s">
        <v>3290</v>
      </c>
      <c r="K2952" s="89"/>
      <c r="L2952" s="90"/>
      <c r="M2952" s="90"/>
      <c r="P2952" s="68"/>
    </row>
    <row r="2953">
      <c r="A2953" s="95">
        <v>8.84094495283E11</v>
      </c>
      <c r="B2953" s="151" t="s">
        <v>433</v>
      </c>
      <c r="C2953" s="95" t="s">
        <v>97</v>
      </c>
      <c r="D2953" s="95">
        <v>1.0</v>
      </c>
      <c r="E2953" s="101">
        <v>109.0</v>
      </c>
      <c r="F2953" s="101">
        <f t="shared" si="470"/>
        <v>109</v>
      </c>
      <c r="G2953" s="101">
        <f t="shared" si="471"/>
        <v>27.25</v>
      </c>
      <c r="H2953" s="95" t="s">
        <v>198</v>
      </c>
      <c r="J2953" s="247" t="s">
        <v>3290</v>
      </c>
      <c r="K2953" s="89"/>
      <c r="L2953" s="90"/>
      <c r="M2953" s="90"/>
      <c r="P2953" s="68"/>
    </row>
    <row r="2954">
      <c r="A2954" s="95">
        <v>8.84094510634E11</v>
      </c>
      <c r="B2954" s="151" t="s">
        <v>3126</v>
      </c>
      <c r="C2954" s="95" t="s">
        <v>97</v>
      </c>
      <c r="D2954" s="95">
        <v>1.0</v>
      </c>
      <c r="E2954" s="101">
        <v>195.0</v>
      </c>
      <c r="F2954" s="101">
        <f t="shared" si="470"/>
        <v>195</v>
      </c>
      <c r="G2954" s="101">
        <f t="shared" si="471"/>
        <v>48.75</v>
      </c>
      <c r="H2954" s="95" t="s">
        <v>198</v>
      </c>
      <c r="J2954" s="247" t="s">
        <v>3290</v>
      </c>
      <c r="K2954" s="89"/>
      <c r="L2954" s="90"/>
      <c r="M2954" s="90"/>
      <c r="P2954" s="68"/>
    </row>
    <row r="2955">
      <c r="A2955" s="95">
        <v>8.84094540396E11</v>
      </c>
      <c r="B2955" s="151" t="s">
        <v>3324</v>
      </c>
      <c r="C2955" s="95" t="s">
        <v>97</v>
      </c>
      <c r="D2955" s="95">
        <v>1.0</v>
      </c>
      <c r="E2955" s="101">
        <v>145.0</v>
      </c>
      <c r="F2955" s="101">
        <f t="shared" si="470"/>
        <v>145</v>
      </c>
      <c r="G2955" s="101">
        <f t="shared" si="471"/>
        <v>36.25</v>
      </c>
      <c r="H2955" s="95" t="s">
        <v>198</v>
      </c>
      <c r="J2955" s="247" t="s">
        <v>3290</v>
      </c>
      <c r="K2955" s="89"/>
      <c r="L2955" s="90"/>
      <c r="M2955" s="90"/>
      <c r="P2955" s="68"/>
    </row>
    <row r="2956">
      <c r="A2956" s="95">
        <v>8.8409454044E11</v>
      </c>
      <c r="B2956" s="151" t="s">
        <v>3325</v>
      </c>
      <c r="C2956" s="95" t="s">
        <v>97</v>
      </c>
      <c r="D2956" s="95">
        <v>1.0</v>
      </c>
      <c r="E2956" s="101">
        <v>145.0</v>
      </c>
      <c r="F2956" s="101">
        <f t="shared" si="470"/>
        <v>145</v>
      </c>
      <c r="G2956" s="101">
        <f t="shared" si="471"/>
        <v>36.25</v>
      </c>
      <c r="H2956" s="95" t="s">
        <v>196</v>
      </c>
      <c r="J2956" s="247" t="s">
        <v>3290</v>
      </c>
      <c r="K2956" s="89"/>
      <c r="L2956" s="90"/>
      <c r="M2956" s="90"/>
      <c r="P2956" s="68"/>
    </row>
    <row r="2957">
      <c r="A2957" s="95">
        <v>8.84094542642E11</v>
      </c>
      <c r="B2957" s="151" t="s">
        <v>3320</v>
      </c>
      <c r="C2957" s="95" t="s">
        <v>97</v>
      </c>
      <c r="D2957" s="95">
        <v>1.0</v>
      </c>
      <c r="E2957" s="101">
        <v>109.0</v>
      </c>
      <c r="F2957" s="101">
        <f t="shared" si="470"/>
        <v>109</v>
      </c>
      <c r="G2957" s="101">
        <f t="shared" si="471"/>
        <v>27.25</v>
      </c>
      <c r="H2957" s="95" t="s">
        <v>198</v>
      </c>
      <c r="J2957" s="247" t="s">
        <v>3290</v>
      </c>
      <c r="K2957" s="89"/>
      <c r="L2957" s="90"/>
      <c r="M2957" s="90"/>
      <c r="P2957" s="68"/>
    </row>
    <row r="2958">
      <c r="A2958" s="95">
        <v>8.85032092229E11</v>
      </c>
      <c r="B2958" s="151" t="s">
        <v>3326</v>
      </c>
      <c r="C2958" s="95" t="s">
        <v>97</v>
      </c>
      <c r="D2958" s="95">
        <v>1.0</v>
      </c>
      <c r="E2958" s="101">
        <v>145.0</v>
      </c>
      <c r="F2958" s="101">
        <f t="shared" si="470"/>
        <v>145</v>
      </c>
      <c r="G2958" s="101">
        <f t="shared" si="471"/>
        <v>36.25</v>
      </c>
      <c r="H2958" s="95" t="s">
        <v>196</v>
      </c>
      <c r="J2958" s="247" t="s">
        <v>3290</v>
      </c>
      <c r="K2958" s="89"/>
      <c r="L2958" s="90"/>
      <c r="M2958" s="90"/>
      <c r="P2958" s="68"/>
    </row>
    <row r="2959">
      <c r="A2959" s="95">
        <v>8.8964856264E11</v>
      </c>
      <c r="B2959" s="151" t="s">
        <v>3327</v>
      </c>
      <c r="C2959" s="95" t="s">
        <v>97</v>
      </c>
      <c r="D2959" s="95">
        <v>1.0</v>
      </c>
      <c r="E2959" s="101">
        <v>79.0</v>
      </c>
      <c r="F2959" s="101">
        <f t="shared" si="470"/>
        <v>79</v>
      </c>
      <c r="G2959" s="101">
        <f t="shared" si="471"/>
        <v>19.75</v>
      </c>
      <c r="H2959" s="95" t="s">
        <v>425</v>
      </c>
      <c r="J2959" s="247" t="s">
        <v>3290</v>
      </c>
      <c r="K2959" s="89"/>
      <c r="L2959" s="90"/>
      <c r="M2959" s="90"/>
      <c r="P2959" s="68"/>
    </row>
    <row r="2960">
      <c r="A2960" s="211"/>
      <c r="B2960" s="231" t="s">
        <v>3328</v>
      </c>
      <c r="C2960" s="234" t="str">
        <f>MID($B2960,6,8)</f>
        <v>KL187107</v>
      </c>
      <c r="D2960" s="231"/>
      <c r="E2960" s="231"/>
      <c r="F2960" s="231"/>
      <c r="G2960" s="231"/>
      <c r="H2960" s="235">
        <v>44560.0</v>
      </c>
      <c r="J2960" s="108" t="str">
        <f>IF(LEFT(B2960,3)="Box","BOX","COUNT")</f>
        <v>BOX</v>
      </c>
      <c r="K2960" s="99">
        <f>SUMIF($J$4:$J$8712,$C2960,$D$4:$D$8712)</f>
        <v>43</v>
      </c>
      <c r="L2960" s="50">
        <f>SUMIF($J$4:$J$8712,$C2960,$F$4:$F$8712)</f>
        <v>4765.19</v>
      </c>
      <c r="M2960" s="50">
        <f>SUMIF($J$4:$J$8712,$C2960,$G$4:$G$8712)</f>
        <v>1191.2975</v>
      </c>
      <c r="N2960" s="70" t="str">
        <f>C2960</f>
        <v>KL187107</v>
      </c>
      <c r="O2960" s="70" t="str">
        <f>J2961</f>
        <v>NSHIP</v>
      </c>
      <c r="P2960" s="68">
        <f>M2960</f>
        <v>1191.2975</v>
      </c>
    </row>
    <row r="2961">
      <c r="A2961" s="211"/>
      <c r="B2961" s="231"/>
      <c r="C2961" s="109"/>
      <c r="D2961" s="109"/>
      <c r="E2961" s="116"/>
      <c r="F2961" s="116"/>
      <c r="G2961" s="116"/>
      <c r="H2961" s="109"/>
      <c r="J2961" s="108" t="str">
        <f>IF(B2961="","NSHIP","SHIP")</f>
        <v>NSHIP</v>
      </c>
      <c r="K2961" s="99">
        <f>IF($J2961="NSHIP",0,-SUMIF($J$4:$J$8712,$C2960,$D$4:$D$8712))</f>
        <v>0</v>
      </c>
      <c r="L2961" s="50">
        <f>IF($J2961="NSHIP",0,-SUMIF($J$4:$J$8710,$C2960,$F$4:$F$8710))</f>
        <v>0</v>
      </c>
      <c r="M2961" s="50">
        <f>IF($J2961="NSHIP",0,-SUMIF($J$4:$J$8710,$C2960,$G$4:$G$8710))</f>
        <v>0</v>
      </c>
      <c r="P2961" s="68"/>
    </row>
    <row r="2962">
      <c r="A2962" s="95">
        <v>9.348772446E10</v>
      </c>
      <c r="B2962" s="151" t="s">
        <v>3329</v>
      </c>
      <c r="C2962" s="95" t="s">
        <v>97</v>
      </c>
      <c r="D2962" s="95">
        <v>1.0</v>
      </c>
      <c r="E2962" s="101">
        <v>89.0</v>
      </c>
      <c r="F2962" s="101">
        <f t="shared" ref="F2962:F2999" si="472">E2962*D2962</f>
        <v>89</v>
      </c>
      <c r="G2962" s="101">
        <f t="shared" ref="G2962:G2999" si="473">F2962/4</f>
        <v>22.25</v>
      </c>
      <c r="H2962" s="95" t="s">
        <v>3330</v>
      </c>
      <c r="J2962" s="247" t="s">
        <v>3331</v>
      </c>
      <c r="K2962" s="89"/>
      <c r="L2962" s="90"/>
      <c r="M2962" s="90"/>
      <c r="P2962" s="68"/>
    </row>
    <row r="2963">
      <c r="A2963" s="95">
        <v>1.91170290428E11</v>
      </c>
      <c r="B2963" s="151" t="s">
        <v>3332</v>
      </c>
      <c r="C2963" s="95" t="s">
        <v>97</v>
      </c>
      <c r="D2963" s="95">
        <v>1.0</v>
      </c>
      <c r="E2963" s="101">
        <v>49.99</v>
      </c>
      <c r="F2963" s="101">
        <f t="shared" si="472"/>
        <v>49.99</v>
      </c>
      <c r="G2963" s="101">
        <f t="shared" si="473"/>
        <v>12.4975</v>
      </c>
      <c r="H2963" s="95" t="s">
        <v>3333</v>
      </c>
      <c r="J2963" s="247" t="s">
        <v>3331</v>
      </c>
      <c r="K2963" s="89"/>
      <c r="L2963" s="90"/>
      <c r="M2963" s="90"/>
      <c r="P2963" s="68"/>
    </row>
    <row r="2964">
      <c r="A2964" s="95">
        <v>1.91837121744E11</v>
      </c>
      <c r="B2964" s="151" t="s">
        <v>3334</v>
      </c>
      <c r="C2964" s="95" t="s">
        <v>97</v>
      </c>
      <c r="D2964" s="95">
        <v>1.0</v>
      </c>
      <c r="E2964" s="101">
        <v>299.0</v>
      </c>
      <c r="F2964" s="101">
        <f t="shared" si="472"/>
        <v>299</v>
      </c>
      <c r="G2964" s="101">
        <f t="shared" si="473"/>
        <v>74.75</v>
      </c>
      <c r="H2964" s="95" t="s">
        <v>598</v>
      </c>
      <c r="J2964" s="247" t="s">
        <v>3331</v>
      </c>
      <c r="K2964" s="89"/>
      <c r="L2964" s="90"/>
      <c r="M2964" s="90"/>
      <c r="P2964" s="68"/>
    </row>
    <row r="2965">
      <c r="A2965" s="95">
        <v>1.91837177406E11</v>
      </c>
      <c r="B2965" s="151" t="s">
        <v>3335</v>
      </c>
      <c r="C2965" s="95" t="s">
        <v>97</v>
      </c>
      <c r="D2965" s="95">
        <v>1.0</v>
      </c>
      <c r="E2965" s="101">
        <v>189.0</v>
      </c>
      <c r="F2965" s="101">
        <f t="shared" si="472"/>
        <v>189</v>
      </c>
      <c r="G2965" s="101">
        <f t="shared" si="473"/>
        <v>47.25</v>
      </c>
      <c r="H2965" s="95" t="s">
        <v>598</v>
      </c>
      <c r="J2965" s="247" t="s">
        <v>3331</v>
      </c>
      <c r="K2965" s="89"/>
      <c r="L2965" s="90"/>
      <c r="M2965" s="90"/>
      <c r="P2965" s="68"/>
    </row>
    <row r="2966">
      <c r="A2966" s="95">
        <v>1.91837181717E11</v>
      </c>
      <c r="B2966" s="151" t="s">
        <v>3336</v>
      </c>
      <c r="C2966" s="95" t="s">
        <v>97</v>
      </c>
      <c r="D2966" s="95">
        <v>1.0</v>
      </c>
      <c r="E2966" s="101">
        <v>219.0</v>
      </c>
      <c r="F2966" s="101">
        <f t="shared" si="472"/>
        <v>219</v>
      </c>
      <c r="G2966" s="101">
        <f t="shared" si="473"/>
        <v>54.75</v>
      </c>
      <c r="H2966" s="95" t="s">
        <v>598</v>
      </c>
      <c r="J2966" s="247" t="s">
        <v>3331</v>
      </c>
      <c r="K2966" s="89"/>
      <c r="L2966" s="90"/>
      <c r="M2966" s="90"/>
      <c r="P2966" s="68"/>
    </row>
    <row r="2967">
      <c r="A2967" s="95">
        <v>1.91899846814E11</v>
      </c>
      <c r="B2967" s="151" t="s">
        <v>3337</v>
      </c>
      <c r="C2967" s="95" t="s">
        <v>97</v>
      </c>
      <c r="D2967" s="95">
        <v>1.0</v>
      </c>
      <c r="E2967" s="101">
        <v>148.0</v>
      </c>
      <c r="F2967" s="101">
        <f t="shared" si="472"/>
        <v>148</v>
      </c>
      <c r="G2967" s="101">
        <f t="shared" si="473"/>
        <v>37</v>
      </c>
      <c r="H2967" s="95" t="s">
        <v>1369</v>
      </c>
      <c r="J2967" s="247" t="s">
        <v>3331</v>
      </c>
      <c r="K2967" s="89"/>
      <c r="L2967" s="90"/>
      <c r="M2967" s="90"/>
      <c r="P2967" s="68"/>
    </row>
    <row r="2968">
      <c r="A2968" s="95">
        <v>1.92081263662E11</v>
      </c>
      <c r="B2968" s="151" t="s">
        <v>3338</v>
      </c>
      <c r="C2968" s="95" t="s">
        <v>97</v>
      </c>
      <c r="D2968" s="95">
        <v>1.0</v>
      </c>
      <c r="E2968" s="101">
        <v>99.0</v>
      </c>
      <c r="F2968" s="101">
        <f t="shared" si="472"/>
        <v>99</v>
      </c>
      <c r="G2968" s="101">
        <f t="shared" si="473"/>
        <v>24.75</v>
      </c>
      <c r="H2968" s="95" t="s">
        <v>374</v>
      </c>
      <c r="J2968" s="247" t="s">
        <v>3331</v>
      </c>
      <c r="K2968" s="89"/>
      <c r="L2968" s="90"/>
      <c r="M2968" s="90"/>
      <c r="P2968" s="68"/>
    </row>
    <row r="2969">
      <c r="A2969" s="95">
        <v>1.92284747099E11</v>
      </c>
      <c r="B2969" s="151" t="s">
        <v>3339</v>
      </c>
      <c r="C2969" s="95" t="s">
        <v>97</v>
      </c>
      <c r="D2969" s="95">
        <v>1.0</v>
      </c>
      <c r="E2969" s="101">
        <v>24.99</v>
      </c>
      <c r="F2969" s="101">
        <f t="shared" si="472"/>
        <v>24.99</v>
      </c>
      <c r="G2969" s="101">
        <f t="shared" si="473"/>
        <v>6.2475</v>
      </c>
      <c r="H2969" s="95" t="s">
        <v>591</v>
      </c>
      <c r="J2969" s="247" t="s">
        <v>3331</v>
      </c>
      <c r="K2969" s="89"/>
      <c r="L2969" s="90"/>
      <c r="M2969" s="90"/>
      <c r="P2969" s="68"/>
    </row>
    <row r="2970">
      <c r="A2970" s="95">
        <v>1.94592996893E11</v>
      </c>
      <c r="B2970" s="151" t="s">
        <v>3340</v>
      </c>
      <c r="C2970" s="95" t="s">
        <v>97</v>
      </c>
      <c r="D2970" s="95">
        <v>1.0</v>
      </c>
      <c r="E2970" s="101">
        <v>99.0</v>
      </c>
      <c r="F2970" s="101">
        <f t="shared" si="472"/>
        <v>99</v>
      </c>
      <c r="G2970" s="101">
        <f t="shared" si="473"/>
        <v>24.75</v>
      </c>
      <c r="H2970" s="95" t="s">
        <v>661</v>
      </c>
      <c r="J2970" s="247" t="s">
        <v>3331</v>
      </c>
      <c r="K2970" s="89"/>
      <c r="L2970" s="90"/>
      <c r="M2970" s="90"/>
      <c r="P2970" s="68"/>
    </row>
    <row r="2971">
      <c r="A2971" s="95">
        <v>1.94686042499E11</v>
      </c>
      <c r="B2971" s="151" t="s">
        <v>3341</v>
      </c>
      <c r="C2971" s="95" t="s">
        <v>97</v>
      </c>
      <c r="D2971" s="95">
        <v>1.0</v>
      </c>
      <c r="E2971" s="101">
        <v>128.0</v>
      </c>
      <c r="F2971" s="101">
        <f t="shared" si="472"/>
        <v>128</v>
      </c>
      <c r="G2971" s="101">
        <f t="shared" si="473"/>
        <v>32</v>
      </c>
      <c r="H2971" s="95" t="s">
        <v>3342</v>
      </c>
      <c r="J2971" s="247" t="s">
        <v>3331</v>
      </c>
      <c r="K2971" s="89"/>
      <c r="L2971" s="90"/>
      <c r="M2971" s="90"/>
      <c r="P2971" s="68"/>
    </row>
    <row r="2972">
      <c r="A2972" s="95">
        <v>6.35273707556E11</v>
      </c>
      <c r="B2972" s="151" t="s">
        <v>3343</v>
      </c>
      <c r="C2972" s="95" t="s">
        <v>97</v>
      </c>
      <c r="D2972" s="95">
        <v>1.0</v>
      </c>
      <c r="E2972" s="101">
        <v>188.0</v>
      </c>
      <c r="F2972" s="101">
        <f t="shared" si="472"/>
        <v>188</v>
      </c>
      <c r="G2972" s="101">
        <f t="shared" si="473"/>
        <v>47</v>
      </c>
      <c r="H2972" s="95" t="s">
        <v>723</v>
      </c>
      <c r="J2972" s="247" t="s">
        <v>3331</v>
      </c>
      <c r="K2972" s="89"/>
      <c r="L2972" s="90"/>
      <c r="M2972" s="90"/>
      <c r="P2972" s="68"/>
    </row>
    <row r="2973">
      <c r="A2973" s="95">
        <v>6.61414675231E11</v>
      </c>
      <c r="B2973" s="151" t="s">
        <v>3301</v>
      </c>
      <c r="C2973" s="95" t="s">
        <v>97</v>
      </c>
      <c r="D2973" s="95">
        <v>1.0</v>
      </c>
      <c r="E2973" s="101">
        <v>46.99</v>
      </c>
      <c r="F2973" s="101">
        <f t="shared" si="472"/>
        <v>46.99</v>
      </c>
      <c r="G2973" s="101">
        <f t="shared" si="473"/>
        <v>11.7475</v>
      </c>
      <c r="H2973" s="95" t="s">
        <v>3302</v>
      </c>
      <c r="J2973" s="247" t="s">
        <v>3331</v>
      </c>
      <c r="K2973" s="89"/>
      <c r="L2973" s="90"/>
      <c r="M2973" s="90"/>
      <c r="P2973" s="68"/>
    </row>
    <row r="2974">
      <c r="A2974" s="95">
        <v>6.89886207132E11</v>
      </c>
      <c r="B2974" s="151" t="s">
        <v>3344</v>
      </c>
      <c r="C2974" s="95" t="s">
        <v>97</v>
      </c>
      <c r="D2974" s="95">
        <v>1.0</v>
      </c>
      <c r="E2974" s="101">
        <v>24.98</v>
      </c>
      <c r="F2974" s="101">
        <f t="shared" si="472"/>
        <v>24.98</v>
      </c>
      <c r="G2974" s="101">
        <f t="shared" si="473"/>
        <v>6.245</v>
      </c>
      <c r="H2974" s="95" t="s">
        <v>185</v>
      </c>
      <c r="J2974" s="247" t="s">
        <v>3331</v>
      </c>
      <c r="K2974" s="89"/>
      <c r="L2974" s="90"/>
      <c r="M2974" s="90"/>
      <c r="P2974" s="68"/>
    </row>
    <row r="2975">
      <c r="A2975" s="95">
        <v>7.07762141063E11</v>
      </c>
      <c r="B2975" s="151" t="s">
        <v>3345</v>
      </c>
      <c r="C2975" s="95" t="s">
        <v>97</v>
      </c>
      <c r="D2975" s="95">
        <v>1.0</v>
      </c>
      <c r="E2975" s="101">
        <v>89.0</v>
      </c>
      <c r="F2975" s="101">
        <f t="shared" si="472"/>
        <v>89</v>
      </c>
      <c r="G2975" s="101">
        <f t="shared" si="473"/>
        <v>22.25</v>
      </c>
      <c r="H2975" s="95" t="s">
        <v>187</v>
      </c>
      <c r="J2975" s="247" t="s">
        <v>3331</v>
      </c>
      <c r="K2975" s="89"/>
      <c r="L2975" s="90"/>
      <c r="M2975" s="90"/>
      <c r="P2975" s="68"/>
    </row>
    <row r="2976">
      <c r="A2976" s="95">
        <v>7.07762222243E11</v>
      </c>
      <c r="B2976" s="151" t="s">
        <v>3346</v>
      </c>
      <c r="C2976" s="95" t="s">
        <v>97</v>
      </c>
      <c r="D2976" s="95">
        <v>1.0</v>
      </c>
      <c r="E2976" s="101">
        <v>119.0</v>
      </c>
      <c r="F2976" s="101">
        <f t="shared" si="472"/>
        <v>119</v>
      </c>
      <c r="G2976" s="101">
        <f t="shared" si="473"/>
        <v>29.75</v>
      </c>
      <c r="H2976" s="95" t="s">
        <v>566</v>
      </c>
      <c r="J2976" s="247" t="s">
        <v>3331</v>
      </c>
      <c r="K2976" s="89"/>
      <c r="L2976" s="90"/>
      <c r="M2976" s="90"/>
      <c r="P2976" s="68"/>
    </row>
    <row r="2977">
      <c r="A2977" s="95">
        <v>7.0800859832E11</v>
      </c>
      <c r="B2977" s="151" t="s">
        <v>3347</v>
      </c>
      <c r="C2977" s="95" t="s">
        <v>97</v>
      </c>
      <c r="D2977" s="95">
        <v>1.0</v>
      </c>
      <c r="E2977" s="101">
        <v>79.0</v>
      </c>
      <c r="F2977" s="101">
        <f t="shared" si="472"/>
        <v>79</v>
      </c>
      <c r="G2977" s="101">
        <f t="shared" si="473"/>
        <v>19.75</v>
      </c>
      <c r="H2977" s="95" t="s">
        <v>189</v>
      </c>
      <c r="J2977" s="247" t="s">
        <v>3331</v>
      </c>
      <c r="K2977" s="89"/>
      <c r="L2977" s="90"/>
      <c r="M2977" s="90"/>
      <c r="P2977" s="68"/>
    </row>
    <row r="2978">
      <c r="A2978" s="95">
        <v>7.08008657706E11</v>
      </c>
      <c r="B2978" s="151" t="s">
        <v>3348</v>
      </c>
      <c r="C2978" s="95" t="s">
        <v>97</v>
      </c>
      <c r="D2978" s="95">
        <v>1.0</v>
      </c>
      <c r="E2978" s="101">
        <v>79.0</v>
      </c>
      <c r="F2978" s="101">
        <f t="shared" si="472"/>
        <v>79</v>
      </c>
      <c r="G2978" s="101">
        <f t="shared" si="473"/>
        <v>19.75</v>
      </c>
      <c r="H2978" s="95" t="s">
        <v>1383</v>
      </c>
      <c r="J2978" s="247" t="s">
        <v>3331</v>
      </c>
      <c r="K2978" s="89"/>
      <c r="L2978" s="90"/>
      <c r="M2978" s="90"/>
      <c r="P2978" s="68"/>
    </row>
    <row r="2979">
      <c r="A2979" s="95">
        <v>7.3299945767E11</v>
      </c>
      <c r="B2979" s="151" t="s">
        <v>3349</v>
      </c>
      <c r="C2979" s="95" t="s">
        <v>97</v>
      </c>
      <c r="D2979" s="95">
        <v>1.0</v>
      </c>
      <c r="E2979" s="101">
        <v>79.5</v>
      </c>
      <c r="F2979" s="101">
        <f t="shared" si="472"/>
        <v>79.5</v>
      </c>
      <c r="G2979" s="101">
        <f t="shared" si="473"/>
        <v>19.875</v>
      </c>
      <c r="H2979" s="95" t="s">
        <v>402</v>
      </c>
      <c r="J2979" s="247" t="s">
        <v>3331</v>
      </c>
      <c r="K2979" s="89"/>
      <c r="L2979" s="90"/>
      <c r="M2979" s="90"/>
      <c r="P2979" s="68"/>
    </row>
    <row r="2980">
      <c r="A2980" s="95">
        <v>7.33001523635E11</v>
      </c>
      <c r="B2980" s="151" t="s">
        <v>3233</v>
      </c>
      <c r="C2980" s="95" t="s">
        <v>97</v>
      </c>
      <c r="D2980" s="95">
        <v>1.0</v>
      </c>
      <c r="E2980" s="101">
        <v>99.5</v>
      </c>
      <c r="F2980" s="101">
        <f t="shared" si="472"/>
        <v>99.5</v>
      </c>
      <c r="G2980" s="101">
        <f t="shared" si="473"/>
        <v>24.875</v>
      </c>
      <c r="H2980" s="95" t="s">
        <v>402</v>
      </c>
      <c r="J2980" s="247" t="s">
        <v>3331</v>
      </c>
      <c r="K2980" s="89"/>
      <c r="L2980" s="90"/>
      <c r="M2980" s="90"/>
      <c r="P2980" s="68"/>
    </row>
    <row r="2981">
      <c r="A2981" s="95">
        <v>7.33001523659E11</v>
      </c>
      <c r="B2981" s="151" t="s">
        <v>3350</v>
      </c>
      <c r="C2981" s="95" t="s">
        <v>97</v>
      </c>
      <c r="D2981" s="95">
        <v>1.0</v>
      </c>
      <c r="E2981" s="101">
        <v>99.5</v>
      </c>
      <c r="F2981" s="101">
        <f t="shared" si="472"/>
        <v>99.5</v>
      </c>
      <c r="G2981" s="101">
        <f t="shared" si="473"/>
        <v>24.875</v>
      </c>
      <c r="H2981" s="95" t="s">
        <v>402</v>
      </c>
      <c r="J2981" s="247" t="s">
        <v>3331</v>
      </c>
      <c r="K2981" s="89"/>
      <c r="L2981" s="90"/>
      <c r="M2981" s="90"/>
      <c r="P2981" s="68"/>
    </row>
    <row r="2982">
      <c r="A2982" s="95">
        <v>7.33001861188E11</v>
      </c>
      <c r="B2982" s="151" t="s">
        <v>3351</v>
      </c>
      <c r="C2982" s="95" t="s">
        <v>97</v>
      </c>
      <c r="D2982" s="95">
        <v>1.0</v>
      </c>
      <c r="E2982" s="101">
        <v>59.5</v>
      </c>
      <c r="F2982" s="101">
        <f t="shared" si="472"/>
        <v>59.5</v>
      </c>
      <c r="G2982" s="101">
        <f t="shared" si="473"/>
        <v>14.875</v>
      </c>
      <c r="H2982" s="95" t="s">
        <v>193</v>
      </c>
      <c r="J2982" s="247" t="s">
        <v>3331</v>
      </c>
      <c r="K2982" s="89"/>
      <c r="L2982" s="90"/>
      <c r="M2982" s="90"/>
      <c r="P2982" s="68"/>
    </row>
    <row r="2983">
      <c r="A2983" s="95">
        <v>7.33001904557E11</v>
      </c>
      <c r="B2983" s="151" t="s">
        <v>3352</v>
      </c>
      <c r="C2983" s="95" t="s">
        <v>97</v>
      </c>
      <c r="D2983" s="95">
        <v>1.0</v>
      </c>
      <c r="E2983" s="101">
        <v>59.5</v>
      </c>
      <c r="F2983" s="101">
        <f t="shared" si="472"/>
        <v>59.5</v>
      </c>
      <c r="G2983" s="101">
        <f t="shared" si="473"/>
        <v>14.875</v>
      </c>
      <c r="H2983" s="95" t="s">
        <v>402</v>
      </c>
      <c r="J2983" s="247" t="s">
        <v>3331</v>
      </c>
      <c r="K2983" s="89"/>
      <c r="L2983" s="90"/>
      <c r="M2983" s="90"/>
      <c r="P2983" s="68"/>
    </row>
    <row r="2984">
      <c r="A2984" s="95">
        <v>7.47941622549E11</v>
      </c>
      <c r="B2984" s="151" t="s">
        <v>3286</v>
      </c>
      <c r="C2984" s="95" t="s">
        <v>97</v>
      </c>
      <c r="D2984" s="95">
        <v>1.0</v>
      </c>
      <c r="E2984" s="101">
        <v>47.99</v>
      </c>
      <c r="F2984" s="101">
        <f t="shared" si="472"/>
        <v>47.99</v>
      </c>
      <c r="G2984" s="101">
        <f t="shared" si="473"/>
        <v>11.9975</v>
      </c>
      <c r="H2984" s="95" t="s">
        <v>183</v>
      </c>
      <c r="J2984" s="247" t="s">
        <v>3331</v>
      </c>
      <c r="K2984" s="89"/>
      <c r="L2984" s="90"/>
      <c r="M2984" s="90"/>
      <c r="P2984" s="68"/>
    </row>
    <row r="2985">
      <c r="A2985" s="95">
        <v>7.47941871077E11</v>
      </c>
      <c r="B2985" s="151" t="s">
        <v>3353</v>
      </c>
      <c r="C2985" s="95" t="s">
        <v>97</v>
      </c>
      <c r="D2985" s="95">
        <v>1.0</v>
      </c>
      <c r="E2985" s="101">
        <v>46.99</v>
      </c>
      <c r="F2985" s="101">
        <f t="shared" si="472"/>
        <v>46.99</v>
      </c>
      <c r="G2985" s="101">
        <f t="shared" si="473"/>
        <v>11.7475</v>
      </c>
      <c r="H2985" s="95" t="s">
        <v>183</v>
      </c>
      <c r="J2985" s="247" t="s">
        <v>3331</v>
      </c>
      <c r="K2985" s="89"/>
      <c r="L2985" s="90"/>
      <c r="M2985" s="90"/>
      <c r="P2985" s="68"/>
    </row>
    <row r="2986">
      <c r="A2986" s="95">
        <v>7.47941892553E11</v>
      </c>
      <c r="B2986" s="151" t="s">
        <v>3354</v>
      </c>
      <c r="C2986" s="95" t="s">
        <v>97</v>
      </c>
      <c r="D2986" s="95">
        <v>1.0</v>
      </c>
      <c r="E2986" s="101">
        <v>43.99</v>
      </c>
      <c r="F2986" s="101">
        <f t="shared" si="472"/>
        <v>43.99</v>
      </c>
      <c r="G2986" s="101">
        <f t="shared" si="473"/>
        <v>10.9975</v>
      </c>
      <c r="H2986" s="95" t="s">
        <v>183</v>
      </c>
      <c r="J2986" s="247" t="s">
        <v>3331</v>
      </c>
      <c r="K2986" s="89"/>
      <c r="L2986" s="90"/>
      <c r="M2986" s="90"/>
      <c r="P2986" s="68"/>
    </row>
    <row r="2987">
      <c r="A2987" s="95">
        <v>7.49709724694E11</v>
      </c>
      <c r="B2987" s="151" t="s">
        <v>3355</v>
      </c>
      <c r="C2987" s="95" t="s">
        <v>97</v>
      </c>
      <c r="D2987" s="95">
        <v>1.0</v>
      </c>
      <c r="E2987" s="101">
        <v>279.0</v>
      </c>
      <c r="F2987" s="101">
        <f t="shared" si="472"/>
        <v>279</v>
      </c>
      <c r="G2987" s="101">
        <f t="shared" si="473"/>
        <v>69.75</v>
      </c>
      <c r="H2987" s="95" t="s">
        <v>484</v>
      </c>
      <c r="J2987" s="247" t="s">
        <v>3331</v>
      </c>
      <c r="K2987" s="89"/>
      <c r="L2987" s="90"/>
      <c r="M2987" s="90"/>
      <c r="P2987" s="68"/>
    </row>
    <row r="2988">
      <c r="A2988" s="95">
        <v>7.88545784349E11</v>
      </c>
      <c r="B2988" s="151" t="s">
        <v>3356</v>
      </c>
      <c r="C2988" s="95" t="s">
        <v>97</v>
      </c>
      <c r="D2988" s="95">
        <v>1.0</v>
      </c>
      <c r="E2988" s="101">
        <v>24.0</v>
      </c>
      <c r="F2988" s="101">
        <f t="shared" si="472"/>
        <v>24</v>
      </c>
      <c r="G2988" s="101">
        <f t="shared" si="473"/>
        <v>6</v>
      </c>
      <c r="H2988" s="95" t="s">
        <v>3357</v>
      </c>
      <c r="J2988" s="247" t="s">
        <v>3331</v>
      </c>
      <c r="K2988" s="89"/>
      <c r="L2988" s="90"/>
      <c r="M2988" s="90"/>
      <c r="P2988" s="68"/>
    </row>
    <row r="2989">
      <c r="A2989" s="95">
        <v>7.9479501569E11</v>
      </c>
      <c r="B2989" s="151" t="s">
        <v>3358</v>
      </c>
      <c r="C2989" s="95" t="s">
        <v>97</v>
      </c>
      <c r="D2989" s="95">
        <v>1.0</v>
      </c>
      <c r="E2989" s="101">
        <v>99.0</v>
      </c>
      <c r="F2989" s="101">
        <f t="shared" si="472"/>
        <v>99</v>
      </c>
      <c r="G2989" s="101">
        <f t="shared" si="473"/>
        <v>24.75</v>
      </c>
      <c r="H2989" s="95" t="s">
        <v>580</v>
      </c>
      <c r="J2989" s="247" t="s">
        <v>3331</v>
      </c>
      <c r="K2989" s="89"/>
      <c r="L2989" s="90"/>
      <c r="M2989" s="90"/>
      <c r="P2989" s="68"/>
    </row>
    <row r="2990">
      <c r="A2990" s="95">
        <v>7.94795055283E11</v>
      </c>
      <c r="B2990" s="151" t="s">
        <v>3359</v>
      </c>
      <c r="C2990" s="95" t="s">
        <v>97</v>
      </c>
      <c r="D2990" s="95">
        <v>1.0</v>
      </c>
      <c r="E2990" s="101">
        <v>109.0</v>
      </c>
      <c r="F2990" s="101">
        <f t="shared" si="472"/>
        <v>109</v>
      </c>
      <c r="G2990" s="101">
        <f t="shared" si="473"/>
        <v>27.25</v>
      </c>
      <c r="H2990" s="95" t="s">
        <v>422</v>
      </c>
      <c r="J2990" s="247" t="s">
        <v>3331</v>
      </c>
      <c r="K2990" s="89"/>
      <c r="L2990" s="90"/>
      <c r="M2990" s="90"/>
      <c r="P2990" s="68"/>
    </row>
    <row r="2991">
      <c r="A2991" s="95">
        <v>8.82191068423E11</v>
      </c>
      <c r="B2991" s="151" t="s">
        <v>3360</v>
      </c>
      <c r="C2991" s="95" t="s">
        <v>97</v>
      </c>
      <c r="D2991" s="95">
        <v>1.0</v>
      </c>
      <c r="E2991" s="101">
        <v>99.0</v>
      </c>
      <c r="F2991" s="101">
        <f t="shared" si="472"/>
        <v>99</v>
      </c>
      <c r="G2991" s="101">
        <f t="shared" si="473"/>
        <v>24.75</v>
      </c>
      <c r="H2991" s="95" t="s">
        <v>187</v>
      </c>
      <c r="J2991" s="247" t="s">
        <v>3331</v>
      </c>
      <c r="K2991" s="89"/>
      <c r="L2991" s="90"/>
      <c r="M2991" s="90"/>
      <c r="P2991" s="68"/>
    </row>
    <row r="2992">
      <c r="A2992" s="95">
        <v>8.82191097751E11</v>
      </c>
      <c r="B2992" s="151" t="s">
        <v>3361</v>
      </c>
      <c r="C2992" s="95" t="s">
        <v>97</v>
      </c>
      <c r="D2992" s="95">
        <v>1.0</v>
      </c>
      <c r="E2992" s="101">
        <v>99.0</v>
      </c>
      <c r="F2992" s="101">
        <f t="shared" si="472"/>
        <v>99</v>
      </c>
      <c r="G2992" s="101">
        <f t="shared" si="473"/>
        <v>24.75</v>
      </c>
      <c r="H2992" s="95" t="s">
        <v>187</v>
      </c>
      <c r="J2992" s="247" t="s">
        <v>3331</v>
      </c>
      <c r="K2992" s="89"/>
      <c r="L2992" s="90"/>
      <c r="M2992" s="90"/>
      <c r="P2992" s="68"/>
    </row>
    <row r="2993">
      <c r="A2993" s="95">
        <v>8.82191505683E11</v>
      </c>
      <c r="B2993" s="151" t="s">
        <v>3362</v>
      </c>
      <c r="C2993" s="95" t="s">
        <v>97</v>
      </c>
      <c r="D2993" s="95">
        <v>1.0</v>
      </c>
      <c r="E2993" s="101">
        <v>99.0</v>
      </c>
      <c r="F2993" s="101">
        <f t="shared" si="472"/>
        <v>99</v>
      </c>
      <c r="G2993" s="101">
        <f t="shared" si="473"/>
        <v>24.75</v>
      </c>
      <c r="H2993" s="95" t="s">
        <v>187</v>
      </c>
      <c r="J2993" s="247" t="s">
        <v>3331</v>
      </c>
      <c r="K2993" s="89"/>
      <c r="L2993" s="90"/>
      <c r="M2993" s="90"/>
      <c r="P2993" s="68"/>
    </row>
    <row r="2994">
      <c r="A2994" s="95">
        <v>8.84094391431E11</v>
      </c>
      <c r="B2994" s="151" t="s">
        <v>3363</v>
      </c>
      <c r="C2994" s="95" t="s">
        <v>97</v>
      </c>
      <c r="D2994" s="95">
        <v>1.0</v>
      </c>
      <c r="E2994" s="101">
        <v>110.0</v>
      </c>
      <c r="F2994" s="101">
        <f t="shared" si="472"/>
        <v>110</v>
      </c>
      <c r="G2994" s="101">
        <f t="shared" si="473"/>
        <v>27.5</v>
      </c>
      <c r="H2994" s="95" t="s">
        <v>196</v>
      </c>
      <c r="J2994" s="247" t="s">
        <v>3331</v>
      </c>
      <c r="K2994" s="89"/>
      <c r="L2994" s="90"/>
      <c r="M2994" s="90"/>
      <c r="P2994" s="68"/>
    </row>
    <row r="2995">
      <c r="A2995" s="95">
        <v>8.88815749334E11</v>
      </c>
      <c r="B2995" s="151" t="s">
        <v>3364</v>
      </c>
      <c r="C2995" s="95" t="s">
        <v>97</v>
      </c>
      <c r="D2995" s="95">
        <v>1.0</v>
      </c>
      <c r="E2995" s="101">
        <v>99.0</v>
      </c>
      <c r="F2995" s="101">
        <f t="shared" si="472"/>
        <v>99</v>
      </c>
      <c r="G2995" s="101">
        <f t="shared" si="473"/>
        <v>24.75</v>
      </c>
      <c r="H2995" s="95" t="s">
        <v>206</v>
      </c>
      <c r="J2995" s="247" t="s">
        <v>3331</v>
      </c>
      <c r="K2995" s="89"/>
      <c r="L2995" s="90"/>
      <c r="M2995" s="90"/>
      <c r="P2995" s="68"/>
    </row>
    <row r="2996">
      <c r="A2996" s="95">
        <v>8.88815858616E11</v>
      </c>
      <c r="B2996" s="151" t="s">
        <v>3365</v>
      </c>
      <c r="C2996" s="95" t="s">
        <v>97</v>
      </c>
      <c r="D2996" s="95">
        <v>1.0</v>
      </c>
      <c r="E2996" s="101">
        <v>79.0</v>
      </c>
      <c r="F2996" s="101">
        <f t="shared" si="472"/>
        <v>79</v>
      </c>
      <c r="G2996" s="101">
        <f t="shared" si="473"/>
        <v>19.75</v>
      </c>
      <c r="H2996" s="95" t="s">
        <v>206</v>
      </c>
      <c r="J2996" s="247" t="s">
        <v>3331</v>
      </c>
      <c r="K2996" s="89"/>
      <c r="L2996" s="90"/>
      <c r="M2996" s="90"/>
      <c r="P2996" s="68"/>
    </row>
    <row r="2997">
      <c r="A2997" s="95">
        <v>8.88815935683E11</v>
      </c>
      <c r="B2997" s="151" t="s">
        <v>3366</v>
      </c>
      <c r="C2997" s="95" t="s">
        <v>97</v>
      </c>
      <c r="D2997" s="95">
        <v>1.0</v>
      </c>
      <c r="E2997" s="101">
        <v>69.0</v>
      </c>
      <c r="F2997" s="101">
        <f t="shared" si="472"/>
        <v>69</v>
      </c>
      <c r="G2997" s="101">
        <f t="shared" si="473"/>
        <v>17.25</v>
      </c>
      <c r="H2997" s="95" t="s">
        <v>206</v>
      </c>
      <c r="J2997" s="247" t="s">
        <v>3331</v>
      </c>
      <c r="K2997" s="89"/>
      <c r="L2997" s="90"/>
      <c r="M2997" s="90"/>
      <c r="P2997" s="68"/>
    </row>
    <row r="2998">
      <c r="A2998" s="95">
        <v>8.88815957401E11</v>
      </c>
      <c r="B2998" s="151" t="s">
        <v>3367</v>
      </c>
      <c r="C2998" s="95" t="s">
        <v>97</v>
      </c>
      <c r="D2998" s="95">
        <v>1.0</v>
      </c>
      <c r="E2998" s="101">
        <v>69.0</v>
      </c>
      <c r="F2998" s="101">
        <f t="shared" si="472"/>
        <v>69</v>
      </c>
      <c r="G2998" s="101">
        <f t="shared" si="473"/>
        <v>17.25</v>
      </c>
      <c r="H2998" s="95" t="s">
        <v>206</v>
      </c>
      <c r="J2998" s="247" t="s">
        <v>3331</v>
      </c>
      <c r="K2998" s="89"/>
      <c r="L2998" s="90"/>
      <c r="M2998" s="90"/>
      <c r="P2998" s="68"/>
    </row>
    <row r="2999">
      <c r="A2999" s="95">
        <v>8.05672525224E12</v>
      </c>
      <c r="B2999" s="151" t="s">
        <v>3368</v>
      </c>
      <c r="C2999" s="95" t="s">
        <v>97</v>
      </c>
      <c r="D2999" s="95">
        <v>1.0</v>
      </c>
      <c r="E2999" s="101">
        <v>275.0</v>
      </c>
      <c r="F2999" s="101">
        <f t="shared" si="472"/>
        <v>275</v>
      </c>
      <c r="G2999" s="101">
        <f t="shared" si="473"/>
        <v>68.75</v>
      </c>
      <c r="H2999" s="95" t="s">
        <v>3369</v>
      </c>
      <c r="J2999" s="247" t="s">
        <v>3331</v>
      </c>
      <c r="K2999" s="89"/>
      <c r="L2999" s="90"/>
      <c r="M2999" s="90"/>
      <c r="P2999" s="68"/>
    </row>
    <row r="3000">
      <c r="A3000" s="211"/>
      <c r="B3000" s="231" t="s">
        <v>3370</v>
      </c>
      <c r="C3000" s="234" t="str">
        <f>MID($B3000,6,8)</f>
        <v>KL187108</v>
      </c>
      <c r="D3000" s="231"/>
      <c r="E3000" s="231"/>
      <c r="F3000" s="231"/>
      <c r="G3000" s="231"/>
      <c r="H3000" s="235">
        <v>44560.0</v>
      </c>
      <c r="J3000" s="108" t="str">
        <f>IF(LEFT(B3000,3)="Box","BOX","COUNT")</f>
        <v>BOX</v>
      </c>
      <c r="K3000" s="99">
        <f>SUMIF($J$4:$J$8712,$C3000,$D$4:$D$8712)</f>
        <v>38</v>
      </c>
      <c r="L3000" s="50">
        <f>SUMIF($J$4:$J$8712,$C3000,$F$4:$F$8712)</f>
        <v>4016.42</v>
      </c>
      <c r="M3000" s="50">
        <f>SUMIF($J$4:$J$8712,$C3000,$G$4:$G$8712)</f>
        <v>1004.105</v>
      </c>
      <c r="N3000" s="70" t="str">
        <f>C3000</f>
        <v>KL187108</v>
      </c>
      <c r="O3000" s="70" t="str">
        <f>J3001</f>
        <v>NSHIP</v>
      </c>
      <c r="P3000" s="68">
        <f>M3000</f>
        <v>1004.105</v>
      </c>
    </row>
    <row r="3001">
      <c r="A3001" s="211"/>
      <c r="B3001" s="231"/>
      <c r="C3001" s="109"/>
      <c r="D3001" s="109"/>
      <c r="E3001" s="116"/>
      <c r="F3001" s="116"/>
      <c r="G3001" s="116"/>
      <c r="H3001" s="109"/>
      <c r="J3001" s="108" t="str">
        <f>IF(B3001="","NSHIP","SHIP")</f>
        <v>NSHIP</v>
      </c>
      <c r="K3001" s="99">
        <f>IF($J3001="NSHIP",0,-SUMIF($J$4:$J$8712,$C3000,$D$4:$D$8712))</f>
        <v>0</v>
      </c>
      <c r="L3001" s="50">
        <f>IF($J3001="NSHIP",0,-SUMIF($J$4:$J$8710,$C3000,$F$4:$F$8710))</f>
        <v>0</v>
      </c>
      <c r="M3001" s="50">
        <f>IF($J3001="NSHIP",0,-SUMIF($J$4:$J$8710,$C3000,$G$4:$G$8710))</f>
        <v>0</v>
      </c>
      <c r="P3001" s="68"/>
    </row>
    <row r="3002">
      <c r="A3002" s="95">
        <v>1.9117032059E11</v>
      </c>
      <c r="B3002" s="151" t="s">
        <v>3371</v>
      </c>
      <c r="C3002" s="95" t="s">
        <v>97</v>
      </c>
      <c r="D3002" s="95">
        <v>1.0</v>
      </c>
      <c r="E3002" s="101">
        <v>59.0</v>
      </c>
      <c r="F3002" s="101">
        <f t="shared" ref="F3002:F3043" si="474">E3002*D3002</f>
        <v>59</v>
      </c>
      <c r="G3002" s="101">
        <f t="shared" ref="G3002:G3043" si="475">F3002/4</f>
        <v>14.75</v>
      </c>
      <c r="H3002" s="95" t="s">
        <v>645</v>
      </c>
      <c r="J3002" s="247" t="s">
        <v>3372</v>
      </c>
      <c r="K3002" s="89"/>
      <c r="L3002" s="90"/>
      <c r="M3002" s="90"/>
      <c r="P3002" s="68"/>
    </row>
    <row r="3003">
      <c r="A3003" s="95">
        <v>1.9183710978E11</v>
      </c>
      <c r="B3003" s="151" t="s">
        <v>3373</v>
      </c>
      <c r="C3003" s="95" t="s">
        <v>97</v>
      </c>
      <c r="D3003" s="95">
        <v>1.0</v>
      </c>
      <c r="E3003" s="101">
        <v>289.0</v>
      </c>
      <c r="F3003" s="101">
        <f t="shared" si="474"/>
        <v>289</v>
      </c>
      <c r="G3003" s="101">
        <f t="shared" si="475"/>
        <v>72.25</v>
      </c>
      <c r="H3003" s="95" t="s">
        <v>598</v>
      </c>
      <c r="J3003" s="247" t="s">
        <v>3372</v>
      </c>
      <c r="K3003" s="89"/>
      <c r="L3003" s="90"/>
      <c r="M3003" s="90"/>
      <c r="P3003" s="68"/>
    </row>
    <row r="3004">
      <c r="A3004" s="95">
        <v>1.9183712495E11</v>
      </c>
      <c r="B3004" s="151" t="s">
        <v>3374</v>
      </c>
      <c r="C3004" s="95" t="s">
        <v>97</v>
      </c>
      <c r="D3004" s="95">
        <v>1.0</v>
      </c>
      <c r="E3004" s="101">
        <v>119.0</v>
      </c>
      <c r="F3004" s="101">
        <f t="shared" si="474"/>
        <v>119</v>
      </c>
      <c r="G3004" s="101">
        <f t="shared" si="475"/>
        <v>29.75</v>
      </c>
      <c r="H3004" s="95" t="s">
        <v>162</v>
      </c>
      <c r="J3004" s="247" t="s">
        <v>3372</v>
      </c>
      <c r="K3004" s="89"/>
      <c r="L3004" s="90"/>
      <c r="M3004" s="90"/>
      <c r="P3004" s="68"/>
    </row>
    <row r="3005">
      <c r="A3005" s="95">
        <v>1.93277356724E11</v>
      </c>
      <c r="B3005" s="151" t="s">
        <v>3375</v>
      </c>
      <c r="C3005" s="95" t="s">
        <v>97</v>
      </c>
      <c r="D3005" s="95">
        <v>1.0</v>
      </c>
      <c r="E3005" s="101">
        <v>188.0</v>
      </c>
      <c r="F3005" s="101">
        <f t="shared" si="474"/>
        <v>188</v>
      </c>
      <c r="G3005" s="101">
        <f t="shared" si="475"/>
        <v>47</v>
      </c>
      <c r="H3005" s="95" t="s">
        <v>228</v>
      </c>
      <c r="J3005" s="247" t="s">
        <v>3372</v>
      </c>
      <c r="K3005" s="89"/>
      <c r="L3005" s="90"/>
      <c r="M3005" s="90"/>
      <c r="P3005" s="68"/>
    </row>
    <row r="3006">
      <c r="A3006" s="95">
        <v>1.93372130724E11</v>
      </c>
      <c r="B3006" s="151" t="s">
        <v>444</v>
      </c>
      <c r="C3006" s="95" t="s">
        <v>97</v>
      </c>
      <c r="D3006" s="95">
        <v>1.0</v>
      </c>
      <c r="E3006" s="101">
        <v>225.0</v>
      </c>
      <c r="F3006" s="101">
        <f t="shared" si="474"/>
        <v>225</v>
      </c>
      <c r="G3006" s="101">
        <f t="shared" si="475"/>
        <v>56.25</v>
      </c>
      <c r="H3006" s="95" t="s">
        <v>3376</v>
      </c>
      <c r="J3006" s="247" t="s">
        <v>3372</v>
      </c>
      <c r="K3006" s="89"/>
      <c r="L3006" s="90"/>
      <c r="M3006" s="90"/>
      <c r="P3006" s="68"/>
    </row>
    <row r="3007">
      <c r="A3007" s="95">
        <v>1.93465416575E11</v>
      </c>
      <c r="B3007" s="151" t="s">
        <v>3377</v>
      </c>
      <c r="C3007" s="95" t="s">
        <v>97</v>
      </c>
      <c r="D3007" s="95">
        <v>1.0</v>
      </c>
      <c r="E3007" s="101">
        <v>168.0</v>
      </c>
      <c r="F3007" s="101">
        <f t="shared" si="474"/>
        <v>168</v>
      </c>
      <c r="G3007" s="101">
        <f t="shared" si="475"/>
        <v>42</v>
      </c>
      <c r="H3007" s="95" t="s">
        <v>169</v>
      </c>
      <c r="J3007" s="247" t="s">
        <v>3372</v>
      </c>
      <c r="K3007" s="89"/>
      <c r="L3007" s="90"/>
      <c r="M3007" s="90"/>
      <c r="P3007" s="68"/>
    </row>
    <row r="3008">
      <c r="A3008" s="95">
        <v>1.94374006314E11</v>
      </c>
      <c r="B3008" s="151" t="s">
        <v>3378</v>
      </c>
      <c r="C3008" s="95" t="s">
        <v>97</v>
      </c>
      <c r="D3008" s="95">
        <v>1.0</v>
      </c>
      <c r="E3008" s="101">
        <v>68.0</v>
      </c>
      <c r="F3008" s="101">
        <f t="shared" si="474"/>
        <v>68</v>
      </c>
      <c r="G3008" s="101">
        <f t="shared" si="475"/>
        <v>17</v>
      </c>
      <c r="H3008" s="95" t="s">
        <v>169</v>
      </c>
      <c r="J3008" s="247" t="s">
        <v>3372</v>
      </c>
      <c r="K3008" s="89"/>
      <c r="L3008" s="90"/>
      <c r="M3008" s="90"/>
      <c r="P3008" s="68"/>
    </row>
    <row r="3009">
      <c r="A3009" s="95">
        <v>1.94374582832E11</v>
      </c>
      <c r="B3009" s="151" t="s">
        <v>3379</v>
      </c>
      <c r="C3009" s="95" t="s">
        <v>97</v>
      </c>
      <c r="D3009" s="95">
        <v>1.0</v>
      </c>
      <c r="E3009" s="101">
        <v>128.0</v>
      </c>
      <c r="F3009" s="101">
        <f t="shared" si="474"/>
        <v>128</v>
      </c>
      <c r="G3009" s="101">
        <f t="shared" si="475"/>
        <v>32</v>
      </c>
      <c r="H3009" s="95" t="s">
        <v>169</v>
      </c>
      <c r="J3009" s="247" t="s">
        <v>3372</v>
      </c>
      <c r="K3009" s="89"/>
      <c r="L3009" s="90"/>
      <c r="M3009" s="90"/>
      <c r="P3009" s="68"/>
    </row>
    <row r="3010">
      <c r="A3010" s="95">
        <v>1.94374604299E11</v>
      </c>
      <c r="B3010" s="151" t="s">
        <v>3380</v>
      </c>
      <c r="C3010" s="95" t="s">
        <v>97</v>
      </c>
      <c r="D3010" s="95">
        <v>1.0</v>
      </c>
      <c r="E3010" s="101">
        <v>68.0</v>
      </c>
      <c r="F3010" s="101">
        <f t="shared" si="474"/>
        <v>68</v>
      </c>
      <c r="G3010" s="101">
        <f t="shared" si="475"/>
        <v>17</v>
      </c>
      <c r="H3010" s="95" t="s">
        <v>169</v>
      </c>
      <c r="J3010" s="247" t="s">
        <v>3372</v>
      </c>
      <c r="K3010" s="89"/>
      <c r="L3010" s="90"/>
      <c r="M3010" s="90"/>
      <c r="P3010" s="68"/>
    </row>
    <row r="3011">
      <c r="A3011" s="95">
        <v>1.94374604565E11</v>
      </c>
      <c r="B3011" s="151" t="s">
        <v>3381</v>
      </c>
      <c r="C3011" s="95" t="s">
        <v>97</v>
      </c>
      <c r="D3011" s="95">
        <v>1.0</v>
      </c>
      <c r="E3011" s="101">
        <v>58.0</v>
      </c>
      <c r="F3011" s="101">
        <f t="shared" si="474"/>
        <v>58</v>
      </c>
      <c r="G3011" s="101">
        <f t="shared" si="475"/>
        <v>14.5</v>
      </c>
      <c r="H3011" s="95" t="s">
        <v>169</v>
      </c>
      <c r="J3011" s="247" t="s">
        <v>3372</v>
      </c>
      <c r="K3011" s="89"/>
      <c r="L3011" s="90"/>
      <c r="M3011" s="90"/>
      <c r="P3011" s="68"/>
    </row>
    <row r="3012">
      <c r="A3012" s="95">
        <v>1.94374606422E11</v>
      </c>
      <c r="B3012" s="151" t="s">
        <v>3382</v>
      </c>
      <c r="C3012" s="95" t="s">
        <v>97</v>
      </c>
      <c r="D3012" s="95">
        <v>1.0</v>
      </c>
      <c r="E3012" s="101">
        <v>58.0</v>
      </c>
      <c r="F3012" s="101">
        <f t="shared" si="474"/>
        <v>58</v>
      </c>
      <c r="G3012" s="101">
        <f t="shared" si="475"/>
        <v>14.5</v>
      </c>
      <c r="H3012" s="95" t="s">
        <v>169</v>
      </c>
      <c r="J3012" s="247" t="s">
        <v>3372</v>
      </c>
      <c r="K3012" s="89"/>
      <c r="L3012" s="90"/>
      <c r="M3012" s="90"/>
      <c r="P3012" s="68"/>
    </row>
    <row r="3013">
      <c r="A3013" s="95">
        <v>1.94374664408E11</v>
      </c>
      <c r="B3013" s="151" t="s">
        <v>3383</v>
      </c>
      <c r="C3013" s="95" t="s">
        <v>97</v>
      </c>
      <c r="D3013" s="95">
        <v>1.0</v>
      </c>
      <c r="E3013" s="101">
        <v>78.0</v>
      </c>
      <c r="F3013" s="101">
        <f t="shared" si="474"/>
        <v>78</v>
      </c>
      <c r="G3013" s="101">
        <f t="shared" si="475"/>
        <v>19.5</v>
      </c>
      <c r="H3013" s="95" t="s">
        <v>169</v>
      </c>
      <c r="J3013" s="247" t="s">
        <v>3372</v>
      </c>
      <c r="K3013" s="89"/>
      <c r="L3013" s="90"/>
      <c r="M3013" s="90"/>
      <c r="P3013" s="68"/>
    </row>
    <row r="3014">
      <c r="A3014" s="95">
        <v>1.94540186024E11</v>
      </c>
      <c r="B3014" s="151" t="s">
        <v>3384</v>
      </c>
      <c r="C3014" s="95" t="s">
        <v>97</v>
      </c>
      <c r="D3014" s="95">
        <v>1.0</v>
      </c>
      <c r="E3014" s="101">
        <v>125.0</v>
      </c>
      <c r="F3014" s="101">
        <f t="shared" si="474"/>
        <v>125</v>
      </c>
      <c r="G3014" s="101">
        <f t="shared" si="475"/>
        <v>31.25</v>
      </c>
      <c r="H3014" s="95" t="s">
        <v>196</v>
      </c>
      <c r="J3014" s="247" t="s">
        <v>3372</v>
      </c>
      <c r="K3014" s="89"/>
      <c r="L3014" s="90"/>
      <c r="M3014" s="90"/>
      <c r="P3014" s="68"/>
    </row>
    <row r="3015">
      <c r="A3015" s="95">
        <v>1.94540226935E11</v>
      </c>
      <c r="B3015" s="151" t="s">
        <v>3385</v>
      </c>
      <c r="C3015" s="95" t="s">
        <v>97</v>
      </c>
      <c r="D3015" s="95">
        <v>1.0</v>
      </c>
      <c r="E3015" s="101">
        <v>125.0</v>
      </c>
      <c r="F3015" s="101">
        <f t="shared" si="474"/>
        <v>125</v>
      </c>
      <c r="G3015" s="101">
        <f t="shared" si="475"/>
        <v>31.25</v>
      </c>
      <c r="H3015" s="95" t="s">
        <v>196</v>
      </c>
      <c r="J3015" s="247" t="s">
        <v>3372</v>
      </c>
      <c r="K3015" s="89"/>
      <c r="L3015" s="90"/>
      <c r="M3015" s="90"/>
      <c r="P3015" s="68"/>
    </row>
    <row r="3016">
      <c r="A3016" s="95">
        <v>1.94540918205E11</v>
      </c>
      <c r="B3016" s="151" t="s">
        <v>3386</v>
      </c>
      <c r="C3016" s="95" t="s">
        <v>97</v>
      </c>
      <c r="D3016" s="95">
        <v>1.0</v>
      </c>
      <c r="E3016" s="101">
        <v>125.0</v>
      </c>
      <c r="F3016" s="101">
        <f t="shared" si="474"/>
        <v>125</v>
      </c>
      <c r="G3016" s="101">
        <f t="shared" si="475"/>
        <v>31.25</v>
      </c>
      <c r="H3016" s="95" t="s">
        <v>196</v>
      </c>
      <c r="J3016" s="247" t="s">
        <v>3372</v>
      </c>
      <c r="K3016" s="89"/>
      <c r="L3016" s="90"/>
      <c r="M3016" s="90"/>
      <c r="P3016" s="68"/>
    </row>
    <row r="3017">
      <c r="A3017" s="95">
        <v>1.9520348176E11</v>
      </c>
      <c r="B3017" s="151" t="s">
        <v>3387</v>
      </c>
      <c r="C3017" s="95" t="s">
        <v>97</v>
      </c>
      <c r="D3017" s="95">
        <v>1.0</v>
      </c>
      <c r="E3017" s="101">
        <v>69.0</v>
      </c>
      <c r="F3017" s="101">
        <f t="shared" si="474"/>
        <v>69</v>
      </c>
      <c r="G3017" s="101">
        <f t="shared" si="475"/>
        <v>17.25</v>
      </c>
      <c r="H3017" s="95" t="s">
        <v>3388</v>
      </c>
      <c r="J3017" s="247" t="s">
        <v>3372</v>
      </c>
      <c r="K3017" s="89"/>
      <c r="L3017" s="90"/>
      <c r="M3017" s="90"/>
      <c r="P3017" s="68"/>
    </row>
    <row r="3018">
      <c r="A3018" s="95">
        <v>6.35273525099E11</v>
      </c>
      <c r="B3018" s="151" t="s">
        <v>3389</v>
      </c>
      <c r="C3018" s="95" t="s">
        <v>97</v>
      </c>
      <c r="D3018" s="95">
        <v>1.0</v>
      </c>
      <c r="E3018" s="101">
        <v>69.0</v>
      </c>
      <c r="F3018" s="101">
        <f t="shared" si="474"/>
        <v>69</v>
      </c>
      <c r="G3018" s="101">
        <f t="shared" si="475"/>
        <v>17.25</v>
      </c>
      <c r="H3018" s="95" t="s">
        <v>3390</v>
      </c>
      <c r="J3018" s="247" t="s">
        <v>3372</v>
      </c>
      <c r="K3018" s="89"/>
      <c r="L3018" s="90"/>
      <c r="M3018" s="90"/>
      <c r="P3018" s="68"/>
    </row>
    <row r="3019">
      <c r="A3019" s="95">
        <v>6.4443236664E11</v>
      </c>
      <c r="B3019" s="151" t="s">
        <v>3391</v>
      </c>
      <c r="C3019" s="95" t="s">
        <v>97</v>
      </c>
      <c r="D3019" s="95">
        <v>1.0</v>
      </c>
      <c r="E3019" s="101">
        <v>269.0</v>
      </c>
      <c r="F3019" s="101">
        <f t="shared" si="474"/>
        <v>269</v>
      </c>
      <c r="G3019" s="101">
        <f t="shared" si="475"/>
        <v>67.25</v>
      </c>
      <c r="H3019" s="95" t="s">
        <v>3392</v>
      </c>
      <c r="J3019" s="247" t="s">
        <v>3372</v>
      </c>
      <c r="K3019" s="89"/>
      <c r="L3019" s="90"/>
      <c r="M3019" s="90"/>
      <c r="P3019" s="68"/>
    </row>
    <row r="3020">
      <c r="A3020" s="95">
        <v>7.07762278882E11</v>
      </c>
      <c r="B3020" s="151" t="s">
        <v>3393</v>
      </c>
      <c r="C3020" s="95" t="s">
        <v>97</v>
      </c>
      <c r="D3020" s="95">
        <v>1.0</v>
      </c>
      <c r="E3020" s="101">
        <v>149.0</v>
      </c>
      <c r="F3020" s="101">
        <f t="shared" si="474"/>
        <v>149</v>
      </c>
      <c r="G3020" s="101">
        <f t="shared" si="475"/>
        <v>37.25</v>
      </c>
      <c r="H3020" s="95" t="s">
        <v>566</v>
      </c>
      <c r="J3020" s="247" t="s">
        <v>3372</v>
      </c>
      <c r="K3020" s="89"/>
      <c r="L3020" s="90"/>
      <c r="M3020" s="90"/>
      <c r="P3020" s="68"/>
    </row>
    <row r="3021">
      <c r="A3021" s="95">
        <v>7.07762395473E11</v>
      </c>
      <c r="B3021" s="151" t="s">
        <v>3218</v>
      </c>
      <c r="C3021" s="95" t="s">
        <v>97</v>
      </c>
      <c r="D3021" s="95">
        <v>1.0</v>
      </c>
      <c r="E3021" s="101">
        <v>149.0</v>
      </c>
      <c r="F3021" s="101">
        <f t="shared" si="474"/>
        <v>149</v>
      </c>
      <c r="G3021" s="101">
        <f t="shared" si="475"/>
        <v>37.25</v>
      </c>
      <c r="H3021" s="95" t="s">
        <v>3219</v>
      </c>
      <c r="J3021" s="247" t="s">
        <v>3372</v>
      </c>
      <c r="K3021" s="89"/>
      <c r="L3021" s="90"/>
      <c r="M3021" s="90"/>
      <c r="P3021" s="68"/>
    </row>
    <row r="3022">
      <c r="A3022" s="95">
        <v>7.32997570005E11</v>
      </c>
      <c r="B3022" s="151" t="s">
        <v>3394</v>
      </c>
      <c r="C3022" s="95" t="s">
        <v>97</v>
      </c>
      <c r="D3022" s="95">
        <v>1.0</v>
      </c>
      <c r="E3022" s="101">
        <v>59.5</v>
      </c>
      <c r="F3022" s="101">
        <f t="shared" si="474"/>
        <v>59.5</v>
      </c>
      <c r="G3022" s="101">
        <f t="shared" si="475"/>
        <v>14.875</v>
      </c>
      <c r="H3022" s="95" t="s">
        <v>402</v>
      </c>
      <c r="J3022" s="247" t="s">
        <v>3372</v>
      </c>
      <c r="K3022" s="89"/>
      <c r="L3022" s="90"/>
      <c r="M3022" s="90"/>
      <c r="P3022" s="68"/>
    </row>
    <row r="3023">
      <c r="A3023" s="95">
        <v>7.3299861786E11</v>
      </c>
      <c r="B3023" s="151" t="s">
        <v>3395</v>
      </c>
      <c r="C3023" s="95" t="s">
        <v>97</v>
      </c>
      <c r="D3023" s="95">
        <v>1.0</v>
      </c>
      <c r="E3023" s="101">
        <v>64.5</v>
      </c>
      <c r="F3023" s="101">
        <f t="shared" si="474"/>
        <v>64.5</v>
      </c>
      <c r="G3023" s="101">
        <f t="shared" si="475"/>
        <v>16.125</v>
      </c>
      <c r="H3023" s="95" t="s">
        <v>402</v>
      </c>
      <c r="J3023" s="247" t="s">
        <v>3372</v>
      </c>
      <c r="K3023" s="89"/>
      <c r="L3023" s="90"/>
      <c r="M3023" s="90"/>
      <c r="P3023" s="68"/>
    </row>
    <row r="3024">
      <c r="A3024" s="95">
        <v>7.32998617877E11</v>
      </c>
      <c r="B3024" s="151" t="s">
        <v>3396</v>
      </c>
      <c r="C3024" s="95" t="s">
        <v>97</v>
      </c>
      <c r="D3024" s="95">
        <v>1.0</v>
      </c>
      <c r="E3024" s="101">
        <v>64.5</v>
      </c>
      <c r="F3024" s="101">
        <f t="shared" si="474"/>
        <v>64.5</v>
      </c>
      <c r="G3024" s="101">
        <f t="shared" si="475"/>
        <v>16.125</v>
      </c>
      <c r="H3024" s="95" t="s">
        <v>402</v>
      </c>
      <c r="J3024" s="247" t="s">
        <v>3372</v>
      </c>
      <c r="K3024" s="89"/>
      <c r="L3024" s="90"/>
      <c r="M3024" s="90"/>
      <c r="P3024" s="68"/>
    </row>
    <row r="3025">
      <c r="A3025" s="95">
        <v>7.33001273998E11</v>
      </c>
      <c r="B3025" s="151" t="s">
        <v>3103</v>
      </c>
      <c r="C3025" s="95" t="s">
        <v>97</v>
      </c>
      <c r="D3025" s="95">
        <v>1.0</v>
      </c>
      <c r="E3025" s="101">
        <v>59.5</v>
      </c>
      <c r="F3025" s="101">
        <f t="shared" si="474"/>
        <v>59.5</v>
      </c>
      <c r="G3025" s="101">
        <f t="shared" si="475"/>
        <v>14.875</v>
      </c>
      <c r="H3025" s="95" t="s">
        <v>193</v>
      </c>
      <c r="J3025" s="247" t="s">
        <v>3372</v>
      </c>
      <c r="K3025" s="89"/>
      <c r="L3025" s="90"/>
      <c r="M3025" s="90"/>
      <c r="P3025" s="68"/>
    </row>
    <row r="3026">
      <c r="A3026" s="95">
        <v>7.33001274193E11</v>
      </c>
      <c r="B3026" s="151" t="s">
        <v>3397</v>
      </c>
      <c r="C3026" s="95" t="s">
        <v>97</v>
      </c>
      <c r="D3026" s="95">
        <v>2.0</v>
      </c>
      <c r="E3026" s="101">
        <v>59.5</v>
      </c>
      <c r="F3026" s="101">
        <f t="shared" si="474"/>
        <v>119</v>
      </c>
      <c r="G3026" s="101">
        <f t="shared" si="475"/>
        <v>29.75</v>
      </c>
      <c r="H3026" s="95" t="s">
        <v>193</v>
      </c>
      <c r="J3026" s="247" t="s">
        <v>3372</v>
      </c>
      <c r="K3026" s="89"/>
      <c r="L3026" s="90"/>
      <c r="M3026" s="90"/>
      <c r="P3026" s="68"/>
    </row>
    <row r="3027">
      <c r="A3027" s="95">
        <v>7.33001736486E11</v>
      </c>
      <c r="B3027" s="151" t="s">
        <v>3398</v>
      </c>
      <c r="C3027" s="95" t="s">
        <v>97</v>
      </c>
      <c r="D3027" s="95">
        <v>1.0</v>
      </c>
      <c r="E3027" s="101">
        <v>79.5</v>
      </c>
      <c r="F3027" s="101">
        <f t="shared" si="474"/>
        <v>79.5</v>
      </c>
      <c r="G3027" s="101">
        <f t="shared" si="475"/>
        <v>19.875</v>
      </c>
      <c r="H3027" s="95" t="s">
        <v>402</v>
      </c>
      <c r="J3027" s="247" t="s">
        <v>3372</v>
      </c>
      <c r="K3027" s="89"/>
      <c r="L3027" s="90"/>
      <c r="M3027" s="90"/>
      <c r="P3027" s="68"/>
    </row>
    <row r="3028">
      <c r="A3028" s="95">
        <v>7.33001760238E11</v>
      </c>
      <c r="B3028" s="151" t="s">
        <v>3399</v>
      </c>
      <c r="C3028" s="95" t="s">
        <v>97</v>
      </c>
      <c r="D3028" s="95">
        <v>1.0</v>
      </c>
      <c r="E3028" s="101">
        <v>29.5</v>
      </c>
      <c r="F3028" s="101">
        <f t="shared" si="474"/>
        <v>29.5</v>
      </c>
      <c r="G3028" s="101">
        <f t="shared" si="475"/>
        <v>7.375</v>
      </c>
      <c r="H3028" s="95" t="s">
        <v>193</v>
      </c>
      <c r="J3028" s="247" t="s">
        <v>3372</v>
      </c>
      <c r="K3028" s="89"/>
      <c r="L3028" s="90"/>
      <c r="M3028" s="90"/>
      <c r="P3028" s="68"/>
    </row>
    <row r="3029">
      <c r="A3029" s="95">
        <v>7.33001760429E11</v>
      </c>
      <c r="B3029" s="151" t="s">
        <v>3400</v>
      </c>
      <c r="C3029" s="95" t="s">
        <v>97</v>
      </c>
      <c r="D3029" s="95">
        <v>1.0</v>
      </c>
      <c r="E3029" s="101">
        <v>29.5</v>
      </c>
      <c r="F3029" s="101">
        <f t="shared" si="474"/>
        <v>29.5</v>
      </c>
      <c r="G3029" s="101">
        <f t="shared" si="475"/>
        <v>7.375</v>
      </c>
      <c r="H3029" s="95" t="s">
        <v>193</v>
      </c>
      <c r="J3029" s="247" t="s">
        <v>3372</v>
      </c>
      <c r="K3029" s="89"/>
      <c r="L3029" s="90"/>
      <c r="M3029" s="90"/>
      <c r="P3029" s="68"/>
    </row>
    <row r="3030">
      <c r="A3030" s="95">
        <v>7.33001783756E11</v>
      </c>
      <c r="B3030" s="151" t="s">
        <v>3401</v>
      </c>
      <c r="C3030" s="95" t="s">
        <v>97</v>
      </c>
      <c r="D3030" s="95">
        <v>1.0</v>
      </c>
      <c r="E3030" s="101">
        <v>69.5</v>
      </c>
      <c r="F3030" s="101">
        <f t="shared" si="474"/>
        <v>69.5</v>
      </c>
      <c r="G3030" s="101">
        <f t="shared" si="475"/>
        <v>17.375</v>
      </c>
      <c r="H3030" s="95" t="s">
        <v>402</v>
      </c>
      <c r="J3030" s="247" t="s">
        <v>3372</v>
      </c>
      <c r="K3030" s="89"/>
      <c r="L3030" s="90"/>
      <c r="M3030" s="90"/>
      <c r="P3030" s="68"/>
    </row>
    <row r="3031">
      <c r="A3031" s="95">
        <v>7.33001903826E11</v>
      </c>
      <c r="B3031" s="151" t="s">
        <v>3198</v>
      </c>
      <c r="C3031" s="95" t="s">
        <v>97</v>
      </c>
      <c r="D3031" s="95">
        <v>1.0</v>
      </c>
      <c r="E3031" s="101">
        <v>69.5</v>
      </c>
      <c r="F3031" s="101">
        <f t="shared" si="474"/>
        <v>69.5</v>
      </c>
      <c r="G3031" s="101">
        <f t="shared" si="475"/>
        <v>17.375</v>
      </c>
      <c r="H3031" s="95" t="s">
        <v>402</v>
      </c>
      <c r="J3031" s="247" t="s">
        <v>3372</v>
      </c>
      <c r="K3031" s="89"/>
      <c r="L3031" s="90"/>
      <c r="M3031" s="90"/>
      <c r="P3031" s="68"/>
    </row>
    <row r="3032">
      <c r="A3032" s="95">
        <v>7.33001922117E11</v>
      </c>
      <c r="B3032" s="151" t="s">
        <v>3402</v>
      </c>
      <c r="C3032" s="95" t="s">
        <v>97</v>
      </c>
      <c r="D3032" s="95">
        <v>1.0</v>
      </c>
      <c r="E3032" s="101">
        <v>69.5</v>
      </c>
      <c r="F3032" s="101">
        <f t="shared" si="474"/>
        <v>69.5</v>
      </c>
      <c r="G3032" s="101">
        <f t="shared" si="475"/>
        <v>17.375</v>
      </c>
      <c r="H3032" s="95" t="s">
        <v>402</v>
      </c>
      <c r="J3032" s="247" t="s">
        <v>3372</v>
      </c>
      <c r="K3032" s="89"/>
      <c r="L3032" s="90"/>
      <c r="M3032" s="90"/>
      <c r="P3032" s="68"/>
    </row>
    <row r="3033">
      <c r="A3033" s="95">
        <v>7.33002022434E11</v>
      </c>
      <c r="B3033" s="151" t="s">
        <v>3403</v>
      </c>
      <c r="C3033" s="95" t="s">
        <v>97</v>
      </c>
      <c r="D3033" s="95">
        <v>1.0</v>
      </c>
      <c r="E3033" s="101">
        <v>59.5</v>
      </c>
      <c r="F3033" s="101">
        <f t="shared" si="474"/>
        <v>59.5</v>
      </c>
      <c r="G3033" s="101">
        <f t="shared" si="475"/>
        <v>14.875</v>
      </c>
      <c r="H3033" s="95" t="s">
        <v>415</v>
      </c>
      <c r="J3033" s="247" t="s">
        <v>3372</v>
      </c>
      <c r="K3033" s="89"/>
      <c r="L3033" s="90"/>
      <c r="M3033" s="90"/>
      <c r="P3033" s="68"/>
    </row>
    <row r="3034">
      <c r="A3034" s="95">
        <v>7.33002168293E11</v>
      </c>
      <c r="B3034" s="151" t="s">
        <v>3404</v>
      </c>
      <c r="C3034" s="95" t="s">
        <v>97</v>
      </c>
      <c r="D3034" s="95">
        <v>1.0</v>
      </c>
      <c r="E3034" s="101">
        <v>59.5</v>
      </c>
      <c r="F3034" s="101">
        <f t="shared" si="474"/>
        <v>59.5</v>
      </c>
      <c r="G3034" s="101">
        <f t="shared" si="475"/>
        <v>14.875</v>
      </c>
      <c r="H3034" s="95" t="s">
        <v>402</v>
      </c>
      <c r="J3034" s="247" t="s">
        <v>3372</v>
      </c>
      <c r="K3034" s="89"/>
      <c r="L3034" s="90"/>
      <c r="M3034" s="90"/>
      <c r="P3034" s="68"/>
    </row>
    <row r="3035">
      <c r="A3035" s="95">
        <v>7.49709923752E11</v>
      </c>
      <c r="B3035" s="151" t="s">
        <v>3405</v>
      </c>
      <c r="C3035" s="95" t="s">
        <v>97</v>
      </c>
      <c r="D3035" s="95">
        <v>1.0</v>
      </c>
      <c r="E3035" s="101">
        <v>229.0</v>
      </c>
      <c r="F3035" s="101">
        <f t="shared" si="474"/>
        <v>229</v>
      </c>
      <c r="G3035" s="101">
        <f t="shared" si="475"/>
        <v>57.25</v>
      </c>
      <c r="H3035" s="95" t="s">
        <v>484</v>
      </c>
      <c r="J3035" s="247" t="s">
        <v>3372</v>
      </c>
      <c r="K3035" s="89"/>
      <c r="L3035" s="90"/>
      <c r="M3035" s="90"/>
      <c r="P3035" s="68"/>
    </row>
    <row r="3036">
      <c r="A3036" s="95">
        <v>7.92831337812E11</v>
      </c>
      <c r="B3036" s="151" t="s">
        <v>3406</v>
      </c>
      <c r="C3036" s="95" t="s">
        <v>97</v>
      </c>
      <c r="D3036" s="95">
        <v>1.0</v>
      </c>
      <c r="E3036" s="101">
        <v>65.0</v>
      </c>
      <c r="F3036" s="101">
        <f t="shared" si="474"/>
        <v>65</v>
      </c>
      <c r="G3036" s="101">
        <f t="shared" si="475"/>
        <v>16.25</v>
      </c>
      <c r="H3036" s="95" t="s">
        <v>3407</v>
      </c>
      <c r="J3036" s="247" t="s">
        <v>3372</v>
      </c>
      <c r="K3036" s="89"/>
      <c r="L3036" s="90"/>
      <c r="M3036" s="90"/>
      <c r="P3036" s="68"/>
    </row>
    <row r="3037">
      <c r="A3037" s="95">
        <v>7.94795126105E11</v>
      </c>
      <c r="B3037" s="151" t="s">
        <v>3408</v>
      </c>
      <c r="C3037" s="95" t="s">
        <v>97</v>
      </c>
      <c r="D3037" s="95">
        <v>1.0</v>
      </c>
      <c r="E3037" s="101">
        <v>198.0</v>
      </c>
      <c r="F3037" s="101">
        <f t="shared" si="474"/>
        <v>198</v>
      </c>
      <c r="G3037" s="101">
        <f t="shared" si="475"/>
        <v>49.5</v>
      </c>
      <c r="H3037" s="95" t="s">
        <v>422</v>
      </c>
      <c r="J3037" s="247" t="s">
        <v>3372</v>
      </c>
      <c r="K3037" s="89"/>
      <c r="L3037" s="90"/>
      <c r="M3037" s="90"/>
      <c r="P3037" s="68"/>
    </row>
    <row r="3038">
      <c r="A3038" s="95">
        <v>8.83806035625E11</v>
      </c>
      <c r="B3038" s="151" t="s">
        <v>764</v>
      </c>
      <c r="C3038" s="95" t="s">
        <v>97</v>
      </c>
      <c r="D3038" s="95">
        <v>1.0</v>
      </c>
      <c r="E3038" s="101">
        <v>185.0</v>
      </c>
      <c r="F3038" s="101">
        <f t="shared" si="474"/>
        <v>185</v>
      </c>
      <c r="G3038" s="101">
        <f t="shared" si="475"/>
        <v>46.25</v>
      </c>
      <c r="H3038" s="95" t="s">
        <v>198</v>
      </c>
      <c r="J3038" s="247" t="s">
        <v>3372</v>
      </c>
      <c r="K3038" s="89"/>
      <c r="L3038" s="90"/>
      <c r="M3038" s="90"/>
      <c r="P3038" s="68"/>
    </row>
    <row r="3039">
      <c r="A3039" s="95">
        <v>8.83806166732E11</v>
      </c>
      <c r="B3039" s="151" t="s">
        <v>3409</v>
      </c>
      <c r="C3039" s="95" t="s">
        <v>97</v>
      </c>
      <c r="D3039" s="95">
        <v>1.0</v>
      </c>
      <c r="E3039" s="101">
        <v>109.0</v>
      </c>
      <c r="F3039" s="101">
        <f t="shared" si="474"/>
        <v>109</v>
      </c>
      <c r="G3039" s="101">
        <f t="shared" si="475"/>
        <v>27.25</v>
      </c>
      <c r="H3039" s="95" t="s">
        <v>196</v>
      </c>
      <c r="J3039" s="247" t="s">
        <v>3372</v>
      </c>
      <c r="K3039" s="89"/>
      <c r="L3039" s="90"/>
      <c r="M3039" s="90"/>
      <c r="P3039" s="68"/>
    </row>
    <row r="3040">
      <c r="A3040" s="95">
        <v>8.8409402717E11</v>
      </c>
      <c r="B3040" s="151" t="s">
        <v>3410</v>
      </c>
      <c r="C3040" s="95" t="s">
        <v>97</v>
      </c>
      <c r="D3040" s="95">
        <v>1.0</v>
      </c>
      <c r="E3040" s="101">
        <v>175.0</v>
      </c>
      <c r="F3040" s="101">
        <f t="shared" si="474"/>
        <v>175</v>
      </c>
      <c r="G3040" s="101">
        <f t="shared" si="475"/>
        <v>43.75</v>
      </c>
      <c r="H3040" s="95" t="s">
        <v>196</v>
      </c>
      <c r="J3040" s="247" t="s">
        <v>3372</v>
      </c>
      <c r="K3040" s="89"/>
      <c r="L3040" s="90"/>
      <c r="M3040" s="90"/>
      <c r="P3040" s="68"/>
    </row>
    <row r="3041">
      <c r="A3041" s="95">
        <v>8.84094027637E11</v>
      </c>
      <c r="B3041" s="151" t="s">
        <v>3319</v>
      </c>
      <c r="C3041" s="95" t="s">
        <v>97</v>
      </c>
      <c r="D3041" s="95">
        <v>1.0</v>
      </c>
      <c r="E3041" s="101">
        <v>125.0</v>
      </c>
      <c r="F3041" s="101">
        <f t="shared" si="474"/>
        <v>125</v>
      </c>
      <c r="G3041" s="101">
        <f t="shared" si="475"/>
        <v>31.25</v>
      </c>
      <c r="H3041" s="95" t="s">
        <v>198</v>
      </c>
      <c r="J3041" s="247" t="s">
        <v>3372</v>
      </c>
      <c r="K3041" s="89"/>
      <c r="L3041" s="90"/>
      <c r="M3041" s="90"/>
      <c r="P3041" s="68"/>
    </row>
    <row r="3042">
      <c r="A3042" s="95">
        <v>8.84094262342E11</v>
      </c>
      <c r="B3042" s="151" t="s">
        <v>3321</v>
      </c>
      <c r="C3042" s="95" t="s">
        <v>97</v>
      </c>
      <c r="D3042" s="95">
        <v>1.0</v>
      </c>
      <c r="E3042" s="101">
        <v>165.0</v>
      </c>
      <c r="F3042" s="101">
        <f t="shared" si="474"/>
        <v>165</v>
      </c>
      <c r="G3042" s="101">
        <f t="shared" si="475"/>
        <v>41.25</v>
      </c>
      <c r="H3042" s="95" t="s">
        <v>198</v>
      </c>
      <c r="J3042" s="247" t="s">
        <v>3372</v>
      </c>
      <c r="K3042" s="89"/>
      <c r="L3042" s="90"/>
      <c r="M3042" s="90"/>
      <c r="P3042" s="68"/>
    </row>
    <row r="3043">
      <c r="A3043" s="95">
        <v>8.87840361771E11</v>
      </c>
      <c r="B3043" s="151" t="s">
        <v>3411</v>
      </c>
      <c r="C3043" s="95" t="s">
        <v>97</v>
      </c>
      <c r="D3043" s="95">
        <v>1.0</v>
      </c>
      <c r="E3043" s="101">
        <v>59.0</v>
      </c>
      <c r="F3043" s="101">
        <f t="shared" si="474"/>
        <v>59</v>
      </c>
      <c r="G3043" s="101">
        <f t="shared" si="475"/>
        <v>14.75</v>
      </c>
      <c r="H3043" s="95" t="s">
        <v>486</v>
      </c>
      <c r="J3043" s="247" t="s">
        <v>3372</v>
      </c>
      <c r="K3043" s="89"/>
      <c r="L3043" s="90"/>
      <c r="M3043" s="90"/>
      <c r="P3043" s="68"/>
    </row>
    <row r="3044">
      <c r="A3044" s="211"/>
      <c r="B3044" s="231" t="s">
        <v>3412</v>
      </c>
      <c r="C3044" s="234" t="str">
        <f>MID($B3044,6,8)</f>
        <v>KL187109</v>
      </c>
      <c r="D3044" s="231"/>
      <c r="E3044" s="231"/>
      <c r="F3044" s="231"/>
      <c r="G3044" s="231"/>
      <c r="H3044" s="235">
        <v>44560.0</v>
      </c>
      <c r="J3044" s="108" t="str">
        <f>IF(LEFT(B3044,3)="Box","BOX","COUNT")</f>
        <v>BOX</v>
      </c>
      <c r="K3044" s="99">
        <f>SUMIF($J$4:$J$8712,$C3044,$D$4:$D$8712)</f>
        <v>43</v>
      </c>
      <c r="L3044" s="50">
        <f>SUMIF($J$4:$J$8712,$C3044,$F$4:$F$8712)</f>
        <v>4729</v>
      </c>
      <c r="M3044" s="50">
        <f>SUMIF($J$4:$J$8712,$C3044,$G$4:$G$8712)</f>
        <v>1182.25</v>
      </c>
      <c r="N3044" s="70" t="str">
        <f>C3044</f>
        <v>KL187109</v>
      </c>
      <c r="O3044" s="70" t="str">
        <f>J3045</f>
        <v>NSHIP</v>
      </c>
      <c r="P3044" s="68">
        <f>M3044</f>
        <v>1182.25</v>
      </c>
    </row>
    <row r="3045">
      <c r="A3045" s="211"/>
      <c r="B3045" s="231"/>
      <c r="C3045" s="109"/>
      <c r="D3045" s="109"/>
      <c r="E3045" s="116"/>
      <c r="F3045" s="116"/>
      <c r="G3045" s="116"/>
      <c r="H3045" s="109"/>
      <c r="J3045" s="108" t="str">
        <f>IF(B3045="","NSHIP","SHIP")</f>
        <v>NSHIP</v>
      </c>
      <c r="K3045" s="99">
        <f>IF($J3045="NSHIP",0,-SUMIF($J$4:$J$8712,$C3044,$D$4:$D$8712))</f>
        <v>0</v>
      </c>
      <c r="L3045" s="50">
        <f>IF($J3045="NSHIP",0,-SUMIF($J$4:$J$8710,$C3044,$F$4:$F$8710))</f>
        <v>0</v>
      </c>
      <c r="M3045" s="50">
        <f>IF($J3045="NSHIP",0,-SUMIF($J$4:$J$8710,$C3044,$G$4:$G$8710))</f>
        <v>0</v>
      </c>
      <c r="P3045" s="68"/>
    </row>
    <row r="3046">
      <c r="A3046" s="95">
        <v>1.93372130717E11</v>
      </c>
      <c r="B3046" s="151" t="s">
        <v>3413</v>
      </c>
      <c r="C3046" s="95" t="s">
        <v>97</v>
      </c>
      <c r="D3046" s="95">
        <v>1.0</v>
      </c>
      <c r="E3046" s="101">
        <v>225.0</v>
      </c>
      <c r="F3046" s="101">
        <f t="shared" ref="F3046:F3092" si="476">E3046*D3046</f>
        <v>225</v>
      </c>
      <c r="G3046" s="101">
        <f t="shared" ref="G3046:G3092" si="477">F3046/4</f>
        <v>56.25</v>
      </c>
      <c r="H3046" s="95" t="s">
        <v>444</v>
      </c>
      <c r="J3046" s="247" t="s">
        <v>3414</v>
      </c>
      <c r="K3046" s="89"/>
      <c r="L3046" s="90"/>
      <c r="M3046" s="90"/>
      <c r="P3046" s="68"/>
    </row>
    <row r="3047">
      <c r="A3047" s="95">
        <v>1.93372183133E11</v>
      </c>
      <c r="B3047" s="151" t="s">
        <v>3415</v>
      </c>
      <c r="C3047" s="95" t="s">
        <v>97</v>
      </c>
      <c r="D3047" s="95">
        <v>1.0</v>
      </c>
      <c r="E3047" s="101">
        <v>195.0</v>
      </c>
      <c r="F3047" s="101">
        <f t="shared" si="476"/>
        <v>195</v>
      </c>
      <c r="G3047" s="101">
        <f t="shared" si="477"/>
        <v>48.75</v>
      </c>
      <c r="H3047" s="95" t="s">
        <v>444</v>
      </c>
      <c r="J3047" s="247" t="s">
        <v>3414</v>
      </c>
      <c r="K3047" s="89"/>
      <c r="L3047" s="90"/>
      <c r="M3047" s="90"/>
      <c r="P3047" s="68"/>
    </row>
    <row r="3048">
      <c r="A3048" s="95">
        <v>1.9348152519E11</v>
      </c>
      <c r="B3048" s="151" t="s">
        <v>3416</v>
      </c>
      <c r="C3048" s="95" t="s">
        <v>97</v>
      </c>
      <c r="D3048" s="95">
        <v>1.0</v>
      </c>
      <c r="E3048" s="101">
        <v>118.0</v>
      </c>
      <c r="F3048" s="101">
        <f t="shared" si="476"/>
        <v>118</v>
      </c>
      <c r="G3048" s="101">
        <f t="shared" si="477"/>
        <v>29.5</v>
      </c>
      <c r="H3048" s="95" t="s">
        <v>379</v>
      </c>
      <c r="J3048" s="247" t="s">
        <v>3414</v>
      </c>
      <c r="K3048" s="89"/>
      <c r="L3048" s="90"/>
      <c r="M3048" s="90"/>
      <c r="P3048" s="68"/>
    </row>
    <row r="3049">
      <c r="A3049" s="95">
        <v>1.93653243839E11</v>
      </c>
      <c r="B3049" s="151" t="s">
        <v>3417</v>
      </c>
      <c r="C3049" s="95" t="s">
        <v>97</v>
      </c>
      <c r="D3049" s="95">
        <v>1.0</v>
      </c>
      <c r="E3049" s="101">
        <v>188.0</v>
      </c>
      <c r="F3049" s="101">
        <f t="shared" si="476"/>
        <v>188</v>
      </c>
      <c r="G3049" s="101">
        <f t="shared" si="477"/>
        <v>47</v>
      </c>
      <c r="H3049" s="95" t="s">
        <v>381</v>
      </c>
      <c r="J3049" s="247" t="s">
        <v>3414</v>
      </c>
      <c r="K3049" s="89"/>
      <c r="L3049" s="90"/>
      <c r="M3049" s="90"/>
      <c r="P3049" s="68"/>
    </row>
    <row r="3050">
      <c r="A3050" s="95">
        <v>1.94374047843E11</v>
      </c>
      <c r="B3050" s="151" t="s">
        <v>3418</v>
      </c>
      <c r="C3050" s="95" t="s">
        <v>97</v>
      </c>
      <c r="D3050" s="95">
        <v>1.0</v>
      </c>
      <c r="E3050" s="101">
        <v>108.0</v>
      </c>
      <c r="F3050" s="101">
        <f t="shared" si="476"/>
        <v>108</v>
      </c>
      <c r="G3050" s="101">
        <f t="shared" si="477"/>
        <v>27</v>
      </c>
      <c r="H3050" s="95" t="s">
        <v>169</v>
      </c>
      <c r="J3050" s="247" t="s">
        <v>3414</v>
      </c>
      <c r="K3050" s="89"/>
      <c r="L3050" s="90"/>
      <c r="M3050" s="90"/>
      <c r="P3050" s="68"/>
    </row>
    <row r="3051">
      <c r="A3051" s="95">
        <v>1.94374177441E11</v>
      </c>
      <c r="B3051" s="151" t="s">
        <v>3419</v>
      </c>
      <c r="C3051" s="95" t="s">
        <v>97</v>
      </c>
      <c r="D3051" s="95">
        <v>1.0</v>
      </c>
      <c r="E3051" s="101">
        <v>168.0</v>
      </c>
      <c r="F3051" s="101">
        <f t="shared" si="476"/>
        <v>168</v>
      </c>
      <c r="G3051" s="101">
        <f t="shared" si="477"/>
        <v>42</v>
      </c>
      <c r="H3051" s="95" t="s">
        <v>169</v>
      </c>
      <c r="J3051" s="247" t="s">
        <v>3414</v>
      </c>
      <c r="K3051" s="89"/>
      <c r="L3051" s="90"/>
      <c r="M3051" s="90"/>
      <c r="P3051" s="68"/>
    </row>
    <row r="3052">
      <c r="A3052" s="95">
        <v>1.94540185973E11</v>
      </c>
      <c r="B3052" s="151" t="s">
        <v>3384</v>
      </c>
      <c r="C3052" s="95" t="s">
        <v>97</v>
      </c>
      <c r="D3052" s="95">
        <v>1.0</v>
      </c>
      <c r="E3052" s="101">
        <v>125.0</v>
      </c>
      <c r="F3052" s="101">
        <f t="shared" si="476"/>
        <v>125</v>
      </c>
      <c r="G3052" s="101">
        <f t="shared" si="477"/>
        <v>31.25</v>
      </c>
      <c r="H3052" s="95" t="s">
        <v>196</v>
      </c>
      <c r="J3052" s="247" t="s">
        <v>3414</v>
      </c>
      <c r="K3052" s="89"/>
      <c r="L3052" s="90"/>
      <c r="M3052" s="90"/>
      <c r="P3052" s="68"/>
    </row>
    <row r="3053">
      <c r="A3053" s="95">
        <v>1.94949036807E11</v>
      </c>
      <c r="B3053" s="151" t="s">
        <v>3420</v>
      </c>
      <c r="C3053" s="95" t="s">
        <v>97</v>
      </c>
      <c r="D3053" s="95">
        <v>1.0</v>
      </c>
      <c r="E3053" s="101">
        <v>19.99</v>
      </c>
      <c r="F3053" s="101">
        <f t="shared" si="476"/>
        <v>19.99</v>
      </c>
      <c r="G3053" s="101">
        <f t="shared" si="477"/>
        <v>4.9975</v>
      </c>
      <c r="H3053" s="95" t="s">
        <v>3421</v>
      </c>
      <c r="J3053" s="247" t="s">
        <v>3414</v>
      </c>
      <c r="K3053" s="89"/>
      <c r="L3053" s="90"/>
      <c r="M3053" s="90"/>
      <c r="P3053" s="68"/>
    </row>
    <row r="3054">
      <c r="A3054" s="95">
        <v>1.95203166407E11</v>
      </c>
      <c r="B3054" s="151" t="s">
        <v>3422</v>
      </c>
      <c r="C3054" s="95" t="s">
        <v>97</v>
      </c>
      <c r="D3054" s="95">
        <v>1.0</v>
      </c>
      <c r="E3054" s="101">
        <v>69.0</v>
      </c>
      <c r="F3054" s="101">
        <f t="shared" si="476"/>
        <v>69</v>
      </c>
      <c r="G3054" s="101">
        <f t="shared" si="477"/>
        <v>17.25</v>
      </c>
      <c r="H3054" s="95" t="s">
        <v>3423</v>
      </c>
      <c r="J3054" s="247" t="s">
        <v>3414</v>
      </c>
      <c r="K3054" s="89"/>
      <c r="L3054" s="90"/>
      <c r="M3054" s="90"/>
      <c r="P3054" s="68"/>
    </row>
    <row r="3055">
      <c r="A3055" s="95">
        <v>6.89886110616E11</v>
      </c>
      <c r="B3055" s="151" t="s">
        <v>3424</v>
      </c>
      <c r="C3055" s="95" t="s">
        <v>97</v>
      </c>
      <c r="D3055" s="95">
        <v>1.0</v>
      </c>
      <c r="E3055" s="101">
        <v>188.0</v>
      </c>
      <c r="F3055" s="101">
        <f t="shared" si="476"/>
        <v>188</v>
      </c>
      <c r="G3055" s="101">
        <f t="shared" si="477"/>
        <v>47</v>
      </c>
      <c r="H3055" s="95" t="s">
        <v>2083</v>
      </c>
      <c r="J3055" s="247" t="s">
        <v>3414</v>
      </c>
      <c r="K3055" s="89"/>
      <c r="L3055" s="90"/>
      <c r="M3055" s="90"/>
      <c r="P3055" s="68"/>
    </row>
    <row r="3056">
      <c r="A3056" s="95">
        <v>7.06256492209E11</v>
      </c>
      <c r="B3056" s="151" t="s">
        <v>3425</v>
      </c>
      <c r="C3056" s="95" t="s">
        <v>97</v>
      </c>
      <c r="D3056" s="95">
        <v>1.0</v>
      </c>
      <c r="E3056" s="101">
        <v>69.5</v>
      </c>
      <c r="F3056" s="101">
        <f t="shared" si="476"/>
        <v>69.5</v>
      </c>
      <c r="G3056" s="101">
        <f t="shared" si="477"/>
        <v>17.375</v>
      </c>
      <c r="H3056" s="95" t="s">
        <v>402</v>
      </c>
      <c r="J3056" s="247" t="s">
        <v>3414</v>
      </c>
      <c r="K3056" s="89"/>
      <c r="L3056" s="90"/>
      <c r="M3056" s="90"/>
      <c r="P3056" s="68"/>
    </row>
    <row r="3057">
      <c r="A3057" s="95">
        <v>7.07762193376E11</v>
      </c>
      <c r="B3057" s="151" t="s">
        <v>3426</v>
      </c>
      <c r="C3057" s="95" t="s">
        <v>97</v>
      </c>
      <c r="D3057" s="95">
        <v>1.0</v>
      </c>
      <c r="E3057" s="101">
        <v>119.0</v>
      </c>
      <c r="F3057" s="101">
        <f t="shared" si="476"/>
        <v>119</v>
      </c>
      <c r="G3057" s="101">
        <f t="shared" si="477"/>
        <v>29.75</v>
      </c>
      <c r="H3057" s="95" t="s">
        <v>614</v>
      </c>
      <c r="J3057" s="247" t="s">
        <v>3414</v>
      </c>
      <c r="K3057" s="89"/>
      <c r="L3057" s="90"/>
      <c r="M3057" s="90"/>
      <c r="P3057" s="68"/>
    </row>
    <row r="3058">
      <c r="A3058" s="95">
        <v>7.08008630518E11</v>
      </c>
      <c r="B3058" s="151" t="s">
        <v>3427</v>
      </c>
      <c r="C3058" s="95" t="s">
        <v>97</v>
      </c>
      <c r="D3058" s="95">
        <v>1.0</v>
      </c>
      <c r="E3058" s="101">
        <v>59.0</v>
      </c>
      <c r="F3058" s="101">
        <f t="shared" si="476"/>
        <v>59</v>
      </c>
      <c r="G3058" s="101">
        <f t="shared" si="477"/>
        <v>14.75</v>
      </c>
      <c r="H3058" s="95" t="s">
        <v>189</v>
      </c>
      <c r="J3058" s="247" t="s">
        <v>3414</v>
      </c>
      <c r="K3058" s="89"/>
      <c r="L3058" s="90"/>
      <c r="M3058" s="90"/>
      <c r="P3058" s="68"/>
    </row>
    <row r="3059">
      <c r="A3059" s="95">
        <v>7.08008678831E11</v>
      </c>
      <c r="B3059" s="151" t="s">
        <v>3428</v>
      </c>
      <c r="C3059" s="95" t="s">
        <v>97</v>
      </c>
      <c r="D3059" s="95">
        <v>1.0</v>
      </c>
      <c r="E3059" s="101">
        <v>59.0</v>
      </c>
      <c r="F3059" s="101">
        <f t="shared" si="476"/>
        <v>59</v>
      </c>
      <c r="G3059" s="101">
        <f t="shared" si="477"/>
        <v>14.75</v>
      </c>
      <c r="H3059" s="95" t="s">
        <v>3175</v>
      </c>
      <c r="J3059" s="247" t="s">
        <v>3414</v>
      </c>
      <c r="K3059" s="89"/>
      <c r="L3059" s="90"/>
      <c r="M3059" s="90"/>
      <c r="P3059" s="68"/>
    </row>
    <row r="3060">
      <c r="A3060" s="95">
        <v>7.08008687376E11</v>
      </c>
      <c r="B3060" s="151" t="s">
        <v>3429</v>
      </c>
      <c r="C3060" s="95" t="s">
        <v>97</v>
      </c>
      <c r="D3060" s="95">
        <v>1.0</v>
      </c>
      <c r="E3060" s="101">
        <v>149.0</v>
      </c>
      <c r="F3060" s="101">
        <f t="shared" si="476"/>
        <v>149</v>
      </c>
      <c r="G3060" s="101">
        <f t="shared" si="477"/>
        <v>37.25</v>
      </c>
      <c r="H3060" s="95" t="s">
        <v>3175</v>
      </c>
      <c r="J3060" s="247" t="s">
        <v>3414</v>
      </c>
      <c r="K3060" s="89"/>
      <c r="L3060" s="90"/>
      <c r="M3060" s="90"/>
      <c r="P3060" s="68"/>
    </row>
    <row r="3061">
      <c r="A3061" s="95">
        <v>7.32994170581E11</v>
      </c>
      <c r="B3061" s="151" t="s">
        <v>3430</v>
      </c>
      <c r="C3061" s="95" t="s">
        <v>97</v>
      </c>
      <c r="D3061" s="95">
        <v>1.0</v>
      </c>
      <c r="E3061" s="101">
        <v>79.5</v>
      </c>
      <c r="F3061" s="101">
        <f t="shared" si="476"/>
        <v>79.5</v>
      </c>
      <c r="G3061" s="101">
        <f t="shared" si="477"/>
        <v>19.875</v>
      </c>
      <c r="H3061" s="95" t="s">
        <v>400</v>
      </c>
      <c r="J3061" s="247" t="s">
        <v>3414</v>
      </c>
      <c r="K3061" s="89"/>
      <c r="L3061" s="90"/>
      <c r="M3061" s="90"/>
      <c r="P3061" s="68"/>
    </row>
    <row r="3062">
      <c r="A3062" s="95">
        <v>7.32998483755E11</v>
      </c>
      <c r="B3062" s="151" t="s">
        <v>3431</v>
      </c>
      <c r="C3062" s="95" t="s">
        <v>97</v>
      </c>
      <c r="D3062" s="95">
        <v>1.0</v>
      </c>
      <c r="E3062" s="101">
        <v>59.5</v>
      </c>
      <c r="F3062" s="101">
        <f t="shared" si="476"/>
        <v>59.5</v>
      </c>
      <c r="G3062" s="101">
        <f t="shared" si="477"/>
        <v>14.875</v>
      </c>
      <c r="H3062" s="95" t="s">
        <v>193</v>
      </c>
      <c r="J3062" s="247" t="s">
        <v>3414</v>
      </c>
      <c r="K3062" s="89"/>
      <c r="L3062" s="90"/>
      <c r="M3062" s="90"/>
      <c r="P3062" s="68"/>
    </row>
    <row r="3063">
      <c r="A3063" s="95">
        <v>7.32999289974E11</v>
      </c>
      <c r="B3063" s="151" t="s">
        <v>3432</v>
      </c>
      <c r="C3063" s="95" t="s">
        <v>97</v>
      </c>
      <c r="D3063" s="95">
        <v>1.0</v>
      </c>
      <c r="E3063" s="101">
        <v>59.5</v>
      </c>
      <c r="F3063" s="101">
        <f t="shared" si="476"/>
        <v>59.5</v>
      </c>
      <c r="G3063" s="101">
        <f t="shared" si="477"/>
        <v>14.875</v>
      </c>
      <c r="H3063" s="95" t="s">
        <v>402</v>
      </c>
      <c r="J3063" s="247" t="s">
        <v>3414</v>
      </c>
      <c r="K3063" s="89"/>
      <c r="L3063" s="90"/>
      <c r="M3063" s="90"/>
      <c r="P3063" s="68"/>
    </row>
    <row r="3064">
      <c r="A3064" s="95">
        <v>7.32999655854E11</v>
      </c>
      <c r="B3064" s="151" t="s">
        <v>3433</v>
      </c>
      <c r="C3064" s="95" t="s">
        <v>97</v>
      </c>
      <c r="D3064" s="95">
        <v>2.0</v>
      </c>
      <c r="E3064" s="101">
        <v>59.5</v>
      </c>
      <c r="F3064" s="101">
        <f t="shared" si="476"/>
        <v>119</v>
      </c>
      <c r="G3064" s="101">
        <f t="shared" si="477"/>
        <v>29.75</v>
      </c>
      <c r="H3064" s="95" t="s">
        <v>402</v>
      </c>
      <c r="J3064" s="247" t="s">
        <v>3414</v>
      </c>
      <c r="K3064" s="89"/>
      <c r="L3064" s="90"/>
      <c r="M3064" s="90"/>
      <c r="P3064" s="68"/>
    </row>
    <row r="3065">
      <c r="A3065" s="95">
        <v>7.33001233398E11</v>
      </c>
      <c r="B3065" s="151" t="s">
        <v>3434</v>
      </c>
      <c r="C3065" s="95" t="s">
        <v>97</v>
      </c>
      <c r="D3065" s="95">
        <v>1.0</v>
      </c>
      <c r="E3065" s="101">
        <v>59.5</v>
      </c>
      <c r="F3065" s="101">
        <f t="shared" si="476"/>
        <v>59.5</v>
      </c>
      <c r="G3065" s="101">
        <f t="shared" si="477"/>
        <v>14.875</v>
      </c>
      <c r="H3065" s="95" t="s">
        <v>193</v>
      </c>
      <c r="J3065" s="247" t="s">
        <v>3414</v>
      </c>
      <c r="K3065" s="89"/>
      <c r="L3065" s="90"/>
      <c r="M3065" s="90"/>
      <c r="P3065" s="68"/>
    </row>
    <row r="3066">
      <c r="A3066" s="95">
        <v>7.33001274131E11</v>
      </c>
      <c r="B3066" s="151" t="s">
        <v>3269</v>
      </c>
      <c r="C3066" s="95" t="s">
        <v>97</v>
      </c>
      <c r="D3066" s="95">
        <v>1.0</v>
      </c>
      <c r="E3066" s="101">
        <v>59.5</v>
      </c>
      <c r="F3066" s="101">
        <f t="shared" si="476"/>
        <v>59.5</v>
      </c>
      <c r="G3066" s="101">
        <f t="shared" si="477"/>
        <v>14.875</v>
      </c>
      <c r="H3066" s="95" t="s">
        <v>193</v>
      </c>
      <c r="J3066" s="247" t="s">
        <v>3414</v>
      </c>
      <c r="K3066" s="89"/>
      <c r="L3066" s="90"/>
      <c r="M3066" s="90"/>
      <c r="P3066" s="68"/>
    </row>
    <row r="3067">
      <c r="A3067" s="95">
        <v>7.33001274193E11</v>
      </c>
      <c r="B3067" s="151" t="s">
        <v>3397</v>
      </c>
      <c r="C3067" s="95" t="s">
        <v>97</v>
      </c>
      <c r="D3067" s="95">
        <v>1.0</v>
      </c>
      <c r="E3067" s="101">
        <v>59.5</v>
      </c>
      <c r="F3067" s="101">
        <f t="shared" si="476"/>
        <v>59.5</v>
      </c>
      <c r="G3067" s="101">
        <f t="shared" si="477"/>
        <v>14.875</v>
      </c>
      <c r="H3067" s="95" t="s">
        <v>193</v>
      </c>
      <c r="J3067" s="247" t="s">
        <v>3414</v>
      </c>
      <c r="K3067" s="89"/>
      <c r="L3067" s="90"/>
      <c r="M3067" s="90"/>
      <c r="P3067" s="68"/>
    </row>
    <row r="3068">
      <c r="A3068" s="95">
        <v>7.33001407584E11</v>
      </c>
      <c r="B3068" s="151" t="s">
        <v>3435</v>
      </c>
      <c r="C3068" s="95" t="s">
        <v>97</v>
      </c>
      <c r="D3068" s="95">
        <v>1.0</v>
      </c>
      <c r="E3068" s="101">
        <v>59.5</v>
      </c>
      <c r="F3068" s="101">
        <f t="shared" si="476"/>
        <v>59.5</v>
      </c>
      <c r="G3068" s="101">
        <f t="shared" si="477"/>
        <v>14.875</v>
      </c>
      <c r="H3068" s="95" t="s">
        <v>402</v>
      </c>
      <c r="J3068" s="247" t="s">
        <v>3414</v>
      </c>
      <c r="K3068" s="89"/>
      <c r="L3068" s="90"/>
      <c r="M3068" s="90"/>
      <c r="P3068" s="68"/>
    </row>
    <row r="3069">
      <c r="A3069" s="95">
        <v>7.33001413202E11</v>
      </c>
      <c r="B3069" s="151" t="s">
        <v>3436</v>
      </c>
      <c r="C3069" s="95" t="s">
        <v>97</v>
      </c>
      <c r="D3069" s="95">
        <v>1.0</v>
      </c>
      <c r="E3069" s="101">
        <v>34.5</v>
      </c>
      <c r="F3069" s="101">
        <f t="shared" si="476"/>
        <v>34.5</v>
      </c>
      <c r="G3069" s="101">
        <f t="shared" si="477"/>
        <v>8.625</v>
      </c>
      <c r="H3069" s="95" t="s">
        <v>415</v>
      </c>
      <c r="J3069" s="247" t="s">
        <v>3414</v>
      </c>
      <c r="K3069" s="89"/>
      <c r="L3069" s="90"/>
      <c r="M3069" s="90"/>
      <c r="P3069" s="68"/>
    </row>
    <row r="3070">
      <c r="A3070" s="95">
        <v>7.33001498957E11</v>
      </c>
      <c r="B3070" s="151" t="s">
        <v>3437</v>
      </c>
      <c r="C3070" s="95" t="s">
        <v>97</v>
      </c>
      <c r="D3070" s="95">
        <v>1.0</v>
      </c>
      <c r="E3070" s="101">
        <v>39.5</v>
      </c>
      <c r="F3070" s="101">
        <f t="shared" si="476"/>
        <v>39.5</v>
      </c>
      <c r="G3070" s="101">
        <f t="shared" si="477"/>
        <v>9.875</v>
      </c>
      <c r="H3070" s="95" t="s">
        <v>402</v>
      </c>
      <c r="J3070" s="247" t="s">
        <v>3414</v>
      </c>
      <c r="K3070" s="89"/>
      <c r="L3070" s="90"/>
      <c r="M3070" s="90"/>
      <c r="P3070" s="68"/>
    </row>
    <row r="3071">
      <c r="A3071" s="95">
        <v>7.33001521433E11</v>
      </c>
      <c r="B3071" s="151" t="s">
        <v>3438</v>
      </c>
      <c r="C3071" s="95" t="s">
        <v>97</v>
      </c>
      <c r="D3071" s="95">
        <v>1.0</v>
      </c>
      <c r="E3071" s="101">
        <v>99.5</v>
      </c>
      <c r="F3071" s="101">
        <f t="shared" si="476"/>
        <v>99.5</v>
      </c>
      <c r="G3071" s="101">
        <f t="shared" si="477"/>
        <v>24.875</v>
      </c>
      <c r="H3071" s="95" t="s">
        <v>415</v>
      </c>
      <c r="J3071" s="247" t="s">
        <v>3414</v>
      </c>
      <c r="K3071" s="89"/>
      <c r="L3071" s="90"/>
      <c r="M3071" s="90"/>
      <c r="P3071" s="68"/>
    </row>
    <row r="3072">
      <c r="A3072" s="95">
        <v>7.33001738299E11</v>
      </c>
      <c r="B3072" s="151" t="s">
        <v>3439</v>
      </c>
      <c r="C3072" s="95" t="s">
        <v>97</v>
      </c>
      <c r="D3072" s="95">
        <v>1.0</v>
      </c>
      <c r="E3072" s="101">
        <v>79.5</v>
      </c>
      <c r="F3072" s="101">
        <f t="shared" si="476"/>
        <v>79.5</v>
      </c>
      <c r="G3072" s="101">
        <f t="shared" si="477"/>
        <v>19.875</v>
      </c>
      <c r="H3072" s="95" t="s">
        <v>402</v>
      </c>
      <c r="J3072" s="247" t="s">
        <v>3414</v>
      </c>
      <c r="K3072" s="89"/>
      <c r="L3072" s="90"/>
      <c r="M3072" s="90"/>
      <c r="P3072" s="68"/>
    </row>
    <row r="3073">
      <c r="A3073" s="95">
        <v>7.3300174065E11</v>
      </c>
      <c r="B3073" s="151" t="s">
        <v>3440</v>
      </c>
      <c r="C3073" s="95" t="s">
        <v>97</v>
      </c>
      <c r="D3073" s="95">
        <v>1.0</v>
      </c>
      <c r="E3073" s="101">
        <v>79.5</v>
      </c>
      <c r="F3073" s="101">
        <f t="shared" si="476"/>
        <v>79.5</v>
      </c>
      <c r="G3073" s="101">
        <f t="shared" si="477"/>
        <v>19.875</v>
      </c>
      <c r="H3073" s="95" t="s">
        <v>402</v>
      </c>
      <c r="J3073" s="247" t="s">
        <v>3414</v>
      </c>
      <c r="K3073" s="89"/>
      <c r="L3073" s="90"/>
      <c r="M3073" s="90"/>
      <c r="P3073" s="68"/>
    </row>
    <row r="3074">
      <c r="A3074" s="95">
        <v>7.33001760429E11</v>
      </c>
      <c r="B3074" s="151" t="s">
        <v>3400</v>
      </c>
      <c r="C3074" s="95" t="s">
        <v>97</v>
      </c>
      <c r="D3074" s="95">
        <v>1.0</v>
      </c>
      <c r="E3074" s="101">
        <v>29.5</v>
      </c>
      <c r="F3074" s="101">
        <f t="shared" si="476"/>
        <v>29.5</v>
      </c>
      <c r="G3074" s="101">
        <f t="shared" si="477"/>
        <v>7.375</v>
      </c>
      <c r="H3074" s="95" t="s">
        <v>193</v>
      </c>
      <c r="J3074" s="247" t="s">
        <v>3414</v>
      </c>
      <c r="K3074" s="89"/>
      <c r="L3074" s="90"/>
      <c r="M3074" s="90"/>
      <c r="P3074" s="68"/>
    </row>
    <row r="3075">
      <c r="A3075" s="95">
        <v>7.33001768814E11</v>
      </c>
      <c r="B3075" s="151" t="s">
        <v>3441</v>
      </c>
      <c r="C3075" s="95" t="s">
        <v>97</v>
      </c>
      <c r="D3075" s="95">
        <v>1.0</v>
      </c>
      <c r="E3075" s="101">
        <v>79.5</v>
      </c>
      <c r="F3075" s="101">
        <f t="shared" si="476"/>
        <v>79.5</v>
      </c>
      <c r="G3075" s="101">
        <f t="shared" si="477"/>
        <v>19.875</v>
      </c>
      <c r="H3075" s="95" t="s">
        <v>193</v>
      </c>
      <c r="J3075" s="247" t="s">
        <v>3414</v>
      </c>
      <c r="K3075" s="89"/>
      <c r="L3075" s="90"/>
      <c r="M3075" s="90"/>
      <c r="P3075" s="68"/>
    </row>
    <row r="3076">
      <c r="A3076" s="95">
        <v>7.33001783732E11</v>
      </c>
      <c r="B3076" s="151" t="s">
        <v>3442</v>
      </c>
      <c r="C3076" s="95" t="s">
        <v>97</v>
      </c>
      <c r="D3076" s="95">
        <v>1.0</v>
      </c>
      <c r="E3076" s="101">
        <v>69.5</v>
      </c>
      <c r="F3076" s="101">
        <f t="shared" si="476"/>
        <v>69.5</v>
      </c>
      <c r="G3076" s="101">
        <f t="shared" si="477"/>
        <v>17.375</v>
      </c>
      <c r="H3076" s="95" t="s">
        <v>402</v>
      </c>
      <c r="J3076" s="247" t="s">
        <v>3414</v>
      </c>
      <c r="K3076" s="89"/>
      <c r="L3076" s="90"/>
      <c r="M3076" s="90"/>
      <c r="P3076" s="68"/>
    </row>
    <row r="3077">
      <c r="A3077" s="95">
        <v>7.33001783763E11</v>
      </c>
      <c r="B3077" s="151" t="s">
        <v>3443</v>
      </c>
      <c r="C3077" s="95" t="s">
        <v>97</v>
      </c>
      <c r="D3077" s="95">
        <v>1.0</v>
      </c>
      <c r="E3077" s="101">
        <v>69.5</v>
      </c>
      <c r="F3077" s="101">
        <f t="shared" si="476"/>
        <v>69.5</v>
      </c>
      <c r="G3077" s="101">
        <f t="shared" si="477"/>
        <v>17.375</v>
      </c>
      <c r="H3077" s="95" t="s">
        <v>402</v>
      </c>
      <c r="J3077" s="247" t="s">
        <v>3414</v>
      </c>
      <c r="K3077" s="89"/>
      <c r="L3077" s="90"/>
      <c r="M3077" s="90"/>
      <c r="P3077" s="68"/>
    </row>
    <row r="3078">
      <c r="A3078" s="95">
        <v>7.33001809128E11</v>
      </c>
      <c r="B3078" s="151" t="s">
        <v>3444</v>
      </c>
      <c r="C3078" s="95" t="s">
        <v>97</v>
      </c>
      <c r="D3078" s="95">
        <v>1.0</v>
      </c>
      <c r="E3078" s="101">
        <v>34.5</v>
      </c>
      <c r="F3078" s="101">
        <f t="shared" si="476"/>
        <v>34.5</v>
      </c>
      <c r="G3078" s="101">
        <f t="shared" si="477"/>
        <v>8.625</v>
      </c>
      <c r="H3078" s="95" t="s">
        <v>402</v>
      </c>
      <c r="J3078" s="247" t="s">
        <v>3414</v>
      </c>
      <c r="K3078" s="89"/>
      <c r="L3078" s="90"/>
      <c r="M3078" s="90"/>
      <c r="P3078" s="68"/>
    </row>
    <row r="3079">
      <c r="A3079" s="95">
        <v>7.33001841142E11</v>
      </c>
      <c r="B3079" s="151" t="s">
        <v>3445</v>
      </c>
      <c r="C3079" s="95" t="s">
        <v>97</v>
      </c>
      <c r="D3079" s="95">
        <v>1.0</v>
      </c>
      <c r="E3079" s="101">
        <v>89.5</v>
      </c>
      <c r="F3079" s="101">
        <f t="shared" si="476"/>
        <v>89.5</v>
      </c>
      <c r="G3079" s="101">
        <f t="shared" si="477"/>
        <v>22.375</v>
      </c>
      <c r="H3079" s="95" t="s">
        <v>400</v>
      </c>
      <c r="J3079" s="247" t="s">
        <v>3414</v>
      </c>
      <c r="K3079" s="89"/>
      <c r="L3079" s="90"/>
      <c r="M3079" s="90"/>
      <c r="P3079" s="68"/>
    </row>
    <row r="3080">
      <c r="A3080" s="95">
        <v>7.33001903956E11</v>
      </c>
      <c r="B3080" s="151" t="s">
        <v>3446</v>
      </c>
      <c r="C3080" s="95" t="s">
        <v>97</v>
      </c>
      <c r="D3080" s="95">
        <v>1.0</v>
      </c>
      <c r="E3080" s="101">
        <v>69.5</v>
      </c>
      <c r="F3080" s="101">
        <f t="shared" si="476"/>
        <v>69.5</v>
      </c>
      <c r="G3080" s="101">
        <f t="shared" si="477"/>
        <v>17.375</v>
      </c>
      <c r="H3080" s="95" t="s">
        <v>402</v>
      </c>
      <c r="J3080" s="247" t="s">
        <v>3414</v>
      </c>
      <c r="K3080" s="89"/>
      <c r="L3080" s="90"/>
      <c r="M3080" s="90"/>
      <c r="P3080" s="68"/>
    </row>
    <row r="3081">
      <c r="A3081" s="95">
        <v>7.3300191639E11</v>
      </c>
      <c r="B3081" s="151" t="s">
        <v>3447</v>
      </c>
      <c r="C3081" s="95" t="s">
        <v>97</v>
      </c>
      <c r="D3081" s="95">
        <v>1.0</v>
      </c>
      <c r="E3081" s="101">
        <v>59.5</v>
      </c>
      <c r="F3081" s="101">
        <f t="shared" si="476"/>
        <v>59.5</v>
      </c>
      <c r="G3081" s="101">
        <f t="shared" si="477"/>
        <v>14.875</v>
      </c>
      <c r="H3081" s="95" t="s">
        <v>193</v>
      </c>
      <c r="J3081" s="247" t="s">
        <v>3414</v>
      </c>
      <c r="K3081" s="89"/>
      <c r="L3081" s="90"/>
      <c r="M3081" s="90"/>
      <c r="P3081" s="68"/>
    </row>
    <row r="3082">
      <c r="A3082" s="95">
        <v>7.33001916581E11</v>
      </c>
      <c r="B3082" s="151" t="s">
        <v>3448</v>
      </c>
      <c r="C3082" s="95" t="s">
        <v>97</v>
      </c>
      <c r="D3082" s="95">
        <v>1.0</v>
      </c>
      <c r="E3082" s="101">
        <v>59.5</v>
      </c>
      <c r="F3082" s="101">
        <f t="shared" si="476"/>
        <v>59.5</v>
      </c>
      <c r="G3082" s="101">
        <f t="shared" si="477"/>
        <v>14.875</v>
      </c>
      <c r="H3082" s="95" t="s">
        <v>193</v>
      </c>
      <c r="J3082" s="247" t="s">
        <v>3414</v>
      </c>
      <c r="K3082" s="89"/>
      <c r="L3082" s="90"/>
      <c r="M3082" s="90"/>
      <c r="P3082" s="68"/>
    </row>
    <row r="3083">
      <c r="A3083" s="95">
        <v>7.33001916789E11</v>
      </c>
      <c r="B3083" s="151" t="s">
        <v>3117</v>
      </c>
      <c r="C3083" s="95" t="s">
        <v>97</v>
      </c>
      <c r="D3083" s="95">
        <v>1.0</v>
      </c>
      <c r="E3083" s="101">
        <v>59.5</v>
      </c>
      <c r="F3083" s="101">
        <f t="shared" si="476"/>
        <v>59.5</v>
      </c>
      <c r="G3083" s="101">
        <f t="shared" si="477"/>
        <v>14.875</v>
      </c>
      <c r="H3083" s="95" t="s">
        <v>193</v>
      </c>
      <c r="J3083" s="247" t="s">
        <v>3414</v>
      </c>
      <c r="K3083" s="89"/>
      <c r="L3083" s="90"/>
      <c r="M3083" s="90"/>
      <c r="P3083" s="68"/>
    </row>
    <row r="3084">
      <c r="A3084" s="95">
        <v>7.33001916833E11</v>
      </c>
      <c r="B3084" s="151" t="s">
        <v>3449</v>
      </c>
      <c r="C3084" s="95" t="s">
        <v>97</v>
      </c>
      <c r="D3084" s="95">
        <v>1.0</v>
      </c>
      <c r="E3084" s="101">
        <v>69.5</v>
      </c>
      <c r="F3084" s="101">
        <f t="shared" si="476"/>
        <v>69.5</v>
      </c>
      <c r="G3084" s="101">
        <f t="shared" si="477"/>
        <v>17.375</v>
      </c>
      <c r="H3084" s="95" t="s">
        <v>193</v>
      </c>
      <c r="J3084" s="247" t="s">
        <v>3414</v>
      </c>
      <c r="K3084" s="89"/>
      <c r="L3084" s="90"/>
      <c r="M3084" s="90"/>
      <c r="P3084" s="68"/>
    </row>
    <row r="3085">
      <c r="A3085" s="95">
        <v>7.33001916864E11</v>
      </c>
      <c r="B3085" s="151" t="s">
        <v>3159</v>
      </c>
      <c r="C3085" s="95" t="s">
        <v>97</v>
      </c>
      <c r="D3085" s="95">
        <v>1.0</v>
      </c>
      <c r="E3085" s="101">
        <v>69.5</v>
      </c>
      <c r="F3085" s="101">
        <f t="shared" si="476"/>
        <v>69.5</v>
      </c>
      <c r="G3085" s="101">
        <f t="shared" si="477"/>
        <v>17.375</v>
      </c>
      <c r="H3085" s="95" t="s">
        <v>193</v>
      </c>
      <c r="J3085" s="247" t="s">
        <v>3414</v>
      </c>
      <c r="K3085" s="89"/>
      <c r="L3085" s="90"/>
      <c r="M3085" s="90"/>
      <c r="P3085" s="68"/>
    </row>
    <row r="3086">
      <c r="A3086" s="95">
        <v>7.33002039074E11</v>
      </c>
      <c r="B3086" s="151" t="s">
        <v>3450</v>
      </c>
      <c r="C3086" s="95" t="s">
        <v>97</v>
      </c>
      <c r="D3086" s="95">
        <v>1.0</v>
      </c>
      <c r="E3086" s="101">
        <v>79.5</v>
      </c>
      <c r="F3086" s="101">
        <f t="shared" si="476"/>
        <v>79.5</v>
      </c>
      <c r="G3086" s="101">
        <f t="shared" si="477"/>
        <v>19.875</v>
      </c>
      <c r="H3086" s="95" t="s">
        <v>193</v>
      </c>
      <c r="J3086" s="247" t="s">
        <v>3414</v>
      </c>
      <c r="K3086" s="89"/>
      <c r="L3086" s="90"/>
      <c r="M3086" s="90"/>
      <c r="P3086" s="68"/>
    </row>
    <row r="3087">
      <c r="A3087" s="95">
        <v>7.33002054749E11</v>
      </c>
      <c r="B3087" s="151" t="s">
        <v>3451</v>
      </c>
      <c r="C3087" s="95" t="s">
        <v>97</v>
      </c>
      <c r="D3087" s="95">
        <v>1.0</v>
      </c>
      <c r="E3087" s="101">
        <v>59.5</v>
      </c>
      <c r="F3087" s="101">
        <f t="shared" si="476"/>
        <v>59.5</v>
      </c>
      <c r="G3087" s="101">
        <f t="shared" si="477"/>
        <v>14.875</v>
      </c>
      <c r="H3087" s="95" t="s">
        <v>193</v>
      </c>
      <c r="J3087" s="247" t="s">
        <v>3414</v>
      </c>
      <c r="K3087" s="89"/>
      <c r="L3087" s="90"/>
      <c r="M3087" s="90"/>
      <c r="P3087" s="68"/>
    </row>
    <row r="3088">
      <c r="A3088" s="95">
        <v>7.33002189618E11</v>
      </c>
      <c r="B3088" s="151" t="s">
        <v>3281</v>
      </c>
      <c r="C3088" s="95" t="s">
        <v>97</v>
      </c>
      <c r="D3088" s="95">
        <v>1.0</v>
      </c>
      <c r="E3088" s="101">
        <v>79.5</v>
      </c>
      <c r="F3088" s="101">
        <f t="shared" si="476"/>
        <v>79.5</v>
      </c>
      <c r="G3088" s="101">
        <f t="shared" si="477"/>
        <v>19.875</v>
      </c>
      <c r="H3088" s="95" t="s">
        <v>402</v>
      </c>
      <c r="J3088" s="247" t="s">
        <v>3414</v>
      </c>
      <c r="K3088" s="89"/>
      <c r="L3088" s="90"/>
      <c r="M3088" s="90"/>
      <c r="P3088" s="68"/>
    </row>
    <row r="3089">
      <c r="A3089" s="95">
        <v>7.33002389605E11</v>
      </c>
      <c r="B3089" s="151" t="s">
        <v>3452</v>
      </c>
      <c r="C3089" s="95" t="s">
        <v>97</v>
      </c>
      <c r="D3089" s="95">
        <v>1.0</v>
      </c>
      <c r="E3089" s="101">
        <v>59.5</v>
      </c>
      <c r="F3089" s="101">
        <f t="shared" si="476"/>
        <v>59.5</v>
      </c>
      <c r="G3089" s="101">
        <f t="shared" si="477"/>
        <v>14.875</v>
      </c>
      <c r="H3089" s="95" t="s">
        <v>402</v>
      </c>
      <c r="J3089" s="247" t="s">
        <v>3414</v>
      </c>
      <c r="K3089" s="89"/>
      <c r="L3089" s="90"/>
      <c r="M3089" s="90"/>
      <c r="P3089" s="68"/>
    </row>
    <row r="3090">
      <c r="A3090" s="95">
        <v>7.33002392001E11</v>
      </c>
      <c r="B3090" s="151" t="s">
        <v>3122</v>
      </c>
      <c r="C3090" s="95" t="s">
        <v>97</v>
      </c>
      <c r="D3090" s="95">
        <v>1.0</v>
      </c>
      <c r="E3090" s="101">
        <v>69.5</v>
      </c>
      <c r="F3090" s="101">
        <f t="shared" si="476"/>
        <v>69.5</v>
      </c>
      <c r="G3090" s="101">
        <f t="shared" si="477"/>
        <v>17.375</v>
      </c>
      <c r="H3090" s="95" t="s">
        <v>402</v>
      </c>
      <c r="J3090" s="247" t="s">
        <v>3414</v>
      </c>
      <c r="K3090" s="89"/>
      <c r="L3090" s="90"/>
      <c r="M3090" s="90"/>
      <c r="P3090" s="68"/>
    </row>
    <row r="3091">
      <c r="A3091" s="95">
        <v>7.33002392018E11</v>
      </c>
      <c r="B3091" s="151" t="s">
        <v>3453</v>
      </c>
      <c r="C3091" s="95" t="s">
        <v>97</v>
      </c>
      <c r="D3091" s="95">
        <v>1.0</v>
      </c>
      <c r="E3091" s="101">
        <v>69.5</v>
      </c>
      <c r="F3091" s="101">
        <f t="shared" si="476"/>
        <v>69.5</v>
      </c>
      <c r="G3091" s="101">
        <f t="shared" si="477"/>
        <v>17.375</v>
      </c>
      <c r="H3091" s="95" t="s">
        <v>402</v>
      </c>
      <c r="J3091" s="247" t="s">
        <v>3414</v>
      </c>
      <c r="K3091" s="89"/>
      <c r="L3091" s="90"/>
      <c r="M3091" s="90"/>
      <c r="P3091" s="68"/>
    </row>
    <row r="3092">
      <c r="A3092" s="95">
        <v>8.40055920683E11</v>
      </c>
      <c r="B3092" s="151" t="s">
        <v>3454</v>
      </c>
      <c r="C3092" s="95" t="s">
        <v>97</v>
      </c>
      <c r="D3092" s="95">
        <v>1.0</v>
      </c>
      <c r="E3092" s="101">
        <v>15.57</v>
      </c>
      <c r="F3092" s="101">
        <f t="shared" si="476"/>
        <v>15.57</v>
      </c>
      <c r="G3092" s="101">
        <f t="shared" si="477"/>
        <v>3.8925</v>
      </c>
      <c r="H3092" s="95" t="s">
        <v>3455</v>
      </c>
      <c r="J3092" s="247" t="s">
        <v>3414</v>
      </c>
      <c r="K3092" s="89"/>
      <c r="L3092" s="90"/>
      <c r="M3092" s="90"/>
      <c r="P3092" s="68"/>
    </row>
    <row r="3093">
      <c r="A3093" s="211"/>
      <c r="B3093" s="231" t="s">
        <v>3456</v>
      </c>
      <c r="C3093" s="234" t="str">
        <f>MID($B3093,6,8)</f>
        <v>KL187110</v>
      </c>
      <c r="D3093" s="231"/>
      <c r="E3093" s="231"/>
      <c r="F3093" s="231"/>
      <c r="G3093" s="231"/>
      <c r="H3093" s="235">
        <v>44560.0</v>
      </c>
      <c r="J3093" s="108" t="str">
        <f>IF(LEFT(B3093,3)="Box","BOX","COUNT")</f>
        <v>BOX</v>
      </c>
      <c r="K3093" s="99">
        <f>SUMIF($J$4:$J$8712,$C3093,$D$4:$D$8712)</f>
        <v>48</v>
      </c>
      <c r="L3093" s="50">
        <f>SUMIF($J$4:$J$8712,$C3093,$F$4:$F$8712)</f>
        <v>3939.06</v>
      </c>
      <c r="M3093" s="50">
        <f>SUMIF($J$4:$J$8712,$C3093,$G$4:$G$8712)</f>
        <v>984.765</v>
      </c>
      <c r="N3093" s="70" t="str">
        <f>C3093</f>
        <v>KL187110</v>
      </c>
      <c r="O3093" s="70" t="str">
        <f>J3094</f>
        <v>NSHIP</v>
      </c>
      <c r="P3093" s="68">
        <f>M3093</f>
        <v>984.765</v>
      </c>
    </row>
    <row r="3094">
      <c r="A3094" s="211"/>
      <c r="B3094" s="231"/>
      <c r="C3094" s="109"/>
      <c r="D3094" s="109"/>
      <c r="E3094" s="116"/>
      <c r="F3094" s="116"/>
      <c r="G3094" s="116"/>
      <c r="H3094" s="109"/>
      <c r="J3094" s="108" t="str">
        <f>IF(B3094="","NSHIP","SHIP")</f>
        <v>NSHIP</v>
      </c>
      <c r="K3094" s="99">
        <f>IF($J3094="NSHIP",0,-SUMIF($J$4:$J$8712,$C3093,$D$4:$D$8712))</f>
        <v>0</v>
      </c>
      <c r="L3094" s="50">
        <f>IF($J3094="NSHIP",0,-SUMIF($J$4:$J$8710,$C3093,$F$4:$F$8710))</f>
        <v>0</v>
      </c>
      <c r="M3094" s="50">
        <f>IF($J3094="NSHIP",0,-SUMIF($J$4:$J$8710,$C3093,$G$4:$G$8710))</f>
        <v>0</v>
      </c>
      <c r="P3094" s="68"/>
    </row>
    <row r="3095">
      <c r="A3095" s="95">
        <v>1.90744560561E11</v>
      </c>
      <c r="B3095" s="151" t="s">
        <v>3457</v>
      </c>
      <c r="C3095" s="95" t="s">
        <v>97</v>
      </c>
      <c r="D3095" s="95">
        <v>1.0</v>
      </c>
      <c r="E3095" s="101">
        <v>35.99</v>
      </c>
      <c r="F3095" s="101">
        <f t="shared" ref="F3095:F3138" si="478">E3095*D3095</f>
        <v>35.99</v>
      </c>
      <c r="G3095" s="101">
        <f t="shared" ref="G3095:G3138" si="479">F3095/4</f>
        <v>8.9975</v>
      </c>
      <c r="H3095" s="95" t="s">
        <v>550</v>
      </c>
      <c r="J3095" s="247" t="s">
        <v>3458</v>
      </c>
      <c r="K3095" s="89"/>
      <c r="L3095" s="90"/>
      <c r="M3095" s="90"/>
      <c r="P3095" s="68"/>
    </row>
    <row r="3096">
      <c r="A3096" s="95">
        <v>1.92648111368E11</v>
      </c>
      <c r="B3096" s="151" t="s">
        <v>3459</v>
      </c>
      <c r="C3096" s="95" t="s">
        <v>97</v>
      </c>
      <c r="D3096" s="95">
        <v>1.0</v>
      </c>
      <c r="E3096" s="101">
        <v>345.0</v>
      </c>
      <c r="F3096" s="101">
        <f t="shared" si="478"/>
        <v>345</v>
      </c>
      <c r="G3096" s="101">
        <f t="shared" si="479"/>
        <v>86.25</v>
      </c>
      <c r="H3096" s="95" t="s">
        <v>3292</v>
      </c>
      <c r="J3096" s="247" t="s">
        <v>3458</v>
      </c>
      <c r="K3096" s="89"/>
      <c r="L3096" s="90"/>
      <c r="M3096" s="90"/>
      <c r="P3096" s="68"/>
    </row>
    <row r="3097">
      <c r="A3097" s="95">
        <v>1.93372072161E11</v>
      </c>
      <c r="B3097" s="151" t="s">
        <v>3460</v>
      </c>
      <c r="C3097" s="95" t="s">
        <v>97</v>
      </c>
      <c r="D3097" s="95">
        <v>1.0</v>
      </c>
      <c r="E3097" s="101">
        <v>195.0</v>
      </c>
      <c r="F3097" s="101">
        <f t="shared" si="478"/>
        <v>195</v>
      </c>
      <c r="G3097" s="101">
        <f t="shared" si="479"/>
        <v>48.75</v>
      </c>
      <c r="H3097" s="95" t="s">
        <v>444</v>
      </c>
      <c r="J3097" s="247" t="s">
        <v>3458</v>
      </c>
      <c r="K3097" s="89"/>
      <c r="L3097" s="90"/>
      <c r="M3097" s="90"/>
      <c r="P3097" s="68"/>
    </row>
    <row r="3098">
      <c r="A3098" s="95">
        <v>1.93372147685E11</v>
      </c>
      <c r="B3098" s="151" t="s">
        <v>3461</v>
      </c>
      <c r="C3098" s="95" t="s">
        <v>97</v>
      </c>
      <c r="D3098" s="95">
        <v>1.0</v>
      </c>
      <c r="E3098" s="101">
        <v>195.0</v>
      </c>
      <c r="F3098" s="101">
        <f t="shared" si="478"/>
        <v>195</v>
      </c>
      <c r="G3098" s="101">
        <f t="shared" si="479"/>
        <v>48.75</v>
      </c>
      <c r="H3098" s="95" t="s">
        <v>444</v>
      </c>
      <c r="J3098" s="247" t="s">
        <v>3458</v>
      </c>
      <c r="K3098" s="89"/>
      <c r="L3098" s="90"/>
      <c r="M3098" s="90"/>
      <c r="P3098" s="68"/>
    </row>
    <row r="3099">
      <c r="A3099" s="95">
        <v>1.93372167294E11</v>
      </c>
      <c r="B3099" s="151" t="s">
        <v>3462</v>
      </c>
      <c r="C3099" s="95" t="s">
        <v>97</v>
      </c>
      <c r="D3099" s="95">
        <v>1.0</v>
      </c>
      <c r="E3099" s="101">
        <v>195.0</v>
      </c>
      <c r="F3099" s="101">
        <f t="shared" si="478"/>
        <v>195</v>
      </c>
      <c r="G3099" s="101">
        <f t="shared" si="479"/>
        <v>48.75</v>
      </c>
      <c r="H3099" s="95" t="s">
        <v>444</v>
      </c>
      <c r="J3099" s="247" t="s">
        <v>3458</v>
      </c>
      <c r="K3099" s="89"/>
      <c r="L3099" s="90"/>
      <c r="M3099" s="90"/>
      <c r="P3099" s="68"/>
    </row>
    <row r="3100">
      <c r="A3100" s="95">
        <v>1.93465709219E11</v>
      </c>
      <c r="B3100" s="151" t="s">
        <v>3463</v>
      </c>
      <c r="C3100" s="95" t="s">
        <v>97</v>
      </c>
      <c r="D3100" s="95">
        <v>1.0</v>
      </c>
      <c r="E3100" s="101">
        <v>78.0</v>
      </c>
      <c r="F3100" s="101">
        <f t="shared" si="478"/>
        <v>78</v>
      </c>
      <c r="G3100" s="101">
        <f t="shared" si="479"/>
        <v>19.5</v>
      </c>
      <c r="H3100" s="95" t="s">
        <v>169</v>
      </c>
      <c r="J3100" s="247" t="s">
        <v>3458</v>
      </c>
      <c r="K3100" s="89"/>
      <c r="L3100" s="90"/>
      <c r="M3100" s="90"/>
      <c r="P3100" s="68"/>
    </row>
    <row r="3101">
      <c r="A3101" s="95">
        <v>1.93465904751E11</v>
      </c>
      <c r="B3101" s="151" t="s">
        <v>3464</v>
      </c>
      <c r="C3101" s="95" t="s">
        <v>97</v>
      </c>
      <c r="D3101" s="95">
        <v>1.0</v>
      </c>
      <c r="E3101" s="101">
        <v>128.0</v>
      </c>
      <c r="F3101" s="101">
        <f t="shared" si="478"/>
        <v>128</v>
      </c>
      <c r="G3101" s="101">
        <f t="shared" si="479"/>
        <v>32</v>
      </c>
      <c r="H3101" s="95" t="s">
        <v>169</v>
      </c>
      <c r="J3101" s="247" t="s">
        <v>3458</v>
      </c>
      <c r="K3101" s="89"/>
      <c r="L3101" s="90"/>
      <c r="M3101" s="90"/>
      <c r="P3101" s="68"/>
    </row>
    <row r="3102">
      <c r="A3102" s="95">
        <v>1.94374555263E11</v>
      </c>
      <c r="B3102" s="151" t="s">
        <v>3465</v>
      </c>
      <c r="C3102" s="95" t="s">
        <v>97</v>
      </c>
      <c r="D3102" s="95">
        <v>1.0</v>
      </c>
      <c r="E3102" s="101">
        <v>68.0</v>
      </c>
      <c r="F3102" s="101">
        <f t="shared" si="478"/>
        <v>68</v>
      </c>
      <c r="G3102" s="101">
        <f t="shared" si="479"/>
        <v>17</v>
      </c>
      <c r="H3102" s="95" t="s">
        <v>169</v>
      </c>
      <c r="J3102" s="247" t="s">
        <v>3458</v>
      </c>
      <c r="K3102" s="89"/>
      <c r="L3102" s="90"/>
      <c r="M3102" s="90"/>
      <c r="P3102" s="68"/>
    </row>
    <row r="3103">
      <c r="A3103" s="95">
        <v>1.94374585857E11</v>
      </c>
      <c r="B3103" s="151" t="s">
        <v>3466</v>
      </c>
      <c r="C3103" s="95" t="s">
        <v>97</v>
      </c>
      <c r="D3103" s="95">
        <v>1.0</v>
      </c>
      <c r="E3103" s="101">
        <v>128.0</v>
      </c>
      <c r="F3103" s="101">
        <f t="shared" si="478"/>
        <v>128</v>
      </c>
      <c r="G3103" s="101">
        <f t="shared" si="479"/>
        <v>32</v>
      </c>
      <c r="H3103" s="95" t="s">
        <v>169</v>
      </c>
      <c r="J3103" s="247" t="s">
        <v>3458</v>
      </c>
      <c r="K3103" s="89"/>
      <c r="L3103" s="90"/>
      <c r="M3103" s="90"/>
      <c r="P3103" s="68"/>
    </row>
    <row r="3104">
      <c r="A3104" s="95">
        <v>1.94374604541E11</v>
      </c>
      <c r="B3104" s="151" t="s">
        <v>3467</v>
      </c>
      <c r="C3104" s="95" t="s">
        <v>97</v>
      </c>
      <c r="D3104" s="95">
        <v>1.0</v>
      </c>
      <c r="E3104" s="101">
        <v>58.0</v>
      </c>
      <c r="F3104" s="101">
        <f t="shared" si="478"/>
        <v>58</v>
      </c>
      <c r="G3104" s="101">
        <f t="shared" si="479"/>
        <v>14.5</v>
      </c>
      <c r="H3104" s="95" t="s">
        <v>169</v>
      </c>
      <c r="J3104" s="247" t="s">
        <v>3458</v>
      </c>
      <c r="K3104" s="89"/>
      <c r="L3104" s="90"/>
      <c r="M3104" s="90"/>
      <c r="P3104" s="68"/>
    </row>
    <row r="3105">
      <c r="A3105" s="95">
        <v>1.94374604565E11</v>
      </c>
      <c r="B3105" s="151" t="s">
        <v>3381</v>
      </c>
      <c r="C3105" s="95" t="s">
        <v>97</v>
      </c>
      <c r="D3105" s="95">
        <v>1.0</v>
      </c>
      <c r="E3105" s="101">
        <v>58.0</v>
      </c>
      <c r="F3105" s="101">
        <f t="shared" si="478"/>
        <v>58</v>
      </c>
      <c r="G3105" s="101">
        <f t="shared" si="479"/>
        <v>14.5</v>
      </c>
      <c r="H3105" s="95" t="s">
        <v>169</v>
      </c>
      <c r="J3105" s="247" t="s">
        <v>3458</v>
      </c>
      <c r="K3105" s="89"/>
      <c r="L3105" s="90"/>
      <c r="M3105" s="90"/>
      <c r="P3105" s="68"/>
    </row>
    <row r="3106">
      <c r="A3106" s="95">
        <v>1.94374604701E11</v>
      </c>
      <c r="B3106" s="151" t="s">
        <v>3468</v>
      </c>
      <c r="C3106" s="95" t="s">
        <v>97</v>
      </c>
      <c r="D3106" s="95">
        <v>2.0</v>
      </c>
      <c r="E3106" s="101">
        <v>58.0</v>
      </c>
      <c r="F3106" s="101">
        <f t="shared" si="478"/>
        <v>116</v>
      </c>
      <c r="G3106" s="101">
        <f t="shared" si="479"/>
        <v>29</v>
      </c>
      <c r="H3106" s="95" t="s">
        <v>169</v>
      </c>
      <c r="J3106" s="247" t="s">
        <v>3458</v>
      </c>
      <c r="K3106" s="89"/>
      <c r="L3106" s="90"/>
      <c r="M3106" s="90"/>
      <c r="P3106" s="68"/>
    </row>
    <row r="3107">
      <c r="A3107" s="95">
        <v>1.94374613437E11</v>
      </c>
      <c r="B3107" s="151" t="s">
        <v>3469</v>
      </c>
      <c r="C3107" s="95" t="s">
        <v>97</v>
      </c>
      <c r="D3107" s="95">
        <v>1.0</v>
      </c>
      <c r="E3107" s="101">
        <v>38.0</v>
      </c>
      <c r="F3107" s="101">
        <f t="shared" si="478"/>
        <v>38</v>
      </c>
      <c r="G3107" s="101">
        <f t="shared" si="479"/>
        <v>9.5</v>
      </c>
      <c r="H3107" s="95" t="s">
        <v>169</v>
      </c>
      <c r="J3107" s="247" t="s">
        <v>3458</v>
      </c>
      <c r="K3107" s="89"/>
      <c r="L3107" s="90"/>
      <c r="M3107" s="90"/>
      <c r="P3107" s="68"/>
    </row>
    <row r="3108">
      <c r="A3108" s="95">
        <v>1.94374626772E11</v>
      </c>
      <c r="B3108" s="151" t="s">
        <v>3470</v>
      </c>
      <c r="C3108" s="95" t="s">
        <v>97</v>
      </c>
      <c r="D3108" s="95">
        <v>1.0</v>
      </c>
      <c r="E3108" s="101">
        <v>58.0</v>
      </c>
      <c r="F3108" s="101">
        <f t="shared" si="478"/>
        <v>58</v>
      </c>
      <c r="G3108" s="101">
        <f t="shared" si="479"/>
        <v>14.5</v>
      </c>
      <c r="H3108" s="95" t="s">
        <v>169</v>
      </c>
      <c r="J3108" s="247" t="s">
        <v>3458</v>
      </c>
      <c r="K3108" s="89"/>
      <c r="L3108" s="90"/>
      <c r="M3108" s="90"/>
      <c r="P3108" s="68"/>
    </row>
    <row r="3109">
      <c r="A3109" s="95">
        <v>1.94374668789E11</v>
      </c>
      <c r="B3109" s="151" t="s">
        <v>3471</v>
      </c>
      <c r="C3109" s="95" t="s">
        <v>97</v>
      </c>
      <c r="D3109" s="95">
        <v>1.0</v>
      </c>
      <c r="E3109" s="101">
        <v>38.0</v>
      </c>
      <c r="F3109" s="101">
        <f t="shared" si="478"/>
        <v>38</v>
      </c>
      <c r="G3109" s="101">
        <f t="shared" si="479"/>
        <v>9.5</v>
      </c>
      <c r="H3109" s="95" t="s">
        <v>169</v>
      </c>
      <c r="J3109" s="247" t="s">
        <v>3458</v>
      </c>
      <c r="K3109" s="89"/>
      <c r="L3109" s="90"/>
      <c r="M3109" s="90"/>
      <c r="P3109" s="68"/>
    </row>
    <row r="3110">
      <c r="A3110" s="95">
        <v>1.94374888842E11</v>
      </c>
      <c r="B3110" s="151" t="s">
        <v>3472</v>
      </c>
      <c r="C3110" s="95" t="s">
        <v>97</v>
      </c>
      <c r="D3110" s="95">
        <v>1.0</v>
      </c>
      <c r="E3110" s="101">
        <v>88.0</v>
      </c>
      <c r="F3110" s="101">
        <f t="shared" si="478"/>
        <v>88</v>
      </c>
      <c r="G3110" s="101">
        <f t="shared" si="479"/>
        <v>22</v>
      </c>
      <c r="H3110" s="95" t="s">
        <v>169</v>
      </c>
      <c r="J3110" s="247" t="s">
        <v>3458</v>
      </c>
      <c r="K3110" s="89"/>
      <c r="L3110" s="90"/>
      <c r="M3110" s="90"/>
      <c r="P3110" s="68"/>
    </row>
    <row r="3111">
      <c r="A3111" s="95">
        <v>6.63309885251E11</v>
      </c>
      <c r="B3111" s="151" t="s">
        <v>3473</v>
      </c>
      <c r="C3111" s="95" t="s">
        <v>97</v>
      </c>
      <c r="D3111" s="95">
        <v>1.0</v>
      </c>
      <c r="E3111" s="101">
        <v>400.0</v>
      </c>
      <c r="F3111" s="101">
        <f t="shared" si="478"/>
        <v>400</v>
      </c>
      <c r="G3111" s="101">
        <f t="shared" si="479"/>
        <v>100</v>
      </c>
      <c r="H3111" s="95" t="s">
        <v>3170</v>
      </c>
      <c r="J3111" s="247" t="s">
        <v>3458</v>
      </c>
      <c r="K3111" s="89"/>
      <c r="L3111" s="90"/>
      <c r="M3111" s="90"/>
      <c r="P3111" s="68"/>
    </row>
    <row r="3112">
      <c r="A3112" s="95">
        <v>7.07762261921E11</v>
      </c>
      <c r="B3112" s="151" t="s">
        <v>3474</v>
      </c>
      <c r="C3112" s="95" t="s">
        <v>97</v>
      </c>
      <c r="D3112" s="95">
        <v>1.0</v>
      </c>
      <c r="E3112" s="101">
        <v>119.0</v>
      </c>
      <c r="F3112" s="101">
        <f t="shared" si="478"/>
        <v>119</v>
      </c>
      <c r="G3112" s="101">
        <f t="shared" si="479"/>
        <v>29.75</v>
      </c>
      <c r="H3112" s="95" t="s">
        <v>566</v>
      </c>
      <c r="J3112" s="247" t="s">
        <v>3458</v>
      </c>
      <c r="K3112" s="89"/>
      <c r="L3112" s="90"/>
      <c r="M3112" s="90"/>
      <c r="P3112" s="68"/>
    </row>
    <row r="3113">
      <c r="A3113" s="95">
        <v>7.20655529328E11</v>
      </c>
      <c r="B3113" s="151" t="s">
        <v>3475</v>
      </c>
      <c r="C3113" s="95" t="s">
        <v>97</v>
      </c>
      <c r="D3113" s="95">
        <v>1.0</v>
      </c>
      <c r="E3113" s="101">
        <v>69.0</v>
      </c>
      <c r="F3113" s="101">
        <f t="shared" si="478"/>
        <v>69</v>
      </c>
      <c r="G3113" s="101">
        <f t="shared" si="479"/>
        <v>17.25</v>
      </c>
      <c r="H3113" s="95" t="s">
        <v>3216</v>
      </c>
      <c r="J3113" s="247" t="s">
        <v>3458</v>
      </c>
      <c r="K3113" s="89"/>
      <c r="L3113" s="90"/>
      <c r="M3113" s="90"/>
      <c r="P3113" s="68"/>
    </row>
    <row r="3114">
      <c r="A3114" s="95">
        <v>7.32994165075E11</v>
      </c>
      <c r="B3114" s="151" t="s">
        <v>3476</v>
      </c>
      <c r="C3114" s="95" t="s">
        <v>97</v>
      </c>
      <c r="D3114" s="95">
        <v>1.0</v>
      </c>
      <c r="E3114" s="101">
        <v>24.5</v>
      </c>
      <c r="F3114" s="101">
        <f t="shared" si="478"/>
        <v>24.5</v>
      </c>
      <c r="G3114" s="101">
        <f t="shared" si="479"/>
        <v>6.125</v>
      </c>
      <c r="H3114" s="95" t="s">
        <v>193</v>
      </c>
      <c r="J3114" s="247" t="s">
        <v>3458</v>
      </c>
      <c r="K3114" s="89"/>
      <c r="L3114" s="90"/>
      <c r="M3114" s="90"/>
      <c r="P3114" s="68"/>
    </row>
    <row r="3115">
      <c r="A3115" s="95">
        <v>7.32997645291E11</v>
      </c>
      <c r="B3115" s="151" t="s">
        <v>3477</v>
      </c>
      <c r="C3115" s="95" t="s">
        <v>97</v>
      </c>
      <c r="D3115" s="95">
        <v>1.0</v>
      </c>
      <c r="E3115" s="101">
        <v>89.5</v>
      </c>
      <c r="F3115" s="101">
        <f t="shared" si="478"/>
        <v>89.5</v>
      </c>
      <c r="G3115" s="101">
        <f t="shared" si="479"/>
        <v>22.375</v>
      </c>
      <c r="H3115" s="95" t="s">
        <v>193</v>
      </c>
      <c r="J3115" s="247" t="s">
        <v>3458</v>
      </c>
      <c r="K3115" s="89"/>
      <c r="L3115" s="90"/>
      <c r="M3115" s="90"/>
      <c r="P3115" s="68"/>
    </row>
    <row r="3116">
      <c r="A3116" s="95">
        <v>7.32998617839E11</v>
      </c>
      <c r="B3116" s="151" t="s">
        <v>3478</v>
      </c>
      <c r="C3116" s="95" t="s">
        <v>97</v>
      </c>
      <c r="D3116" s="95">
        <v>1.0</v>
      </c>
      <c r="E3116" s="101">
        <v>64.5</v>
      </c>
      <c r="F3116" s="101">
        <f t="shared" si="478"/>
        <v>64.5</v>
      </c>
      <c r="G3116" s="101">
        <f t="shared" si="479"/>
        <v>16.125</v>
      </c>
      <c r="H3116" s="95" t="s">
        <v>402</v>
      </c>
      <c r="J3116" s="247" t="s">
        <v>3458</v>
      </c>
      <c r="K3116" s="89"/>
      <c r="L3116" s="90"/>
      <c r="M3116" s="90"/>
      <c r="P3116" s="68"/>
    </row>
    <row r="3117">
      <c r="A3117" s="95">
        <v>7.32999033171E11</v>
      </c>
      <c r="B3117" s="151" t="s">
        <v>3479</v>
      </c>
      <c r="C3117" s="95" t="s">
        <v>97</v>
      </c>
      <c r="D3117" s="95">
        <v>1.0</v>
      </c>
      <c r="E3117" s="101">
        <v>59.5</v>
      </c>
      <c r="F3117" s="101">
        <f t="shared" si="478"/>
        <v>59.5</v>
      </c>
      <c r="G3117" s="101">
        <f t="shared" si="479"/>
        <v>14.875</v>
      </c>
      <c r="H3117" s="95" t="s">
        <v>402</v>
      </c>
      <c r="J3117" s="247" t="s">
        <v>3458</v>
      </c>
      <c r="K3117" s="89"/>
      <c r="L3117" s="90"/>
      <c r="M3117" s="90"/>
      <c r="P3117" s="68"/>
    </row>
    <row r="3118">
      <c r="A3118" s="95">
        <v>7.32999556489E11</v>
      </c>
      <c r="B3118" s="151" t="s">
        <v>405</v>
      </c>
      <c r="C3118" s="95" t="s">
        <v>97</v>
      </c>
      <c r="D3118" s="95">
        <v>1.0</v>
      </c>
      <c r="E3118" s="101">
        <v>69.5</v>
      </c>
      <c r="F3118" s="101">
        <f t="shared" si="478"/>
        <v>69.5</v>
      </c>
      <c r="G3118" s="101">
        <f t="shared" si="479"/>
        <v>17.375</v>
      </c>
      <c r="H3118" s="95" t="s">
        <v>402</v>
      </c>
      <c r="J3118" s="247" t="s">
        <v>3458</v>
      </c>
      <c r="K3118" s="89"/>
      <c r="L3118" s="90"/>
      <c r="M3118" s="90"/>
      <c r="P3118" s="68"/>
    </row>
    <row r="3119">
      <c r="A3119" s="95">
        <v>7.33001247722E11</v>
      </c>
      <c r="B3119" s="151" t="s">
        <v>3480</v>
      </c>
      <c r="C3119" s="95" t="s">
        <v>97</v>
      </c>
      <c r="D3119" s="95">
        <v>1.0</v>
      </c>
      <c r="E3119" s="101">
        <v>59.5</v>
      </c>
      <c r="F3119" s="101">
        <f t="shared" si="478"/>
        <v>59.5</v>
      </c>
      <c r="G3119" s="101">
        <f t="shared" si="479"/>
        <v>14.875</v>
      </c>
      <c r="H3119" s="95" t="s">
        <v>193</v>
      </c>
      <c r="J3119" s="247" t="s">
        <v>3458</v>
      </c>
      <c r="K3119" s="89"/>
      <c r="L3119" s="90"/>
      <c r="M3119" s="90"/>
      <c r="P3119" s="68"/>
    </row>
    <row r="3120">
      <c r="A3120" s="95">
        <v>7.33001392736E11</v>
      </c>
      <c r="B3120" s="151" t="s">
        <v>3481</v>
      </c>
      <c r="C3120" s="95" t="s">
        <v>97</v>
      </c>
      <c r="D3120" s="95">
        <v>1.0</v>
      </c>
      <c r="E3120" s="101">
        <v>79.5</v>
      </c>
      <c r="F3120" s="101">
        <f t="shared" si="478"/>
        <v>79.5</v>
      </c>
      <c r="G3120" s="101">
        <f t="shared" si="479"/>
        <v>19.875</v>
      </c>
      <c r="H3120" s="95" t="s">
        <v>402</v>
      </c>
      <c r="J3120" s="247" t="s">
        <v>3458</v>
      </c>
      <c r="K3120" s="89"/>
      <c r="L3120" s="90"/>
      <c r="M3120" s="90"/>
      <c r="P3120" s="68"/>
    </row>
    <row r="3121">
      <c r="A3121" s="95">
        <v>7.3300145003E11</v>
      </c>
      <c r="B3121" s="151" t="s">
        <v>3107</v>
      </c>
      <c r="C3121" s="95" t="s">
        <v>97</v>
      </c>
      <c r="D3121" s="95">
        <v>1.0</v>
      </c>
      <c r="E3121" s="101">
        <v>69.5</v>
      </c>
      <c r="F3121" s="101">
        <f t="shared" si="478"/>
        <v>69.5</v>
      </c>
      <c r="G3121" s="101">
        <f t="shared" si="479"/>
        <v>17.375</v>
      </c>
      <c r="H3121" s="95" t="s">
        <v>193</v>
      </c>
      <c r="J3121" s="247" t="s">
        <v>3458</v>
      </c>
      <c r="K3121" s="89"/>
      <c r="L3121" s="90"/>
      <c r="M3121" s="90"/>
      <c r="P3121" s="68"/>
    </row>
    <row r="3122">
      <c r="A3122" s="95">
        <v>7.33001779209E11</v>
      </c>
      <c r="B3122" s="151" t="s">
        <v>3482</v>
      </c>
      <c r="C3122" s="95" t="s">
        <v>97</v>
      </c>
      <c r="D3122" s="95">
        <v>1.0</v>
      </c>
      <c r="E3122" s="101">
        <v>59.5</v>
      </c>
      <c r="F3122" s="101">
        <f t="shared" si="478"/>
        <v>59.5</v>
      </c>
      <c r="G3122" s="101">
        <f t="shared" si="479"/>
        <v>14.875</v>
      </c>
      <c r="H3122" s="95" t="s">
        <v>193</v>
      </c>
      <c r="J3122" s="247" t="s">
        <v>3458</v>
      </c>
      <c r="K3122" s="89"/>
      <c r="L3122" s="90"/>
      <c r="M3122" s="90"/>
      <c r="P3122" s="68"/>
    </row>
    <row r="3123">
      <c r="A3123" s="95">
        <v>7.3300182071E11</v>
      </c>
      <c r="B3123" s="151" t="s">
        <v>3483</v>
      </c>
      <c r="C3123" s="95" t="s">
        <v>97</v>
      </c>
      <c r="D3123" s="95">
        <v>1.0</v>
      </c>
      <c r="E3123" s="101">
        <v>69.5</v>
      </c>
      <c r="F3123" s="101">
        <f t="shared" si="478"/>
        <v>69.5</v>
      </c>
      <c r="G3123" s="101">
        <f t="shared" si="479"/>
        <v>17.375</v>
      </c>
      <c r="H3123" s="95" t="s">
        <v>193</v>
      </c>
      <c r="J3123" s="247" t="s">
        <v>3458</v>
      </c>
      <c r="K3123" s="89"/>
      <c r="L3123" s="90"/>
      <c r="M3123" s="90"/>
      <c r="P3123" s="68"/>
    </row>
    <row r="3124">
      <c r="A3124" s="95">
        <v>7.33001820734E11</v>
      </c>
      <c r="B3124" s="151" t="s">
        <v>3484</v>
      </c>
      <c r="C3124" s="95" t="s">
        <v>97</v>
      </c>
      <c r="D3124" s="95">
        <v>1.0</v>
      </c>
      <c r="E3124" s="101">
        <v>69.5</v>
      </c>
      <c r="F3124" s="101">
        <f t="shared" si="478"/>
        <v>69.5</v>
      </c>
      <c r="G3124" s="101">
        <f t="shared" si="479"/>
        <v>17.375</v>
      </c>
      <c r="H3124" s="95" t="s">
        <v>193</v>
      </c>
      <c r="J3124" s="247" t="s">
        <v>3458</v>
      </c>
      <c r="K3124" s="89"/>
      <c r="L3124" s="90"/>
      <c r="M3124" s="90"/>
      <c r="P3124" s="68"/>
    </row>
    <row r="3125">
      <c r="A3125" s="95">
        <v>7.33001861331E11</v>
      </c>
      <c r="B3125" s="151" t="s">
        <v>3485</v>
      </c>
      <c r="C3125" s="95" t="s">
        <v>97</v>
      </c>
      <c r="D3125" s="95">
        <v>1.0</v>
      </c>
      <c r="E3125" s="101">
        <v>20.93</v>
      </c>
      <c r="F3125" s="101">
        <f t="shared" si="478"/>
        <v>20.93</v>
      </c>
      <c r="G3125" s="101">
        <f t="shared" si="479"/>
        <v>5.2325</v>
      </c>
      <c r="H3125" s="95" t="s">
        <v>672</v>
      </c>
      <c r="J3125" s="247" t="s">
        <v>3458</v>
      </c>
      <c r="K3125" s="89"/>
      <c r="L3125" s="90"/>
      <c r="M3125" s="90"/>
      <c r="P3125" s="68"/>
    </row>
    <row r="3126">
      <c r="A3126" s="95">
        <v>7.33001865452E11</v>
      </c>
      <c r="B3126" s="151" t="s">
        <v>3486</v>
      </c>
      <c r="C3126" s="95" t="s">
        <v>97</v>
      </c>
      <c r="D3126" s="95">
        <v>1.0</v>
      </c>
      <c r="E3126" s="101">
        <v>69.5</v>
      </c>
      <c r="F3126" s="101">
        <f t="shared" si="478"/>
        <v>69.5</v>
      </c>
      <c r="G3126" s="101">
        <f t="shared" si="479"/>
        <v>17.375</v>
      </c>
      <c r="H3126" s="95" t="s">
        <v>193</v>
      </c>
      <c r="J3126" s="247" t="s">
        <v>3458</v>
      </c>
      <c r="K3126" s="89"/>
      <c r="L3126" s="90"/>
      <c r="M3126" s="90"/>
      <c r="P3126" s="68"/>
    </row>
    <row r="3127">
      <c r="A3127" s="95">
        <v>7.33001869221E11</v>
      </c>
      <c r="B3127" s="151" t="s">
        <v>3487</v>
      </c>
      <c r="C3127" s="95" t="s">
        <v>97</v>
      </c>
      <c r="D3127" s="95">
        <v>1.0</v>
      </c>
      <c r="E3127" s="101">
        <v>69.5</v>
      </c>
      <c r="F3127" s="101">
        <f t="shared" si="478"/>
        <v>69.5</v>
      </c>
      <c r="G3127" s="101">
        <f t="shared" si="479"/>
        <v>17.375</v>
      </c>
      <c r="H3127" s="95" t="s">
        <v>193</v>
      </c>
      <c r="J3127" s="247" t="s">
        <v>3458</v>
      </c>
      <c r="K3127" s="89"/>
      <c r="L3127" s="90"/>
      <c r="M3127" s="90"/>
      <c r="P3127" s="68"/>
    </row>
    <row r="3128">
      <c r="A3128" s="95">
        <v>7.33001916772E11</v>
      </c>
      <c r="B3128" s="151" t="s">
        <v>3116</v>
      </c>
      <c r="C3128" s="95" t="s">
        <v>97</v>
      </c>
      <c r="D3128" s="95">
        <v>1.0</v>
      </c>
      <c r="E3128" s="101">
        <v>59.5</v>
      </c>
      <c r="F3128" s="101">
        <f t="shared" si="478"/>
        <v>59.5</v>
      </c>
      <c r="G3128" s="101">
        <f t="shared" si="479"/>
        <v>14.875</v>
      </c>
      <c r="H3128" s="95" t="s">
        <v>193</v>
      </c>
      <c r="J3128" s="247" t="s">
        <v>3458</v>
      </c>
      <c r="K3128" s="89"/>
      <c r="L3128" s="90"/>
      <c r="M3128" s="90"/>
      <c r="P3128" s="68"/>
    </row>
    <row r="3129">
      <c r="A3129" s="95">
        <v>7.33001994459E11</v>
      </c>
      <c r="B3129" s="151" t="s">
        <v>3488</v>
      </c>
      <c r="C3129" s="95" t="s">
        <v>97</v>
      </c>
      <c r="D3129" s="95">
        <v>1.0</v>
      </c>
      <c r="E3129" s="101">
        <v>99.5</v>
      </c>
      <c r="F3129" s="101">
        <f t="shared" si="478"/>
        <v>99.5</v>
      </c>
      <c r="G3129" s="101">
        <f t="shared" si="479"/>
        <v>24.875</v>
      </c>
      <c r="H3129" s="95" t="s">
        <v>402</v>
      </c>
      <c r="J3129" s="247" t="s">
        <v>3458</v>
      </c>
      <c r="K3129" s="89"/>
      <c r="L3129" s="90"/>
      <c r="M3129" s="90"/>
      <c r="P3129" s="68"/>
    </row>
    <row r="3130">
      <c r="A3130" s="95">
        <v>7.33002015771E11</v>
      </c>
      <c r="B3130" s="151" t="s">
        <v>3489</v>
      </c>
      <c r="C3130" s="95" t="s">
        <v>97</v>
      </c>
      <c r="D3130" s="95">
        <v>1.0</v>
      </c>
      <c r="E3130" s="101">
        <v>27.93</v>
      </c>
      <c r="F3130" s="101">
        <f t="shared" si="478"/>
        <v>27.93</v>
      </c>
      <c r="G3130" s="101">
        <f t="shared" si="479"/>
        <v>6.9825</v>
      </c>
      <c r="H3130" s="95" t="s">
        <v>672</v>
      </c>
      <c r="J3130" s="247" t="s">
        <v>3458</v>
      </c>
      <c r="K3130" s="89"/>
      <c r="L3130" s="90"/>
      <c r="M3130" s="90"/>
      <c r="P3130" s="68"/>
    </row>
    <row r="3131">
      <c r="A3131" s="95">
        <v>7.33002015795E11</v>
      </c>
      <c r="B3131" s="151" t="s">
        <v>3490</v>
      </c>
      <c r="C3131" s="95" t="s">
        <v>97</v>
      </c>
      <c r="D3131" s="95">
        <v>1.0</v>
      </c>
      <c r="E3131" s="101">
        <v>79.5</v>
      </c>
      <c r="F3131" s="101">
        <f t="shared" si="478"/>
        <v>79.5</v>
      </c>
      <c r="G3131" s="101">
        <f t="shared" si="479"/>
        <v>19.875</v>
      </c>
      <c r="H3131" s="95" t="s">
        <v>193</v>
      </c>
      <c r="J3131" s="247" t="s">
        <v>3458</v>
      </c>
      <c r="K3131" s="89"/>
      <c r="L3131" s="90"/>
      <c r="M3131" s="90"/>
      <c r="P3131" s="68"/>
    </row>
    <row r="3132">
      <c r="A3132" s="95">
        <v>7.33002168231E11</v>
      </c>
      <c r="B3132" s="151" t="s">
        <v>3491</v>
      </c>
      <c r="C3132" s="95" t="s">
        <v>97</v>
      </c>
      <c r="D3132" s="95">
        <v>1.0</v>
      </c>
      <c r="E3132" s="101">
        <v>99.5</v>
      </c>
      <c r="F3132" s="101">
        <f t="shared" si="478"/>
        <v>99.5</v>
      </c>
      <c r="G3132" s="101">
        <f t="shared" si="479"/>
        <v>24.875</v>
      </c>
      <c r="H3132" s="95" t="s">
        <v>683</v>
      </c>
      <c r="J3132" s="247" t="s">
        <v>3458</v>
      </c>
      <c r="K3132" s="89"/>
      <c r="L3132" s="90"/>
      <c r="M3132" s="90"/>
      <c r="P3132" s="68"/>
    </row>
    <row r="3133">
      <c r="A3133" s="95">
        <v>7.33002168798E11</v>
      </c>
      <c r="B3133" s="151" t="s">
        <v>3492</v>
      </c>
      <c r="C3133" s="95" t="s">
        <v>97</v>
      </c>
      <c r="D3133" s="95">
        <v>1.0</v>
      </c>
      <c r="E3133" s="101">
        <v>69.5</v>
      </c>
      <c r="F3133" s="101">
        <f t="shared" si="478"/>
        <v>69.5</v>
      </c>
      <c r="G3133" s="101">
        <f t="shared" si="479"/>
        <v>17.375</v>
      </c>
      <c r="H3133" s="95" t="s">
        <v>402</v>
      </c>
      <c r="J3133" s="247" t="s">
        <v>3458</v>
      </c>
      <c r="K3133" s="89"/>
      <c r="L3133" s="90"/>
      <c r="M3133" s="90"/>
      <c r="P3133" s="68"/>
    </row>
    <row r="3134">
      <c r="A3134" s="95">
        <v>7.33002168842E11</v>
      </c>
      <c r="B3134" s="151" t="s">
        <v>3493</v>
      </c>
      <c r="C3134" s="95" t="s">
        <v>97</v>
      </c>
      <c r="D3134" s="95">
        <v>1.0</v>
      </c>
      <c r="E3134" s="101">
        <v>89.5</v>
      </c>
      <c r="F3134" s="101">
        <f t="shared" si="478"/>
        <v>89.5</v>
      </c>
      <c r="G3134" s="101">
        <f t="shared" si="479"/>
        <v>22.375</v>
      </c>
      <c r="H3134" s="95" t="s">
        <v>402</v>
      </c>
      <c r="J3134" s="247" t="s">
        <v>3458</v>
      </c>
      <c r="K3134" s="89"/>
      <c r="L3134" s="90"/>
      <c r="M3134" s="90"/>
      <c r="P3134" s="68"/>
    </row>
    <row r="3135">
      <c r="A3135" s="95">
        <v>7.33002176649E11</v>
      </c>
      <c r="B3135" s="151" t="s">
        <v>3494</v>
      </c>
      <c r="C3135" s="95" t="s">
        <v>97</v>
      </c>
      <c r="D3135" s="95">
        <v>1.0</v>
      </c>
      <c r="E3135" s="101">
        <v>79.5</v>
      </c>
      <c r="F3135" s="101">
        <f t="shared" si="478"/>
        <v>79.5</v>
      </c>
      <c r="G3135" s="101">
        <f t="shared" si="479"/>
        <v>19.875</v>
      </c>
      <c r="H3135" s="95" t="s">
        <v>402</v>
      </c>
      <c r="J3135" s="247" t="s">
        <v>3458</v>
      </c>
      <c r="K3135" s="89"/>
      <c r="L3135" s="90"/>
      <c r="M3135" s="90"/>
      <c r="P3135" s="68"/>
    </row>
    <row r="3136">
      <c r="A3136" s="95">
        <v>7.33002391998E11</v>
      </c>
      <c r="B3136" s="151" t="s">
        <v>3495</v>
      </c>
      <c r="C3136" s="95" t="s">
        <v>97</v>
      </c>
      <c r="D3136" s="95">
        <v>1.0</v>
      </c>
      <c r="E3136" s="101">
        <v>69.5</v>
      </c>
      <c r="F3136" s="101">
        <f t="shared" si="478"/>
        <v>69.5</v>
      </c>
      <c r="G3136" s="101">
        <f t="shared" si="479"/>
        <v>17.375</v>
      </c>
      <c r="H3136" s="95" t="s">
        <v>402</v>
      </c>
      <c r="J3136" s="247" t="s">
        <v>3458</v>
      </c>
      <c r="K3136" s="89"/>
      <c r="L3136" s="90"/>
      <c r="M3136" s="90"/>
      <c r="P3136" s="68"/>
    </row>
    <row r="3137">
      <c r="A3137" s="95">
        <v>8.89602483813E11</v>
      </c>
      <c r="B3137" s="151" t="s">
        <v>3496</v>
      </c>
      <c r="C3137" s="95" t="s">
        <v>97</v>
      </c>
      <c r="D3137" s="95">
        <v>1.0</v>
      </c>
      <c r="E3137" s="101">
        <v>59.0</v>
      </c>
      <c r="F3137" s="101">
        <f t="shared" si="478"/>
        <v>59</v>
      </c>
      <c r="G3137" s="101">
        <f t="shared" si="479"/>
        <v>14.75</v>
      </c>
      <c r="H3137" s="95" t="s">
        <v>3497</v>
      </c>
      <c r="J3137" s="247" t="s">
        <v>3458</v>
      </c>
      <c r="K3137" s="89"/>
      <c r="L3137" s="90"/>
      <c r="M3137" s="90"/>
      <c r="P3137" s="68"/>
    </row>
    <row r="3138">
      <c r="A3138" s="95">
        <v>8.89901963764E11</v>
      </c>
      <c r="B3138" s="151" t="s">
        <v>3498</v>
      </c>
      <c r="C3138" s="95" t="s">
        <v>97</v>
      </c>
      <c r="D3138" s="95">
        <v>1.0</v>
      </c>
      <c r="E3138" s="101">
        <v>69.0</v>
      </c>
      <c r="F3138" s="101">
        <f t="shared" si="478"/>
        <v>69</v>
      </c>
      <c r="G3138" s="101">
        <f t="shared" si="479"/>
        <v>17.25</v>
      </c>
      <c r="H3138" s="95" t="s">
        <v>3499</v>
      </c>
      <c r="J3138" s="247" t="s">
        <v>3458</v>
      </c>
      <c r="K3138" s="89"/>
      <c r="L3138" s="90"/>
      <c r="M3138" s="90"/>
      <c r="P3138" s="68"/>
    </row>
    <row r="3139">
      <c r="A3139" s="211"/>
      <c r="B3139" s="231" t="s">
        <v>3500</v>
      </c>
      <c r="C3139" s="234" t="str">
        <f>MID($B3139,6,8)</f>
        <v>KL187111</v>
      </c>
      <c r="D3139" s="231"/>
      <c r="E3139" s="231"/>
      <c r="F3139" s="231"/>
      <c r="G3139" s="231"/>
      <c r="H3139" s="235">
        <v>44560.0</v>
      </c>
      <c r="J3139" s="108" t="str">
        <f>IF(LEFT(B3139,3)="Box","BOX","COUNT")</f>
        <v>BOX</v>
      </c>
      <c r="K3139" s="99">
        <f>SUMIF($J$4:$J$8712,$C3139,$D$4:$D$8712)</f>
        <v>45</v>
      </c>
      <c r="L3139" s="50">
        <f>SUMIF($J$4:$J$8712,$C3139,$F$4:$F$8712)</f>
        <v>4086.35</v>
      </c>
      <c r="M3139" s="50">
        <f>SUMIF($J$4:$J$8712,$C3139,$G$4:$G$8712)</f>
        <v>1021.5875</v>
      </c>
      <c r="N3139" s="70" t="str">
        <f>C3139</f>
        <v>KL187111</v>
      </c>
      <c r="O3139" s="70" t="str">
        <f>J3140</f>
        <v>NSHIP</v>
      </c>
      <c r="P3139" s="68">
        <f>M3139</f>
        <v>1021.5875</v>
      </c>
    </row>
    <row r="3140">
      <c r="A3140" s="211"/>
      <c r="B3140" s="231"/>
      <c r="C3140" s="109"/>
      <c r="D3140" s="109"/>
      <c r="E3140" s="116"/>
      <c r="F3140" s="116"/>
      <c r="G3140" s="116"/>
      <c r="H3140" s="109"/>
      <c r="J3140" s="108" t="str">
        <f>IF(B3140="","NSHIP","SHIP")</f>
        <v>NSHIP</v>
      </c>
      <c r="K3140" s="99">
        <f>IF($J3140="NSHIP",0,-SUMIF($J$4:$J$8712,$C3139,$D$4:$D$8712))</f>
        <v>0</v>
      </c>
      <c r="L3140" s="50">
        <f>IF($J3140="NSHIP",0,-SUMIF($J$4:$J$8710,$C3139,$F$4:$F$8710))</f>
        <v>0</v>
      </c>
      <c r="M3140" s="50">
        <f>IF($J3140="NSHIP",0,-SUMIF($J$4:$J$8710,$C3139,$G$4:$G$8710))</f>
        <v>0</v>
      </c>
      <c r="P3140" s="68"/>
    </row>
    <row r="3141">
      <c r="A3141" s="95">
        <v>1.90744981823E11</v>
      </c>
      <c r="B3141" s="151" t="s">
        <v>3501</v>
      </c>
      <c r="C3141" s="95" t="s">
        <v>97</v>
      </c>
      <c r="D3141" s="95">
        <v>1.0</v>
      </c>
      <c r="E3141" s="101">
        <v>24.99</v>
      </c>
      <c r="F3141" s="101">
        <f t="shared" ref="F3141:F3187" si="480">E3141*D3141</f>
        <v>24.99</v>
      </c>
      <c r="G3141" s="101">
        <f t="shared" ref="G3141:G3187" si="481">F3141/4</f>
        <v>6.2475</v>
      </c>
      <c r="H3141" s="95" t="s">
        <v>3502</v>
      </c>
      <c r="J3141" s="247" t="s">
        <v>3503</v>
      </c>
      <c r="K3141" s="89"/>
      <c r="L3141" s="90"/>
      <c r="M3141" s="90"/>
      <c r="P3141" s="68"/>
    </row>
    <row r="3142">
      <c r="A3142" s="95">
        <v>1.92648107255E11</v>
      </c>
      <c r="B3142" s="151" t="s">
        <v>3504</v>
      </c>
      <c r="C3142" s="95" t="s">
        <v>97</v>
      </c>
      <c r="D3142" s="95">
        <v>1.0</v>
      </c>
      <c r="E3142" s="101">
        <v>295.0</v>
      </c>
      <c r="F3142" s="101">
        <f t="shared" si="480"/>
        <v>295</v>
      </c>
      <c r="G3142" s="101">
        <f t="shared" si="481"/>
        <v>73.75</v>
      </c>
      <c r="H3142" s="95" t="s">
        <v>3292</v>
      </c>
      <c r="J3142" s="247" t="s">
        <v>3503</v>
      </c>
      <c r="K3142" s="89"/>
      <c r="L3142" s="90"/>
      <c r="M3142" s="90"/>
      <c r="P3142" s="68"/>
    </row>
    <row r="3143">
      <c r="A3143" s="95">
        <v>1.93465033048E11</v>
      </c>
      <c r="B3143" s="151" t="s">
        <v>3505</v>
      </c>
      <c r="C3143" s="95" t="s">
        <v>97</v>
      </c>
      <c r="D3143" s="95">
        <v>1.0</v>
      </c>
      <c r="E3143" s="101">
        <v>108.0</v>
      </c>
      <c r="F3143" s="101">
        <f t="shared" si="480"/>
        <v>108</v>
      </c>
      <c r="G3143" s="101">
        <f t="shared" si="481"/>
        <v>27</v>
      </c>
      <c r="H3143" s="95" t="s">
        <v>169</v>
      </c>
      <c r="J3143" s="247" t="s">
        <v>3503</v>
      </c>
      <c r="K3143" s="89"/>
      <c r="L3143" s="90"/>
      <c r="M3143" s="90"/>
      <c r="P3143" s="68"/>
    </row>
    <row r="3144">
      <c r="A3144" s="95">
        <v>1.93465809582E11</v>
      </c>
      <c r="B3144" s="151" t="s">
        <v>3506</v>
      </c>
      <c r="C3144" s="95" t="s">
        <v>97</v>
      </c>
      <c r="D3144" s="95">
        <v>1.0</v>
      </c>
      <c r="E3144" s="101">
        <v>148.0</v>
      </c>
      <c r="F3144" s="101">
        <f t="shared" si="480"/>
        <v>148</v>
      </c>
      <c r="G3144" s="101">
        <f t="shared" si="481"/>
        <v>37</v>
      </c>
      <c r="H3144" s="95" t="s">
        <v>169</v>
      </c>
      <c r="J3144" s="247" t="s">
        <v>3503</v>
      </c>
      <c r="K3144" s="89"/>
      <c r="L3144" s="90"/>
      <c r="M3144" s="90"/>
      <c r="P3144" s="68"/>
    </row>
    <row r="3145">
      <c r="A3145" s="95">
        <v>1.9346587205E11</v>
      </c>
      <c r="B3145" s="151" t="s">
        <v>3507</v>
      </c>
      <c r="C3145" s="95" t="s">
        <v>97</v>
      </c>
      <c r="D3145" s="95">
        <v>1.0</v>
      </c>
      <c r="E3145" s="101">
        <v>78.0</v>
      </c>
      <c r="F3145" s="101">
        <f t="shared" si="480"/>
        <v>78</v>
      </c>
      <c r="G3145" s="101">
        <f t="shared" si="481"/>
        <v>19.5</v>
      </c>
      <c r="H3145" s="95" t="s">
        <v>169</v>
      </c>
      <c r="J3145" s="247" t="s">
        <v>3503</v>
      </c>
      <c r="K3145" s="89"/>
      <c r="L3145" s="90"/>
      <c r="M3145" s="90"/>
      <c r="P3145" s="68"/>
    </row>
    <row r="3146">
      <c r="A3146" s="95">
        <v>1.93465872074E11</v>
      </c>
      <c r="B3146" s="151" t="s">
        <v>3508</v>
      </c>
      <c r="C3146" s="95" t="s">
        <v>97</v>
      </c>
      <c r="D3146" s="95">
        <v>1.0</v>
      </c>
      <c r="E3146" s="101">
        <v>78.0</v>
      </c>
      <c r="F3146" s="101">
        <f t="shared" si="480"/>
        <v>78</v>
      </c>
      <c r="G3146" s="101">
        <f t="shared" si="481"/>
        <v>19.5</v>
      </c>
      <c r="H3146" s="95" t="s">
        <v>169</v>
      </c>
      <c r="J3146" s="247" t="s">
        <v>3503</v>
      </c>
      <c r="K3146" s="89"/>
      <c r="L3146" s="90"/>
      <c r="M3146" s="90"/>
      <c r="P3146" s="68"/>
    </row>
    <row r="3147">
      <c r="A3147" s="95">
        <v>1.94374047782E11</v>
      </c>
      <c r="B3147" s="151" t="s">
        <v>3509</v>
      </c>
      <c r="C3147" s="95" t="s">
        <v>97</v>
      </c>
      <c r="D3147" s="95">
        <v>1.0</v>
      </c>
      <c r="E3147" s="101">
        <v>108.0</v>
      </c>
      <c r="F3147" s="101">
        <f t="shared" si="480"/>
        <v>108</v>
      </c>
      <c r="G3147" s="101">
        <f t="shared" si="481"/>
        <v>27</v>
      </c>
      <c r="H3147" s="95" t="s">
        <v>169</v>
      </c>
      <c r="J3147" s="247" t="s">
        <v>3503</v>
      </c>
      <c r="K3147" s="89"/>
      <c r="L3147" s="90"/>
      <c r="M3147" s="90"/>
      <c r="P3147" s="68"/>
    </row>
    <row r="3148">
      <c r="A3148" s="95">
        <v>1.94374153681E11</v>
      </c>
      <c r="B3148" s="151" t="s">
        <v>3510</v>
      </c>
      <c r="C3148" s="95" t="s">
        <v>97</v>
      </c>
      <c r="D3148" s="95">
        <v>1.0</v>
      </c>
      <c r="E3148" s="101">
        <v>88.0</v>
      </c>
      <c r="F3148" s="101">
        <f t="shared" si="480"/>
        <v>88</v>
      </c>
      <c r="G3148" s="101">
        <f t="shared" si="481"/>
        <v>22</v>
      </c>
      <c r="H3148" s="95" t="s">
        <v>169</v>
      </c>
      <c r="J3148" s="247" t="s">
        <v>3503</v>
      </c>
      <c r="K3148" s="89"/>
      <c r="L3148" s="90"/>
      <c r="M3148" s="90"/>
      <c r="P3148" s="68"/>
    </row>
    <row r="3149">
      <c r="A3149" s="95">
        <v>1.9437416678E11</v>
      </c>
      <c r="B3149" s="151" t="s">
        <v>3511</v>
      </c>
      <c r="C3149" s="95" t="s">
        <v>97</v>
      </c>
      <c r="D3149" s="95">
        <v>1.0</v>
      </c>
      <c r="E3149" s="101">
        <v>58.0</v>
      </c>
      <c r="F3149" s="101">
        <f t="shared" si="480"/>
        <v>58</v>
      </c>
      <c r="G3149" s="101">
        <f t="shared" si="481"/>
        <v>14.5</v>
      </c>
      <c r="H3149" s="95" t="s">
        <v>169</v>
      </c>
      <c r="J3149" s="247" t="s">
        <v>3503</v>
      </c>
      <c r="K3149" s="89"/>
      <c r="L3149" s="90"/>
      <c r="M3149" s="90"/>
      <c r="P3149" s="68"/>
    </row>
    <row r="3150">
      <c r="A3150" s="95">
        <v>1.94374224473E11</v>
      </c>
      <c r="B3150" s="151" t="s">
        <v>3512</v>
      </c>
      <c r="C3150" s="95" t="s">
        <v>97</v>
      </c>
      <c r="D3150" s="95">
        <v>1.0</v>
      </c>
      <c r="E3150" s="101">
        <v>48.0</v>
      </c>
      <c r="F3150" s="101">
        <f t="shared" si="480"/>
        <v>48</v>
      </c>
      <c r="G3150" s="101">
        <f t="shared" si="481"/>
        <v>12</v>
      </c>
      <c r="H3150" s="95" t="s">
        <v>169</v>
      </c>
      <c r="J3150" s="247" t="s">
        <v>3503</v>
      </c>
      <c r="K3150" s="89"/>
      <c r="L3150" s="90"/>
      <c r="M3150" s="90"/>
      <c r="P3150" s="68"/>
    </row>
    <row r="3151">
      <c r="A3151" s="95">
        <v>1.94374471426E11</v>
      </c>
      <c r="B3151" s="151" t="s">
        <v>3513</v>
      </c>
      <c r="C3151" s="95" t="s">
        <v>97</v>
      </c>
      <c r="D3151" s="95">
        <v>1.0</v>
      </c>
      <c r="E3151" s="101">
        <v>78.0</v>
      </c>
      <c r="F3151" s="101">
        <f t="shared" si="480"/>
        <v>78</v>
      </c>
      <c r="G3151" s="101">
        <f t="shared" si="481"/>
        <v>19.5</v>
      </c>
      <c r="H3151" s="95" t="s">
        <v>169</v>
      </c>
      <c r="J3151" s="247" t="s">
        <v>3503</v>
      </c>
      <c r="K3151" s="89"/>
      <c r="L3151" s="90"/>
      <c r="M3151" s="90"/>
      <c r="P3151" s="68"/>
    </row>
    <row r="3152">
      <c r="A3152" s="95">
        <v>1.94374617961E11</v>
      </c>
      <c r="B3152" s="151" t="s">
        <v>3514</v>
      </c>
      <c r="C3152" s="95" t="s">
        <v>97</v>
      </c>
      <c r="D3152" s="95">
        <v>1.0</v>
      </c>
      <c r="E3152" s="101">
        <v>68.0</v>
      </c>
      <c r="F3152" s="101">
        <f t="shared" si="480"/>
        <v>68</v>
      </c>
      <c r="G3152" s="101">
        <f t="shared" si="481"/>
        <v>17</v>
      </c>
      <c r="H3152" s="95" t="s">
        <v>169</v>
      </c>
      <c r="J3152" s="247" t="s">
        <v>3503</v>
      </c>
      <c r="K3152" s="89"/>
      <c r="L3152" s="90"/>
      <c r="M3152" s="90"/>
      <c r="P3152" s="68"/>
    </row>
    <row r="3153">
      <c r="A3153" s="95">
        <v>1.94374631356E11</v>
      </c>
      <c r="B3153" s="151" t="s">
        <v>3515</v>
      </c>
      <c r="C3153" s="95" t="s">
        <v>97</v>
      </c>
      <c r="D3153" s="95">
        <v>1.0</v>
      </c>
      <c r="E3153" s="101">
        <v>128.0</v>
      </c>
      <c r="F3153" s="101">
        <f t="shared" si="480"/>
        <v>128</v>
      </c>
      <c r="G3153" s="101">
        <f t="shared" si="481"/>
        <v>32</v>
      </c>
      <c r="H3153" s="95" t="s">
        <v>169</v>
      </c>
      <c r="J3153" s="247" t="s">
        <v>3503</v>
      </c>
      <c r="K3153" s="89"/>
      <c r="L3153" s="90"/>
      <c r="M3153" s="90"/>
      <c r="P3153" s="68"/>
    </row>
    <row r="3154">
      <c r="A3154" s="95">
        <v>1.94374631363E11</v>
      </c>
      <c r="B3154" s="151" t="s">
        <v>3516</v>
      </c>
      <c r="C3154" s="95" t="s">
        <v>97</v>
      </c>
      <c r="D3154" s="95">
        <v>1.0</v>
      </c>
      <c r="E3154" s="101">
        <v>128.0</v>
      </c>
      <c r="F3154" s="101">
        <f t="shared" si="480"/>
        <v>128</v>
      </c>
      <c r="G3154" s="101">
        <f t="shared" si="481"/>
        <v>32</v>
      </c>
      <c r="H3154" s="95" t="s">
        <v>169</v>
      </c>
      <c r="J3154" s="247" t="s">
        <v>3503</v>
      </c>
      <c r="K3154" s="89"/>
      <c r="L3154" s="90"/>
      <c r="M3154" s="90"/>
      <c r="P3154" s="68"/>
    </row>
    <row r="3155">
      <c r="A3155" s="95">
        <v>1.94374633558E11</v>
      </c>
      <c r="B3155" s="151" t="s">
        <v>3517</v>
      </c>
      <c r="C3155" s="95" t="s">
        <v>97</v>
      </c>
      <c r="D3155" s="95">
        <v>1.0</v>
      </c>
      <c r="E3155" s="101">
        <v>88.0</v>
      </c>
      <c r="F3155" s="101">
        <f t="shared" si="480"/>
        <v>88</v>
      </c>
      <c r="G3155" s="101">
        <f t="shared" si="481"/>
        <v>22</v>
      </c>
      <c r="H3155" s="95" t="s">
        <v>169</v>
      </c>
      <c r="J3155" s="247" t="s">
        <v>3503</v>
      </c>
      <c r="K3155" s="89"/>
      <c r="L3155" s="90"/>
      <c r="M3155" s="90"/>
      <c r="P3155" s="68"/>
    </row>
    <row r="3156">
      <c r="A3156" s="95">
        <v>1.9437465344E11</v>
      </c>
      <c r="B3156" s="151" t="s">
        <v>3518</v>
      </c>
      <c r="C3156" s="95" t="s">
        <v>97</v>
      </c>
      <c r="D3156" s="95">
        <v>1.0</v>
      </c>
      <c r="E3156" s="101">
        <v>78.0</v>
      </c>
      <c r="F3156" s="101">
        <f t="shared" si="480"/>
        <v>78</v>
      </c>
      <c r="G3156" s="101">
        <f t="shared" si="481"/>
        <v>19.5</v>
      </c>
      <c r="H3156" s="95" t="s">
        <v>169</v>
      </c>
      <c r="J3156" s="247" t="s">
        <v>3503</v>
      </c>
      <c r="K3156" s="89"/>
      <c r="L3156" s="90"/>
      <c r="M3156" s="90"/>
      <c r="P3156" s="68"/>
    </row>
    <row r="3157">
      <c r="A3157" s="95">
        <v>1.94374653747E11</v>
      </c>
      <c r="B3157" s="151" t="s">
        <v>3519</v>
      </c>
      <c r="C3157" s="95" t="s">
        <v>97</v>
      </c>
      <c r="D3157" s="95">
        <v>1.0</v>
      </c>
      <c r="E3157" s="101">
        <v>22.23</v>
      </c>
      <c r="F3157" s="101">
        <f t="shared" si="480"/>
        <v>22.23</v>
      </c>
      <c r="G3157" s="101">
        <f t="shared" si="481"/>
        <v>5.5575</v>
      </c>
      <c r="H3157" s="95" t="s">
        <v>169</v>
      </c>
      <c r="J3157" s="247" t="s">
        <v>3503</v>
      </c>
      <c r="K3157" s="89"/>
      <c r="L3157" s="90"/>
      <c r="M3157" s="90"/>
      <c r="P3157" s="68"/>
    </row>
    <row r="3158">
      <c r="A3158" s="95">
        <v>1.9437467452E11</v>
      </c>
      <c r="B3158" s="151" t="s">
        <v>3520</v>
      </c>
      <c r="C3158" s="95" t="s">
        <v>97</v>
      </c>
      <c r="D3158" s="95">
        <v>1.0</v>
      </c>
      <c r="E3158" s="101">
        <v>68.0</v>
      </c>
      <c r="F3158" s="101">
        <f t="shared" si="480"/>
        <v>68</v>
      </c>
      <c r="G3158" s="101">
        <f t="shared" si="481"/>
        <v>17</v>
      </c>
      <c r="H3158" s="95" t="s">
        <v>169</v>
      </c>
      <c r="J3158" s="247" t="s">
        <v>3503</v>
      </c>
      <c r="K3158" s="89"/>
      <c r="L3158" s="90"/>
      <c r="M3158" s="90"/>
      <c r="P3158" s="68"/>
    </row>
    <row r="3159">
      <c r="A3159" s="95">
        <v>1.94374716473E11</v>
      </c>
      <c r="B3159" s="151" t="s">
        <v>3521</v>
      </c>
      <c r="C3159" s="95" t="s">
        <v>97</v>
      </c>
      <c r="D3159" s="95">
        <v>1.0</v>
      </c>
      <c r="E3159" s="101">
        <v>128.0</v>
      </c>
      <c r="F3159" s="101">
        <f t="shared" si="480"/>
        <v>128</v>
      </c>
      <c r="G3159" s="101">
        <f t="shared" si="481"/>
        <v>32</v>
      </c>
      <c r="H3159" s="95" t="s">
        <v>169</v>
      </c>
      <c r="J3159" s="247" t="s">
        <v>3503</v>
      </c>
      <c r="K3159" s="89"/>
      <c r="L3159" s="90"/>
      <c r="M3159" s="90"/>
      <c r="P3159" s="68"/>
    </row>
    <row r="3160">
      <c r="A3160" s="95">
        <v>1.9437474577E11</v>
      </c>
      <c r="B3160" s="151" t="s">
        <v>3522</v>
      </c>
      <c r="C3160" s="95" t="s">
        <v>97</v>
      </c>
      <c r="D3160" s="95">
        <v>1.0</v>
      </c>
      <c r="E3160" s="101">
        <v>98.0</v>
      </c>
      <c r="F3160" s="101">
        <f t="shared" si="480"/>
        <v>98</v>
      </c>
      <c r="G3160" s="101">
        <f t="shared" si="481"/>
        <v>24.5</v>
      </c>
      <c r="H3160" s="95" t="s">
        <v>169</v>
      </c>
      <c r="J3160" s="247" t="s">
        <v>3503</v>
      </c>
      <c r="K3160" s="89"/>
      <c r="L3160" s="90"/>
      <c r="M3160" s="90"/>
      <c r="P3160" s="68"/>
    </row>
    <row r="3161">
      <c r="A3161" s="95">
        <v>1.94374773926E11</v>
      </c>
      <c r="B3161" s="151" t="s">
        <v>3523</v>
      </c>
      <c r="C3161" s="95" t="s">
        <v>97</v>
      </c>
      <c r="D3161" s="95">
        <v>1.0</v>
      </c>
      <c r="E3161" s="101">
        <v>68.0</v>
      </c>
      <c r="F3161" s="101">
        <f t="shared" si="480"/>
        <v>68</v>
      </c>
      <c r="G3161" s="101">
        <f t="shared" si="481"/>
        <v>17</v>
      </c>
      <c r="H3161" s="95" t="s">
        <v>169</v>
      </c>
      <c r="J3161" s="247" t="s">
        <v>3503</v>
      </c>
      <c r="K3161" s="89"/>
      <c r="L3161" s="90"/>
      <c r="M3161" s="90"/>
      <c r="P3161" s="68"/>
    </row>
    <row r="3162">
      <c r="A3162" s="95">
        <v>1.94374803241E11</v>
      </c>
      <c r="B3162" s="151" t="s">
        <v>3524</v>
      </c>
      <c r="C3162" s="95" t="s">
        <v>97</v>
      </c>
      <c r="D3162" s="95">
        <v>1.0</v>
      </c>
      <c r="E3162" s="101">
        <v>68.0</v>
      </c>
      <c r="F3162" s="101">
        <f t="shared" si="480"/>
        <v>68</v>
      </c>
      <c r="G3162" s="101">
        <f t="shared" si="481"/>
        <v>17</v>
      </c>
      <c r="H3162" s="95" t="s">
        <v>169</v>
      </c>
      <c r="J3162" s="247" t="s">
        <v>3503</v>
      </c>
      <c r="K3162" s="89"/>
      <c r="L3162" s="90"/>
      <c r="M3162" s="90"/>
      <c r="P3162" s="68"/>
    </row>
    <row r="3163">
      <c r="A3163" s="95">
        <v>1.94374803265E11</v>
      </c>
      <c r="B3163" s="151" t="s">
        <v>3525</v>
      </c>
      <c r="C3163" s="95" t="s">
        <v>97</v>
      </c>
      <c r="D3163" s="95">
        <v>1.0</v>
      </c>
      <c r="E3163" s="101">
        <v>68.0</v>
      </c>
      <c r="F3163" s="101">
        <f t="shared" si="480"/>
        <v>68</v>
      </c>
      <c r="G3163" s="101">
        <f t="shared" si="481"/>
        <v>17</v>
      </c>
      <c r="H3163" s="95" t="s">
        <v>169</v>
      </c>
      <c r="J3163" s="247" t="s">
        <v>3503</v>
      </c>
      <c r="K3163" s="89"/>
      <c r="L3163" s="90"/>
      <c r="M3163" s="90"/>
      <c r="P3163" s="68"/>
    </row>
    <row r="3164">
      <c r="A3164" s="95">
        <v>1.94374803364E11</v>
      </c>
      <c r="B3164" s="151" t="s">
        <v>3526</v>
      </c>
      <c r="C3164" s="95" t="s">
        <v>97</v>
      </c>
      <c r="D3164" s="95">
        <v>1.0</v>
      </c>
      <c r="E3164" s="101">
        <v>68.0</v>
      </c>
      <c r="F3164" s="101">
        <f t="shared" si="480"/>
        <v>68</v>
      </c>
      <c r="G3164" s="101">
        <f t="shared" si="481"/>
        <v>17</v>
      </c>
      <c r="H3164" s="95" t="s">
        <v>169</v>
      </c>
      <c r="J3164" s="247" t="s">
        <v>3503</v>
      </c>
      <c r="K3164" s="89"/>
      <c r="L3164" s="90"/>
      <c r="M3164" s="90"/>
      <c r="P3164" s="68"/>
    </row>
    <row r="3165">
      <c r="A3165" s="95">
        <v>1.94374820293E11</v>
      </c>
      <c r="B3165" s="151" t="s">
        <v>3527</v>
      </c>
      <c r="C3165" s="95" t="s">
        <v>97</v>
      </c>
      <c r="D3165" s="95">
        <v>1.0</v>
      </c>
      <c r="E3165" s="101">
        <v>98.0</v>
      </c>
      <c r="F3165" s="101">
        <f t="shared" si="480"/>
        <v>98</v>
      </c>
      <c r="G3165" s="101">
        <f t="shared" si="481"/>
        <v>24.5</v>
      </c>
      <c r="H3165" s="95" t="s">
        <v>169</v>
      </c>
      <c r="J3165" s="247" t="s">
        <v>3503</v>
      </c>
      <c r="K3165" s="89"/>
      <c r="L3165" s="90"/>
      <c r="M3165" s="90"/>
      <c r="P3165" s="68"/>
    </row>
    <row r="3166">
      <c r="A3166" s="95">
        <v>1.94374827971E11</v>
      </c>
      <c r="B3166" s="151" t="s">
        <v>3528</v>
      </c>
      <c r="C3166" s="95" t="s">
        <v>97</v>
      </c>
      <c r="D3166" s="95">
        <v>1.0</v>
      </c>
      <c r="E3166" s="101">
        <v>78.0</v>
      </c>
      <c r="F3166" s="101">
        <f t="shared" si="480"/>
        <v>78</v>
      </c>
      <c r="G3166" s="101">
        <f t="shared" si="481"/>
        <v>19.5</v>
      </c>
      <c r="H3166" s="95" t="s">
        <v>169</v>
      </c>
      <c r="J3166" s="247" t="s">
        <v>3503</v>
      </c>
      <c r="K3166" s="89"/>
      <c r="L3166" s="90"/>
      <c r="M3166" s="90"/>
      <c r="P3166" s="68"/>
    </row>
    <row r="3167">
      <c r="A3167" s="95">
        <v>1.95191066956E11</v>
      </c>
      <c r="B3167" s="151" t="s">
        <v>3529</v>
      </c>
      <c r="C3167" s="95" t="s">
        <v>97</v>
      </c>
      <c r="D3167" s="95">
        <v>1.0</v>
      </c>
      <c r="E3167" s="101">
        <v>78.0</v>
      </c>
      <c r="F3167" s="101">
        <f t="shared" si="480"/>
        <v>78</v>
      </c>
      <c r="G3167" s="101">
        <f t="shared" si="481"/>
        <v>19.5</v>
      </c>
      <c r="H3167" s="95" t="s">
        <v>169</v>
      </c>
      <c r="J3167" s="247" t="s">
        <v>3503</v>
      </c>
      <c r="K3167" s="89"/>
      <c r="L3167" s="90"/>
      <c r="M3167" s="90"/>
      <c r="P3167" s="68"/>
    </row>
    <row r="3168">
      <c r="A3168" s="95">
        <v>1.95191068042E11</v>
      </c>
      <c r="B3168" s="151" t="s">
        <v>3530</v>
      </c>
      <c r="C3168" s="95" t="s">
        <v>97</v>
      </c>
      <c r="D3168" s="95">
        <v>2.0</v>
      </c>
      <c r="E3168" s="101">
        <v>68.0</v>
      </c>
      <c r="F3168" s="101">
        <f t="shared" si="480"/>
        <v>136</v>
      </c>
      <c r="G3168" s="101">
        <f t="shared" si="481"/>
        <v>34</v>
      </c>
      <c r="H3168" s="95" t="s">
        <v>169</v>
      </c>
      <c r="J3168" s="247" t="s">
        <v>3503</v>
      </c>
      <c r="K3168" s="89"/>
      <c r="L3168" s="90"/>
      <c r="M3168" s="90"/>
      <c r="P3168" s="68"/>
    </row>
    <row r="3169">
      <c r="A3169" s="95">
        <v>1.9519112438E11</v>
      </c>
      <c r="B3169" s="151" t="s">
        <v>3531</v>
      </c>
      <c r="C3169" s="95" t="s">
        <v>97</v>
      </c>
      <c r="D3169" s="95">
        <v>1.0</v>
      </c>
      <c r="E3169" s="101">
        <v>26.4</v>
      </c>
      <c r="F3169" s="101">
        <f t="shared" si="480"/>
        <v>26.4</v>
      </c>
      <c r="G3169" s="101">
        <f t="shared" si="481"/>
        <v>6.6</v>
      </c>
      <c r="H3169" s="95" t="s">
        <v>169</v>
      </c>
      <c r="J3169" s="247" t="s">
        <v>3503</v>
      </c>
      <c r="K3169" s="89"/>
      <c r="L3169" s="90"/>
      <c r="M3169" s="90"/>
      <c r="P3169" s="68"/>
    </row>
    <row r="3170">
      <c r="A3170" s="95">
        <v>1.95191202644E11</v>
      </c>
      <c r="B3170" s="151" t="s">
        <v>3532</v>
      </c>
      <c r="C3170" s="95" t="s">
        <v>97</v>
      </c>
      <c r="D3170" s="95">
        <v>1.0</v>
      </c>
      <c r="E3170" s="101">
        <v>98.0</v>
      </c>
      <c r="F3170" s="101">
        <f t="shared" si="480"/>
        <v>98</v>
      </c>
      <c r="G3170" s="101">
        <f t="shared" si="481"/>
        <v>24.5</v>
      </c>
      <c r="H3170" s="95" t="s">
        <v>169</v>
      </c>
      <c r="J3170" s="247" t="s">
        <v>3503</v>
      </c>
      <c r="K3170" s="89"/>
      <c r="L3170" s="90"/>
      <c r="M3170" s="90"/>
      <c r="P3170" s="68"/>
    </row>
    <row r="3171">
      <c r="A3171" s="95">
        <v>1.95191350659E11</v>
      </c>
      <c r="B3171" s="151" t="s">
        <v>3533</v>
      </c>
      <c r="C3171" s="95" t="s">
        <v>97</v>
      </c>
      <c r="D3171" s="95">
        <v>1.0</v>
      </c>
      <c r="E3171" s="101">
        <v>128.0</v>
      </c>
      <c r="F3171" s="101">
        <f t="shared" si="480"/>
        <v>128</v>
      </c>
      <c r="G3171" s="101">
        <f t="shared" si="481"/>
        <v>32</v>
      </c>
      <c r="H3171" s="95" t="s">
        <v>385</v>
      </c>
      <c r="J3171" s="247" t="s">
        <v>3503</v>
      </c>
      <c r="K3171" s="89"/>
      <c r="L3171" s="90"/>
      <c r="M3171" s="90"/>
      <c r="P3171" s="68"/>
    </row>
    <row r="3172">
      <c r="A3172" s="95">
        <v>1.95191358396E11</v>
      </c>
      <c r="B3172" s="151" t="s">
        <v>3534</v>
      </c>
      <c r="C3172" s="95" t="s">
        <v>97</v>
      </c>
      <c r="D3172" s="95">
        <v>1.0</v>
      </c>
      <c r="E3172" s="101">
        <v>98.0</v>
      </c>
      <c r="F3172" s="101">
        <f t="shared" si="480"/>
        <v>98</v>
      </c>
      <c r="G3172" s="101">
        <f t="shared" si="481"/>
        <v>24.5</v>
      </c>
      <c r="H3172" s="95" t="s">
        <v>169</v>
      </c>
      <c r="J3172" s="247" t="s">
        <v>3503</v>
      </c>
      <c r="K3172" s="89"/>
      <c r="L3172" s="90"/>
      <c r="M3172" s="90"/>
      <c r="P3172" s="68"/>
    </row>
    <row r="3173">
      <c r="A3173" s="95">
        <v>7.08008643327E11</v>
      </c>
      <c r="B3173" s="151" t="s">
        <v>3535</v>
      </c>
      <c r="C3173" s="95" t="s">
        <v>97</v>
      </c>
      <c r="D3173" s="95">
        <v>1.0</v>
      </c>
      <c r="E3173" s="101">
        <v>59.0</v>
      </c>
      <c r="F3173" s="101">
        <f t="shared" si="480"/>
        <v>59</v>
      </c>
      <c r="G3173" s="101">
        <f t="shared" si="481"/>
        <v>14.75</v>
      </c>
      <c r="H3173" s="95" t="s">
        <v>1383</v>
      </c>
      <c r="J3173" s="247" t="s">
        <v>3503</v>
      </c>
      <c r="K3173" s="89"/>
      <c r="L3173" s="90"/>
      <c r="M3173" s="90"/>
      <c r="P3173" s="68"/>
    </row>
    <row r="3174">
      <c r="A3174" s="95">
        <v>7.3299721211E11</v>
      </c>
      <c r="B3174" s="151" t="s">
        <v>3536</v>
      </c>
      <c r="C3174" s="95" t="s">
        <v>97</v>
      </c>
      <c r="D3174" s="95">
        <v>1.0</v>
      </c>
      <c r="E3174" s="101">
        <v>139.0</v>
      </c>
      <c r="F3174" s="101">
        <f t="shared" si="480"/>
        <v>139</v>
      </c>
      <c r="G3174" s="101">
        <f t="shared" si="481"/>
        <v>34.75</v>
      </c>
      <c r="H3174" s="95" t="s">
        <v>402</v>
      </c>
      <c r="J3174" s="247" t="s">
        <v>3503</v>
      </c>
      <c r="K3174" s="89"/>
      <c r="L3174" s="90"/>
      <c r="M3174" s="90"/>
      <c r="P3174" s="68"/>
    </row>
    <row r="3175">
      <c r="A3175" s="95">
        <v>7.32999680566E11</v>
      </c>
      <c r="B3175" s="151" t="s">
        <v>3537</v>
      </c>
      <c r="C3175" s="95" t="s">
        <v>97</v>
      </c>
      <c r="D3175" s="95">
        <v>1.0</v>
      </c>
      <c r="E3175" s="101">
        <v>39.5</v>
      </c>
      <c r="F3175" s="101">
        <f t="shared" si="480"/>
        <v>39.5</v>
      </c>
      <c r="G3175" s="101">
        <f t="shared" si="481"/>
        <v>9.875</v>
      </c>
      <c r="H3175" s="95" t="s">
        <v>402</v>
      </c>
      <c r="J3175" s="247" t="s">
        <v>3503</v>
      </c>
      <c r="K3175" s="89"/>
      <c r="L3175" s="90"/>
      <c r="M3175" s="90"/>
      <c r="P3175" s="68"/>
    </row>
    <row r="3176">
      <c r="A3176" s="95">
        <v>7.33001274025E11</v>
      </c>
      <c r="B3176" s="151" t="s">
        <v>3538</v>
      </c>
      <c r="C3176" s="95" t="s">
        <v>97</v>
      </c>
      <c r="D3176" s="95">
        <v>1.0</v>
      </c>
      <c r="E3176" s="101">
        <v>59.5</v>
      </c>
      <c r="F3176" s="101">
        <f t="shared" si="480"/>
        <v>59.5</v>
      </c>
      <c r="G3176" s="101">
        <f t="shared" si="481"/>
        <v>14.875</v>
      </c>
      <c r="H3176" s="95" t="s">
        <v>193</v>
      </c>
      <c r="J3176" s="247" t="s">
        <v>3503</v>
      </c>
      <c r="K3176" s="89"/>
      <c r="L3176" s="90"/>
      <c r="M3176" s="90"/>
      <c r="P3176" s="68"/>
    </row>
    <row r="3177">
      <c r="A3177" s="95">
        <v>7.33001453932E11</v>
      </c>
      <c r="B3177" s="151" t="s">
        <v>3539</v>
      </c>
      <c r="C3177" s="95" t="s">
        <v>97</v>
      </c>
      <c r="D3177" s="95">
        <v>1.0</v>
      </c>
      <c r="E3177" s="101">
        <v>59.5</v>
      </c>
      <c r="F3177" s="101">
        <f t="shared" si="480"/>
        <v>59.5</v>
      </c>
      <c r="G3177" s="101">
        <f t="shared" si="481"/>
        <v>14.875</v>
      </c>
      <c r="H3177" s="95" t="s">
        <v>402</v>
      </c>
      <c r="J3177" s="247" t="s">
        <v>3503</v>
      </c>
      <c r="K3177" s="89"/>
      <c r="L3177" s="90"/>
      <c r="M3177" s="90"/>
      <c r="P3177" s="68"/>
    </row>
    <row r="3178">
      <c r="A3178" s="95">
        <v>7.33001737308E11</v>
      </c>
      <c r="B3178" s="151" t="s">
        <v>3540</v>
      </c>
      <c r="C3178" s="95" t="s">
        <v>97</v>
      </c>
      <c r="D3178" s="95">
        <v>1.0</v>
      </c>
      <c r="E3178" s="101">
        <v>79.5</v>
      </c>
      <c r="F3178" s="101">
        <f t="shared" si="480"/>
        <v>79.5</v>
      </c>
      <c r="G3178" s="101">
        <f t="shared" si="481"/>
        <v>19.875</v>
      </c>
      <c r="H3178" s="95" t="s">
        <v>402</v>
      </c>
      <c r="J3178" s="247" t="s">
        <v>3503</v>
      </c>
      <c r="K3178" s="89"/>
      <c r="L3178" s="90"/>
      <c r="M3178" s="90"/>
      <c r="P3178" s="68"/>
    </row>
    <row r="3179">
      <c r="A3179" s="95">
        <v>7.33001794257E11</v>
      </c>
      <c r="B3179" s="151" t="s">
        <v>3276</v>
      </c>
      <c r="C3179" s="95" t="s">
        <v>97</v>
      </c>
      <c r="D3179" s="95">
        <v>1.0</v>
      </c>
      <c r="E3179" s="101">
        <v>69.5</v>
      </c>
      <c r="F3179" s="101">
        <f t="shared" si="480"/>
        <v>69.5</v>
      </c>
      <c r="G3179" s="101">
        <f t="shared" si="481"/>
        <v>17.375</v>
      </c>
      <c r="H3179" s="95" t="s">
        <v>402</v>
      </c>
      <c r="J3179" s="247" t="s">
        <v>3503</v>
      </c>
      <c r="K3179" s="89"/>
      <c r="L3179" s="90"/>
      <c r="M3179" s="90"/>
      <c r="P3179" s="68"/>
    </row>
    <row r="3180">
      <c r="A3180" s="95">
        <v>7.33001841074E11</v>
      </c>
      <c r="B3180" s="151" t="s">
        <v>3541</v>
      </c>
      <c r="C3180" s="95" t="s">
        <v>97</v>
      </c>
      <c r="D3180" s="95">
        <v>1.0</v>
      </c>
      <c r="E3180" s="101">
        <v>79.5</v>
      </c>
      <c r="F3180" s="101">
        <f t="shared" si="480"/>
        <v>79.5</v>
      </c>
      <c r="G3180" s="101">
        <f t="shared" si="481"/>
        <v>19.875</v>
      </c>
      <c r="H3180" s="95" t="s">
        <v>400</v>
      </c>
      <c r="J3180" s="247" t="s">
        <v>3503</v>
      </c>
      <c r="K3180" s="89"/>
      <c r="L3180" s="90"/>
      <c r="M3180" s="90"/>
      <c r="P3180" s="68"/>
    </row>
    <row r="3181">
      <c r="A3181" s="95">
        <v>7.33001905028E11</v>
      </c>
      <c r="B3181" s="151" t="s">
        <v>3542</v>
      </c>
      <c r="C3181" s="95" t="s">
        <v>97</v>
      </c>
      <c r="D3181" s="95">
        <v>1.0</v>
      </c>
      <c r="E3181" s="101">
        <v>59.5</v>
      </c>
      <c r="F3181" s="101">
        <f t="shared" si="480"/>
        <v>59.5</v>
      </c>
      <c r="G3181" s="101">
        <f t="shared" si="481"/>
        <v>14.875</v>
      </c>
      <c r="H3181" s="95" t="s">
        <v>402</v>
      </c>
      <c r="J3181" s="247" t="s">
        <v>3503</v>
      </c>
      <c r="K3181" s="89"/>
      <c r="L3181" s="90"/>
      <c r="M3181" s="90"/>
      <c r="P3181" s="68"/>
    </row>
    <row r="3182">
      <c r="A3182" s="95">
        <v>7.33001916994E11</v>
      </c>
      <c r="B3182" s="151" t="s">
        <v>3543</v>
      </c>
      <c r="C3182" s="95" t="s">
        <v>97</v>
      </c>
      <c r="D3182" s="95">
        <v>1.0</v>
      </c>
      <c r="E3182" s="101">
        <v>69.5</v>
      </c>
      <c r="F3182" s="101">
        <f t="shared" si="480"/>
        <v>69.5</v>
      </c>
      <c r="G3182" s="101">
        <f t="shared" si="481"/>
        <v>17.375</v>
      </c>
      <c r="H3182" s="95" t="s">
        <v>193</v>
      </c>
      <c r="J3182" s="247" t="s">
        <v>3503</v>
      </c>
      <c r="K3182" s="89"/>
      <c r="L3182" s="90"/>
      <c r="M3182" s="90"/>
      <c r="P3182" s="68"/>
    </row>
    <row r="3183">
      <c r="A3183" s="95">
        <v>7.33002166657E11</v>
      </c>
      <c r="B3183" s="151" t="s">
        <v>3242</v>
      </c>
      <c r="C3183" s="95" t="s">
        <v>97</v>
      </c>
      <c r="D3183" s="95">
        <v>1.0</v>
      </c>
      <c r="E3183" s="101">
        <v>79.5</v>
      </c>
      <c r="F3183" s="101">
        <f t="shared" si="480"/>
        <v>79.5</v>
      </c>
      <c r="G3183" s="101">
        <f t="shared" si="481"/>
        <v>19.875</v>
      </c>
      <c r="H3183" s="95" t="s">
        <v>402</v>
      </c>
      <c r="J3183" s="247" t="s">
        <v>3503</v>
      </c>
      <c r="K3183" s="89"/>
      <c r="L3183" s="90"/>
      <c r="M3183" s="90"/>
      <c r="P3183" s="68"/>
    </row>
    <row r="3184">
      <c r="A3184" s="95">
        <v>7.33002167197E11</v>
      </c>
      <c r="B3184" s="151" t="s">
        <v>3544</v>
      </c>
      <c r="C3184" s="95" t="s">
        <v>97</v>
      </c>
      <c r="D3184" s="95">
        <v>1.0</v>
      </c>
      <c r="E3184" s="101">
        <v>69.5</v>
      </c>
      <c r="F3184" s="101">
        <f t="shared" si="480"/>
        <v>69.5</v>
      </c>
      <c r="G3184" s="101">
        <f t="shared" si="481"/>
        <v>17.375</v>
      </c>
      <c r="H3184" s="95" t="s">
        <v>402</v>
      </c>
      <c r="J3184" s="247" t="s">
        <v>3503</v>
      </c>
      <c r="K3184" s="89"/>
      <c r="L3184" s="90"/>
      <c r="M3184" s="90"/>
      <c r="P3184" s="68"/>
    </row>
    <row r="3185">
      <c r="A3185" s="95">
        <v>7.33002395163E11</v>
      </c>
      <c r="B3185" s="151" t="s">
        <v>3545</v>
      </c>
      <c r="C3185" s="95" t="s">
        <v>97</v>
      </c>
      <c r="D3185" s="95">
        <v>1.0</v>
      </c>
      <c r="E3185" s="101">
        <v>99.5</v>
      </c>
      <c r="F3185" s="101">
        <f t="shared" si="480"/>
        <v>99.5</v>
      </c>
      <c r="G3185" s="101">
        <f t="shared" si="481"/>
        <v>24.875</v>
      </c>
      <c r="H3185" s="95" t="s">
        <v>402</v>
      </c>
      <c r="J3185" s="247" t="s">
        <v>3503</v>
      </c>
      <c r="K3185" s="89"/>
      <c r="L3185" s="90"/>
      <c r="M3185" s="90"/>
      <c r="P3185" s="68"/>
    </row>
    <row r="3186">
      <c r="A3186" s="95">
        <v>8.89829884066E11</v>
      </c>
      <c r="B3186" s="151" t="s">
        <v>3546</v>
      </c>
      <c r="C3186" s="95" t="s">
        <v>97</v>
      </c>
      <c r="D3186" s="95">
        <v>1.0</v>
      </c>
      <c r="E3186" s="101">
        <v>108.0</v>
      </c>
      <c r="F3186" s="101">
        <f t="shared" si="480"/>
        <v>108</v>
      </c>
      <c r="G3186" s="101">
        <f t="shared" si="481"/>
        <v>27</v>
      </c>
      <c r="H3186" s="95" t="s">
        <v>169</v>
      </c>
      <c r="J3186" s="247" t="s">
        <v>3503</v>
      </c>
      <c r="K3186" s="89"/>
      <c r="L3186" s="90"/>
      <c r="M3186" s="90"/>
      <c r="P3186" s="68"/>
    </row>
    <row r="3187">
      <c r="A3187" s="95">
        <v>8.89829884073E11</v>
      </c>
      <c r="B3187" s="151" t="s">
        <v>3547</v>
      </c>
      <c r="C3187" s="95" t="s">
        <v>97</v>
      </c>
      <c r="D3187" s="95">
        <v>1.0</v>
      </c>
      <c r="E3187" s="101">
        <v>108.0</v>
      </c>
      <c r="F3187" s="101">
        <f t="shared" si="480"/>
        <v>108</v>
      </c>
      <c r="G3187" s="101">
        <f t="shared" si="481"/>
        <v>27</v>
      </c>
      <c r="H3187" s="95" t="s">
        <v>169</v>
      </c>
      <c r="J3187" s="247" t="s">
        <v>3503</v>
      </c>
      <c r="K3187" s="89"/>
      <c r="L3187" s="90"/>
      <c r="M3187" s="90"/>
      <c r="P3187" s="68"/>
    </row>
    <row r="3188">
      <c r="A3188" s="211"/>
      <c r="B3188" s="231" t="s">
        <v>3548</v>
      </c>
      <c r="C3188" s="234" t="str">
        <f>MID($B3188,6,8)</f>
        <v>KL187112</v>
      </c>
      <c r="D3188" s="231"/>
      <c r="E3188" s="231"/>
      <c r="F3188" s="231"/>
      <c r="G3188" s="231"/>
      <c r="H3188" s="235">
        <v>44560.0</v>
      </c>
      <c r="J3188" s="108" t="str">
        <f>IF(LEFT(B3188,3)="Box","BOX","COUNT")</f>
        <v>BOX</v>
      </c>
      <c r="K3188" s="99">
        <f>SUMIF($J$4:$J$8712,$C3188,$D$4:$D$8712)</f>
        <v>48</v>
      </c>
      <c r="L3188" s="50">
        <f>SUMIF($J$4:$J$8712,$C3188,$F$4:$F$8712)</f>
        <v>4109.12</v>
      </c>
      <c r="M3188" s="50">
        <f>SUMIF($J$4:$J$8712,$C3188,$G$4:$G$8712)</f>
        <v>1027.28</v>
      </c>
      <c r="N3188" s="70" t="str">
        <f>C3188</f>
        <v>KL187112</v>
      </c>
      <c r="O3188" s="70" t="str">
        <f>J3189</f>
        <v>NSHIP</v>
      </c>
      <c r="P3188" s="68">
        <f>M3188</f>
        <v>1027.28</v>
      </c>
    </row>
    <row r="3189">
      <c r="A3189" s="211"/>
      <c r="B3189" s="231"/>
      <c r="C3189" s="109"/>
      <c r="D3189" s="109"/>
      <c r="E3189" s="116"/>
      <c r="F3189" s="116"/>
      <c r="G3189" s="116"/>
      <c r="H3189" s="109"/>
      <c r="J3189" s="108" t="str">
        <f>IF(B3189="","NSHIP","SHIP")</f>
        <v>NSHIP</v>
      </c>
      <c r="K3189" s="99">
        <f>IF($J3189="NSHIP",0,-SUMIF($J$4:$J$8712,$C3188,$D$4:$D$8712))</f>
        <v>0</v>
      </c>
      <c r="L3189" s="50">
        <f>IF($J3189="NSHIP",0,-SUMIF($J$4:$J$8710,$C3188,$F$4:$F$8710))</f>
        <v>0</v>
      </c>
      <c r="M3189" s="50">
        <f>IF($J3189="NSHIP",0,-SUMIF($J$4:$J$8710,$C3188,$G$4:$G$8710))</f>
        <v>0</v>
      </c>
      <c r="P3189" s="68"/>
    </row>
    <row r="3190">
      <c r="A3190" s="95">
        <v>1.90383115993E11</v>
      </c>
      <c r="B3190" s="151" t="s">
        <v>3549</v>
      </c>
      <c r="C3190" s="95" t="s">
        <v>97</v>
      </c>
      <c r="D3190" s="95">
        <v>1.0</v>
      </c>
      <c r="E3190" s="101">
        <v>78.0</v>
      </c>
      <c r="F3190" s="101">
        <f t="shared" ref="F3190:F3228" si="482">E3190*D3190</f>
        <v>78</v>
      </c>
      <c r="G3190" s="101">
        <f t="shared" ref="G3190:G3228" si="483">F3190/4</f>
        <v>19.5</v>
      </c>
      <c r="H3190" s="95" t="s">
        <v>169</v>
      </c>
      <c r="J3190" s="247" t="s">
        <v>3550</v>
      </c>
      <c r="K3190" s="89"/>
      <c r="L3190" s="90"/>
      <c r="M3190" s="90"/>
      <c r="P3190" s="68"/>
    </row>
    <row r="3191">
      <c r="A3191" s="95">
        <v>1.90383116006E11</v>
      </c>
      <c r="B3191" s="151" t="s">
        <v>3551</v>
      </c>
      <c r="C3191" s="95" t="s">
        <v>97</v>
      </c>
      <c r="D3191" s="95">
        <v>1.0</v>
      </c>
      <c r="E3191" s="101">
        <v>78.0</v>
      </c>
      <c r="F3191" s="101">
        <f t="shared" si="482"/>
        <v>78</v>
      </c>
      <c r="G3191" s="101">
        <f t="shared" si="483"/>
        <v>19.5</v>
      </c>
      <c r="H3191" s="95" t="s">
        <v>169</v>
      </c>
      <c r="J3191" s="247" t="s">
        <v>3550</v>
      </c>
      <c r="K3191" s="89"/>
      <c r="L3191" s="90"/>
      <c r="M3191" s="90"/>
      <c r="P3191" s="68"/>
    </row>
    <row r="3192">
      <c r="A3192" s="95">
        <v>1.92400922294E11</v>
      </c>
      <c r="B3192" s="151" t="s">
        <v>3552</v>
      </c>
      <c r="C3192" s="95" t="s">
        <v>97</v>
      </c>
      <c r="D3192" s="95">
        <v>1.0</v>
      </c>
      <c r="E3192" s="101">
        <v>149.0</v>
      </c>
      <c r="F3192" s="101">
        <f t="shared" si="482"/>
        <v>149</v>
      </c>
      <c r="G3192" s="101">
        <f t="shared" si="483"/>
        <v>37.25</v>
      </c>
      <c r="H3192" s="95" t="s">
        <v>3553</v>
      </c>
      <c r="J3192" s="247" t="s">
        <v>3550</v>
      </c>
      <c r="K3192" s="89"/>
      <c r="L3192" s="90"/>
      <c r="M3192" s="90"/>
      <c r="P3192" s="68"/>
    </row>
    <row r="3193">
      <c r="A3193" s="95">
        <v>1.92942804539E11</v>
      </c>
      <c r="B3193" s="151" t="s">
        <v>3554</v>
      </c>
      <c r="C3193" s="95" t="s">
        <v>97</v>
      </c>
      <c r="D3193" s="95">
        <v>1.0</v>
      </c>
      <c r="E3193" s="101">
        <v>128.0</v>
      </c>
      <c r="F3193" s="101">
        <f t="shared" si="482"/>
        <v>128</v>
      </c>
      <c r="G3193" s="101">
        <f t="shared" si="483"/>
        <v>32</v>
      </c>
      <c r="H3193" s="95" t="s">
        <v>3555</v>
      </c>
      <c r="J3193" s="247" t="s">
        <v>3550</v>
      </c>
      <c r="K3193" s="89"/>
      <c r="L3193" s="90"/>
      <c r="M3193" s="90"/>
      <c r="P3193" s="68"/>
    </row>
    <row r="3194">
      <c r="A3194" s="95">
        <v>1.93372255854E11</v>
      </c>
      <c r="B3194" s="151" t="s">
        <v>3556</v>
      </c>
      <c r="C3194" s="95" t="s">
        <v>97</v>
      </c>
      <c r="D3194" s="95">
        <v>1.0</v>
      </c>
      <c r="E3194" s="101">
        <v>165.0</v>
      </c>
      <c r="F3194" s="101">
        <f t="shared" si="482"/>
        <v>165</v>
      </c>
      <c r="G3194" s="101">
        <f t="shared" si="483"/>
        <v>41.25</v>
      </c>
      <c r="H3194" s="95" t="s">
        <v>444</v>
      </c>
      <c r="J3194" s="247" t="s">
        <v>3550</v>
      </c>
      <c r="K3194" s="89"/>
      <c r="L3194" s="90"/>
      <c r="M3194" s="90"/>
      <c r="P3194" s="68"/>
    </row>
    <row r="3195">
      <c r="A3195" s="95">
        <v>1.93465423092E11</v>
      </c>
      <c r="B3195" s="151" t="s">
        <v>3557</v>
      </c>
      <c r="C3195" s="95" t="s">
        <v>97</v>
      </c>
      <c r="D3195" s="95">
        <v>1.0</v>
      </c>
      <c r="E3195" s="101">
        <v>98.0</v>
      </c>
      <c r="F3195" s="101">
        <f t="shared" si="482"/>
        <v>98</v>
      </c>
      <c r="G3195" s="101">
        <f t="shared" si="483"/>
        <v>24.5</v>
      </c>
      <c r="H3195" s="95" t="s">
        <v>169</v>
      </c>
      <c r="J3195" s="247" t="s">
        <v>3550</v>
      </c>
      <c r="K3195" s="89"/>
      <c r="L3195" s="90"/>
      <c r="M3195" s="90"/>
      <c r="P3195" s="68"/>
    </row>
    <row r="3196">
      <c r="A3196" s="95">
        <v>1.93465872067E11</v>
      </c>
      <c r="B3196" s="151" t="s">
        <v>3558</v>
      </c>
      <c r="C3196" s="95" t="s">
        <v>97</v>
      </c>
      <c r="D3196" s="95">
        <v>1.0</v>
      </c>
      <c r="E3196" s="101">
        <v>78.0</v>
      </c>
      <c r="F3196" s="101">
        <f t="shared" si="482"/>
        <v>78</v>
      </c>
      <c r="G3196" s="101">
        <f t="shared" si="483"/>
        <v>19.5</v>
      </c>
      <c r="H3196" s="95" t="s">
        <v>169</v>
      </c>
      <c r="J3196" s="247" t="s">
        <v>3550</v>
      </c>
      <c r="K3196" s="89"/>
      <c r="L3196" s="90"/>
      <c r="M3196" s="90"/>
      <c r="P3196" s="68"/>
    </row>
    <row r="3197">
      <c r="A3197" s="95">
        <v>1.94374047843E11</v>
      </c>
      <c r="B3197" s="151" t="s">
        <v>3418</v>
      </c>
      <c r="C3197" s="95" t="s">
        <v>97</v>
      </c>
      <c r="D3197" s="95">
        <v>1.0</v>
      </c>
      <c r="E3197" s="101">
        <v>108.0</v>
      </c>
      <c r="F3197" s="101">
        <f t="shared" si="482"/>
        <v>108</v>
      </c>
      <c r="G3197" s="101">
        <f t="shared" si="483"/>
        <v>27</v>
      </c>
      <c r="H3197" s="95" t="s">
        <v>169</v>
      </c>
      <c r="J3197" s="247" t="s">
        <v>3550</v>
      </c>
      <c r="K3197" s="89"/>
      <c r="L3197" s="90"/>
      <c r="M3197" s="90"/>
      <c r="P3197" s="68"/>
    </row>
    <row r="3198">
      <c r="A3198" s="95">
        <v>1.94374108575E11</v>
      </c>
      <c r="B3198" s="151" t="s">
        <v>3559</v>
      </c>
      <c r="C3198" s="95" t="s">
        <v>97</v>
      </c>
      <c r="D3198" s="95">
        <v>1.0</v>
      </c>
      <c r="E3198" s="101">
        <v>88.0</v>
      </c>
      <c r="F3198" s="101">
        <f t="shared" si="482"/>
        <v>88</v>
      </c>
      <c r="G3198" s="101">
        <f t="shared" si="483"/>
        <v>22</v>
      </c>
      <c r="H3198" s="95" t="s">
        <v>169</v>
      </c>
      <c r="J3198" s="247" t="s">
        <v>3550</v>
      </c>
      <c r="K3198" s="89"/>
      <c r="L3198" s="90"/>
      <c r="M3198" s="90"/>
      <c r="P3198" s="68"/>
    </row>
    <row r="3199">
      <c r="A3199" s="95">
        <v>1.94374153667E11</v>
      </c>
      <c r="B3199" s="151" t="s">
        <v>3560</v>
      </c>
      <c r="C3199" s="95" t="s">
        <v>97</v>
      </c>
      <c r="D3199" s="95">
        <v>1.0</v>
      </c>
      <c r="E3199" s="101">
        <v>88.0</v>
      </c>
      <c r="F3199" s="101">
        <f t="shared" si="482"/>
        <v>88</v>
      </c>
      <c r="G3199" s="101">
        <f t="shared" si="483"/>
        <v>22</v>
      </c>
      <c r="H3199" s="95" t="s">
        <v>169</v>
      </c>
      <c r="J3199" s="247" t="s">
        <v>3550</v>
      </c>
      <c r="K3199" s="89"/>
      <c r="L3199" s="90"/>
      <c r="M3199" s="90"/>
      <c r="P3199" s="68"/>
    </row>
    <row r="3200">
      <c r="A3200" s="95">
        <v>1.94374153681E11</v>
      </c>
      <c r="B3200" s="151" t="s">
        <v>3510</v>
      </c>
      <c r="C3200" s="95" t="s">
        <v>97</v>
      </c>
      <c r="D3200" s="95">
        <v>1.0</v>
      </c>
      <c r="E3200" s="101">
        <v>88.0</v>
      </c>
      <c r="F3200" s="101">
        <f t="shared" si="482"/>
        <v>88</v>
      </c>
      <c r="G3200" s="101">
        <f t="shared" si="483"/>
        <v>22</v>
      </c>
      <c r="H3200" s="95" t="s">
        <v>169</v>
      </c>
      <c r="J3200" s="247" t="s">
        <v>3550</v>
      </c>
      <c r="K3200" s="89"/>
      <c r="L3200" s="90"/>
      <c r="M3200" s="90"/>
      <c r="P3200" s="68"/>
    </row>
    <row r="3201">
      <c r="A3201" s="95">
        <v>1.94374162751E11</v>
      </c>
      <c r="B3201" s="151" t="s">
        <v>3561</v>
      </c>
      <c r="C3201" s="95" t="s">
        <v>97</v>
      </c>
      <c r="D3201" s="95">
        <v>1.0</v>
      </c>
      <c r="E3201" s="101">
        <v>148.0</v>
      </c>
      <c r="F3201" s="101">
        <f t="shared" si="482"/>
        <v>148</v>
      </c>
      <c r="G3201" s="101">
        <f t="shared" si="483"/>
        <v>37</v>
      </c>
      <c r="H3201" s="95" t="s">
        <v>169</v>
      </c>
      <c r="J3201" s="247" t="s">
        <v>3550</v>
      </c>
      <c r="K3201" s="89"/>
      <c r="L3201" s="90"/>
      <c r="M3201" s="90"/>
      <c r="P3201" s="68"/>
    </row>
    <row r="3202">
      <c r="A3202" s="95">
        <v>1.9437450353E11</v>
      </c>
      <c r="B3202" s="151" t="s">
        <v>3562</v>
      </c>
      <c r="C3202" s="95" t="s">
        <v>97</v>
      </c>
      <c r="D3202" s="95">
        <v>1.0</v>
      </c>
      <c r="E3202" s="101">
        <v>98.0</v>
      </c>
      <c r="F3202" s="101">
        <f t="shared" si="482"/>
        <v>98</v>
      </c>
      <c r="G3202" s="101">
        <f t="shared" si="483"/>
        <v>24.5</v>
      </c>
      <c r="H3202" s="95" t="s">
        <v>169</v>
      </c>
      <c r="J3202" s="247" t="s">
        <v>3550</v>
      </c>
      <c r="K3202" s="89"/>
      <c r="L3202" s="90"/>
      <c r="M3202" s="90"/>
      <c r="P3202" s="68"/>
    </row>
    <row r="3203">
      <c r="A3203" s="95">
        <v>1.94374545882E11</v>
      </c>
      <c r="B3203" s="151" t="s">
        <v>3563</v>
      </c>
      <c r="C3203" s="95" t="s">
        <v>97</v>
      </c>
      <c r="D3203" s="95">
        <v>1.0</v>
      </c>
      <c r="E3203" s="101">
        <v>168.0</v>
      </c>
      <c r="F3203" s="101">
        <f t="shared" si="482"/>
        <v>168</v>
      </c>
      <c r="G3203" s="101">
        <f t="shared" si="483"/>
        <v>42</v>
      </c>
      <c r="H3203" s="95" t="s">
        <v>169</v>
      </c>
      <c r="J3203" s="247" t="s">
        <v>3550</v>
      </c>
      <c r="K3203" s="89"/>
      <c r="L3203" s="90"/>
      <c r="M3203" s="90"/>
      <c r="P3203" s="68"/>
    </row>
    <row r="3204">
      <c r="A3204" s="95">
        <v>1.9437455118E11</v>
      </c>
      <c r="B3204" s="151" t="s">
        <v>3564</v>
      </c>
      <c r="C3204" s="95" t="s">
        <v>97</v>
      </c>
      <c r="D3204" s="95">
        <v>1.0</v>
      </c>
      <c r="E3204" s="101">
        <v>108.0</v>
      </c>
      <c r="F3204" s="101">
        <f t="shared" si="482"/>
        <v>108</v>
      </c>
      <c r="G3204" s="101">
        <f t="shared" si="483"/>
        <v>27</v>
      </c>
      <c r="H3204" s="95" t="s">
        <v>169</v>
      </c>
      <c r="J3204" s="247" t="s">
        <v>3550</v>
      </c>
      <c r="K3204" s="89"/>
      <c r="L3204" s="90"/>
      <c r="M3204" s="90"/>
      <c r="P3204" s="68"/>
    </row>
    <row r="3205">
      <c r="A3205" s="95">
        <v>1.94374604541E11</v>
      </c>
      <c r="B3205" s="151" t="s">
        <v>3467</v>
      </c>
      <c r="C3205" s="95" t="s">
        <v>97</v>
      </c>
      <c r="D3205" s="95">
        <v>1.0</v>
      </c>
      <c r="E3205" s="101">
        <v>58.0</v>
      </c>
      <c r="F3205" s="101">
        <f t="shared" si="482"/>
        <v>58</v>
      </c>
      <c r="G3205" s="101">
        <f t="shared" si="483"/>
        <v>14.5</v>
      </c>
      <c r="H3205" s="95" t="s">
        <v>169</v>
      </c>
      <c r="J3205" s="247" t="s">
        <v>3550</v>
      </c>
      <c r="K3205" s="89"/>
      <c r="L3205" s="90"/>
      <c r="M3205" s="90"/>
      <c r="P3205" s="68"/>
    </row>
    <row r="3206">
      <c r="A3206" s="95">
        <v>1.94374604558E11</v>
      </c>
      <c r="B3206" s="151" t="s">
        <v>3565</v>
      </c>
      <c r="C3206" s="95" t="s">
        <v>97</v>
      </c>
      <c r="D3206" s="95">
        <v>1.0</v>
      </c>
      <c r="E3206" s="101">
        <v>58.0</v>
      </c>
      <c r="F3206" s="101">
        <f t="shared" si="482"/>
        <v>58</v>
      </c>
      <c r="G3206" s="101">
        <f t="shared" si="483"/>
        <v>14.5</v>
      </c>
      <c r="H3206" s="95" t="s">
        <v>169</v>
      </c>
      <c r="J3206" s="247" t="s">
        <v>3550</v>
      </c>
      <c r="K3206" s="89"/>
      <c r="L3206" s="90"/>
      <c r="M3206" s="90"/>
      <c r="P3206" s="68"/>
    </row>
    <row r="3207">
      <c r="A3207" s="95">
        <v>1.94374622149E11</v>
      </c>
      <c r="B3207" s="151" t="s">
        <v>3566</v>
      </c>
      <c r="C3207" s="95" t="s">
        <v>97</v>
      </c>
      <c r="D3207" s="95">
        <v>1.0</v>
      </c>
      <c r="E3207" s="101">
        <v>128.0</v>
      </c>
      <c r="F3207" s="101">
        <f t="shared" si="482"/>
        <v>128</v>
      </c>
      <c r="G3207" s="101">
        <f t="shared" si="483"/>
        <v>32</v>
      </c>
      <c r="H3207" s="95" t="s">
        <v>169</v>
      </c>
      <c r="J3207" s="247" t="s">
        <v>3550</v>
      </c>
      <c r="K3207" s="89"/>
      <c r="L3207" s="90"/>
      <c r="M3207" s="90"/>
      <c r="P3207" s="68"/>
    </row>
    <row r="3208">
      <c r="A3208" s="95">
        <v>1.94374664378E11</v>
      </c>
      <c r="B3208" s="151" t="s">
        <v>3567</v>
      </c>
      <c r="C3208" s="95" t="s">
        <v>97</v>
      </c>
      <c r="D3208" s="95">
        <v>1.0</v>
      </c>
      <c r="E3208" s="101">
        <v>78.0</v>
      </c>
      <c r="F3208" s="101">
        <f t="shared" si="482"/>
        <v>78</v>
      </c>
      <c r="G3208" s="101">
        <f t="shared" si="483"/>
        <v>19.5</v>
      </c>
      <c r="H3208" s="95" t="s">
        <v>169</v>
      </c>
      <c r="J3208" s="247" t="s">
        <v>3550</v>
      </c>
      <c r="K3208" s="89"/>
      <c r="L3208" s="90"/>
      <c r="M3208" s="90"/>
      <c r="P3208" s="68"/>
    </row>
    <row r="3209">
      <c r="A3209" s="95">
        <v>1.94374682327E11</v>
      </c>
      <c r="B3209" s="151" t="s">
        <v>3568</v>
      </c>
      <c r="C3209" s="95" t="s">
        <v>97</v>
      </c>
      <c r="D3209" s="95">
        <v>1.0</v>
      </c>
      <c r="E3209" s="101">
        <v>148.0</v>
      </c>
      <c r="F3209" s="101">
        <f t="shared" si="482"/>
        <v>148</v>
      </c>
      <c r="G3209" s="101">
        <f t="shared" si="483"/>
        <v>37</v>
      </c>
      <c r="H3209" s="95" t="s">
        <v>169</v>
      </c>
      <c r="J3209" s="247" t="s">
        <v>3550</v>
      </c>
      <c r="K3209" s="89"/>
      <c r="L3209" s="90"/>
      <c r="M3209" s="90"/>
      <c r="P3209" s="68"/>
    </row>
    <row r="3210">
      <c r="A3210" s="95">
        <v>1.94374722689E11</v>
      </c>
      <c r="B3210" s="151" t="s">
        <v>3569</v>
      </c>
      <c r="C3210" s="95" t="s">
        <v>97</v>
      </c>
      <c r="D3210" s="95">
        <v>1.0</v>
      </c>
      <c r="E3210" s="101">
        <v>128.0</v>
      </c>
      <c r="F3210" s="101">
        <f t="shared" si="482"/>
        <v>128</v>
      </c>
      <c r="G3210" s="101">
        <f t="shared" si="483"/>
        <v>32</v>
      </c>
      <c r="H3210" s="95" t="s">
        <v>169</v>
      </c>
      <c r="J3210" s="247" t="s">
        <v>3550</v>
      </c>
      <c r="K3210" s="89"/>
      <c r="L3210" s="90"/>
      <c r="M3210" s="90"/>
      <c r="P3210" s="68"/>
    </row>
    <row r="3211">
      <c r="A3211" s="95">
        <v>1.95191288105E11</v>
      </c>
      <c r="B3211" s="151" t="s">
        <v>3570</v>
      </c>
      <c r="C3211" s="95" t="s">
        <v>97</v>
      </c>
      <c r="D3211" s="95">
        <v>1.0</v>
      </c>
      <c r="E3211" s="101">
        <v>128.0</v>
      </c>
      <c r="F3211" s="101">
        <f t="shared" si="482"/>
        <v>128</v>
      </c>
      <c r="G3211" s="101">
        <f t="shared" si="483"/>
        <v>32</v>
      </c>
      <c r="H3211" s="95" t="s">
        <v>169</v>
      </c>
      <c r="J3211" s="247" t="s">
        <v>3550</v>
      </c>
      <c r="K3211" s="89"/>
      <c r="L3211" s="90"/>
      <c r="M3211" s="90"/>
      <c r="P3211" s="68"/>
    </row>
    <row r="3212">
      <c r="A3212" s="95">
        <v>1.95191337957E11</v>
      </c>
      <c r="B3212" s="151" t="s">
        <v>3571</v>
      </c>
      <c r="C3212" s="95" t="s">
        <v>97</v>
      </c>
      <c r="D3212" s="95">
        <v>1.0</v>
      </c>
      <c r="E3212" s="101">
        <v>298.0</v>
      </c>
      <c r="F3212" s="101">
        <f t="shared" si="482"/>
        <v>298</v>
      </c>
      <c r="G3212" s="101">
        <f t="shared" si="483"/>
        <v>74.5</v>
      </c>
      <c r="H3212" s="95" t="s">
        <v>169</v>
      </c>
      <c r="J3212" s="247" t="s">
        <v>3550</v>
      </c>
      <c r="K3212" s="89"/>
      <c r="L3212" s="90"/>
      <c r="M3212" s="90"/>
      <c r="P3212" s="68"/>
    </row>
    <row r="3213">
      <c r="A3213" s="95">
        <v>1.95203394824E11</v>
      </c>
      <c r="B3213" s="151" t="s">
        <v>3572</v>
      </c>
      <c r="C3213" s="95" t="s">
        <v>97</v>
      </c>
      <c r="D3213" s="95">
        <v>1.0</v>
      </c>
      <c r="E3213" s="101">
        <v>69.0</v>
      </c>
      <c r="F3213" s="101">
        <f t="shared" si="482"/>
        <v>69</v>
      </c>
      <c r="G3213" s="101">
        <f t="shared" si="483"/>
        <v>17.25</v>
      </c>
      <c r="H3213" s="95" t="s">
        <v>388</v>
      </c>
      <c r="J3213" s="247" t="s">
        <v>3550</v>
      </c>
      <c r="K3213" s="89"/>
      <c r="L3213" s="90"/>
      <c r="M3213" s="90"/>
      <c r="P3213" s="68"/>
    </row>
    <row r="3214">
      <c r="A3214" s="95">
        <v>6.01350205161E11</v>
      </c>
      <c r="B3214" s="151" t="s">
        <v>3573</v>
      </c>
      <c r="C3214" s="95" t="s">
        <v>97</v>
      </c>
      <c r="D3214" s="95">
        <v>1.0</v>
      </c>
      <c r="E3214" s="101">
        <v>89.0</v>
      </c>
      <c r="F3214" s="101">
        <f t="shared" si="482"/>
        <v>89</v>
      </c>
      <c r="G3214" s="101">
        <f t="shared" si="483"/>
        <v>22.25</v>
      </c>
      <c r="H3214" s="95" t="s">
        <v>3574</v>
      </c>
      <c r="J3214" s="247" t="s">
        <v>3550</v>
      </c>
      <c r="K3214" s="89"/>
      <c r="L3214" s="90"/>
      <c r="M3214" s="90"/>
      <c r="P3214" s="68"/>
    </row>
    <row r="3215">
      <c r="A3215" s="95">
        <v>6.01350205178E11</v>
      </c>
      <c r="B3215" s="151" t="s">
        <v>3575</v>
      </c>
      <c r="C3215" s="95" t="s">
        <v>97</v>
      </c>
      <c r="D3215" s="95">
        <v>1.0</v>
      </c>
      <c r="E3215" s="101">
        <v>89.0</v>
      </c>
      <c r="F3215" s="101">
        <f t="shared" si="482"/>
        <v>89</v>
      </c>
      <c r="G3215" s="101">
        <f t="shared" si="483"/>
        <v>22.25</v>
      </c>
      <c r="H3215" s="95" t="s">
        <v>3574</v>
      </c>
      <c r="J3215" s="247" t="s">
        <v>3550</v>
      </c>
      <c r="K3215" s="89"/>
      <c r="L3215" s="90"/>
      <c r="M3215" s="90"/>
      <c r="P3215" s="68"/>
    </row>
    <row r="3216">
      <c r="A3216" s="95">
        <v>6.01350205185E11</v>
      </c>
      <c r="B3216" s="151" t="s">
        <v>3576</v>
      </c>
      <c r="C3216" s="95" t="s">
        <v>97</v>
      </c>
      <c r="D3216" s="95">
        <v>1.0</v>
      </c>
      <c r="E3216" s="101">
        <v>89.0</v>
      </c>
      <c r="F3216" s="101">
        <f t="shared" si="482"/>
        <v>89</v>
      </c>
      <c r="G3216" s="101">
        <f t="shared" si="483"/>
        <v>22.25</v>
      </c>
      <c r="H3216" s="95" t="s">
        <v>3574</v>
      </c>
      <c r="J3216" s="247" t="s">
        <v>3550</v>
      </c>
      <c r="K3216" s="89"/>
      <c r="L3216" s="90"/>
      <c r="M3216" s="90"/>
      <c r="P3216" s="68"/>
    </row>
    <row r="3217">
      <c r="A3217" s="95">
        <v>6.01350205222E11</v>
      </c>
      <c r="B3217" s="151" t="s">
        <v>3577</v>
      </c>
      <c r="C3217" s="95" t="s">
        <v>97</v>
      </c>
      <c r="D3217" s="95">
        <v>1.0</v>
      </c>
      <c r="E3217" s="101">
        <v>89.0</v>
      </c>
      <c r="F3217" s="101">
        <f t="shared" si="482"/>
        <v>89</v>
      </c>
      <c r="G3217" s="101">
        <f t="shared" si="483"/>
        <v>22.25</v>
      </c>
      <c r="H3217" s="95" t="s">
        <v>3574</v>
      </c>
      <c r="J3217" s="247" t="s">
        <v>3550</v>
      </c>
      <c r="K3217" s="89"/>
      <c r="L3217" s="90"/>
      <c r="M3217" s="90"/>
      <c r="P3217" s="68"/>
    </row>
    <row r="3218">
      <c r="A3218" s="95">
        <v>6.01350386846E11</v>
      </c>
      <c r="B3218" s="151" t="s">
        <v>3578</v>
      </c>
      <c r="C3218" s="95" t="s">
        <v>97</v>
      </c>
      <c r="D3218" s="95">
        <v>1.0</v>
      </c>
      <c r="E3218" s="101">
        <v>89.0</v>
      </c>
      <c r="F3218" s="101">
        <f t="shared" si="482"/>
        <v>89</v>
      </c>
      <c r="G3218" s="101">
        <f t="shared" si="483"/>
        <v>22.25</v>
      </c>
      <c r="H3218" s="95" t="s">
        <v>3574</v>
      </c>
      <c r="J3218" s="247" t="s">
        <v>3550</v>
      </c>
      <c r="K3218" s="89"/>
      <c r="L3218" s="90"/>
      <c r="M3218" s="90"/>
      <c r="P3218" s="68"/>
    </row>
    <row r="3219">
      <c r="A3219" s="95">
        <v>7.32999979257E11</v>
      </c>
      <c r="B3219" s="151" t="s">
        <v>3579</v>
      </c>
      <c r="C3219" s="95" t="s">
        <v>97</v>
      </c>
      <c r="D3219" s="95">
        <v>1.0</v>
      </c>
      <c r="E3219" s="101">
        <v>99.5</v>
      </c>
      <c r="F3219" s="101">
        <f t="shared" si="482"/>
        <v>99.5</v>
      </c>
      <c r="G3219" s="101">
        <f t="shared" si="483"/>
        <v>24.875</v>
      </c>
      <c r="H3219" s="95" t="s">
        <v>193</v>
      </c>
      <c r="J3219" s="247" t="s">
        <v>3550</v>
      </c>
      <c r="K3219" s="89"/>
      <c r="L3219" s="90"/>
      <c r="M3219" s="90"/>
      <c r="P3219" s="68"/>
    </row>
    <row r="3220">
      <c r="A3220" s="95">
        <v>7.33001521808E11</v>
      </c>
      <c r="B3220" s="151" t="s">
        <v>3580</v>
      </c>
      <c r="C3220" s="95" t="s">
        <v>97</v>
      </c>
      <c r="D3220" s="95">
        <v>1.0</v>
      </c>
      <c r="E3220" s="101">
        <v>79.5</v>
      </c>
      <c r="F3220" s="101">
        <f t="shared" si="482"/>
        <v>79.5</v>
      </c>
      <c r="G3220" s="101">
        <f t="shared" si="483"/>
        <v>19.875</v>
      </c>
      <c r="H3220" s="95" t="s">
        <v>402</v>
      </c>
      <c r="J3220" s="247" t="s">
        <v>3550</v>
      </c>
      <c r="K3220" s="89"/>
      <c r="L3220" s="90"/>
      <c r="M3220" s="90"/>
      <c r="P3220" s="68"/>
    </row>
    <row r="3221">
      <c r="A3221" s="95">
        <v>7.33001763222E11</v>
      </c>
      <c r="B3221" s="151" t="s">
        <v>3581</v>
      </c>
      <c r="C3221" s="95" t="s">
        <v>97</v>
      </c>
      <c r="D3221" s="95">
        <v>1.0</v>
      </c>
      <c r="E3221" s="101">
        <v>59.5</v>
      </c>
      <c r="F3221" s="101">
        <f t="shared" si="482"/>
        <v>59.5</v>
      </c>
      <c r="G3221" s="101">
        <f t="shared" si="483"/>
        <v>14.875</v>
      </c>
      <c r="H3221" s="95" t="s">
        <v>193</v>
      </c>
      <c r="J3221" s="247" t="s">
        <v>3550</v>
      </c>
      <c r="K3221" s="89"/>
      <c r="L3221" s="90"/>
      <c r="M3221" s="90"/>
      <c r="P3221" s="68"/>
    </row>
    <row r="3222">
      <c r="A3222" s="95">
        <v>7.33001828266E11</v>
      </c>
      <c r="B3222" s="151" t="s">
        <v>3582</v>
      </c>
      <c r="C3222" s="95" t="s">
        <v>97</v>
      </c>
      <c r="D3222" s="95">
        <v>1.0</v>
      </c>
      <c r="E3222" s="101">
        <v>34.5</v>
      </c>
      <c r="F3222" s="101">
        <f t="shared" si="482"/>
        <v>34.5</v>
      </c>
      <c r="G3222" s="101">
        <f t="shared" si="483"/>
        <v>8.625</v>
      </c>
      <c r="H3222" s="95" t="s">
        <v>400</v>
      </c>
      <c r="J3222" s="247" t="s">
        <v>3550</v>
      </c>
      <c r="K3222" s="89"/>
      <c r="L3222" s="90"/>
      <c r="M3222" s="90"/>
      <c r="P3222" s="68"/>
    </row>
    <row r="3223">
      <c r="A3223" s="95">
        <v>7.33002176663E11</v>
      </c>
      <c r="B3223" s="151" t="s">
        <v>3583</v>
      </c>
      <c r="C3223" s="95" t="s">
        <v>97</v>
      </c>
      <c r="D3223" s="95">
        <v>1.0</v>
      </c>
      <c r="E3223" s="101">
        <v>79.5</v>
      </c>
      <c r="F3223" s="101">
        <f t="shared" si="482"/>
        <v>79.5</v>
      </c>
      <c r="G3223" s="101">
        <f t="shared" si="483"/>
        <v>19.875</v>
      </c>
      <c r="H3223" s="95" t="s">
        <v>402</v>
      </c>
      <c r="J3223" s="247" t="s">
        <v>3550</v>
      </c>
      <c r="K3223" s="89"/>
      <c r="L3223" s="90"/>
      <c r="M3223" s="90"/>
      <c r="P3223" s="68"/>
    </row>
    <row r="3224">
      <c r="A3224" s="95">
        <v>7.33002207428E11</v>
      </c>
      <c r="B3224" s="151" t="s">
        <v>3208</v>
      </c>
      <c r="C3224" s="95" t="s">
        <v>97</v>
      </c>
      <c r="D3224" s="95">
        <v>1.0</v>
      </c>
      <c r="E3224" s="101">
        <v>69.5</v>
      </c>
      <c r="F3224" s="101">
        <f t="shared" si="482"/>
        <v>69.5</v>
      </c>
      <c r="G3224" s="101">
        <f t="shared" si="483"/>
        <v>17.375</v>
      </c>
      <c r="H3224" s="95" t="s">
        <v>402</v>
      </c>
      <c r="J3224" s="247" t="s">
        <v>3550</v>
      </c>
      <c r="K3224" s="89"/>
      <c r="L3224" s="90"/>
      <c r="M3224" s="90"/>
      <c r="P3224" s="68"/>
    </row>
    <row r="3225">
      <c r="A3225" s="95">
        <v>7.33002394753E11</v>
      </c>
      <c r="B3225" s="151" t="s">
        <v>3285</v>
      </c>
      <c r="C3225" s="95" t="s">
        <v>97</v>
      </c>
      <c r="D3225" s="95">
        <v>2.0</v>
      </c>
      <c r="E3225" s="101">
        <v>129.5</v>
      </c>
      <c r="F3225" s="101">
        <f t="shared" si="482"/>
        <v>259</v>
      </c>
      <c r="G3225" s="101">
        <f t="shared" si="483"/>
        <v>64.75</v>
      </c>
      <c r="H3225" s="95" t="s">
        <v>402</v>
      </c>
      <c r="J3225" s="247" t="s">
        <v>3550</v>
      </c>
      <c r="K3225" s="89"/>
      <c r="L3225" s="90"/>
      <c r="M3225" s="90"/>
      <c r="P3225" s="68"/>
    </row>
    <row r="3226">
      <c r="A3226" s="95">
        <v>7.33002394845E11</v>
      </c>
      <c r="B3226" s="151" t="s">
        <v>3584</v>
      </c>
      <c r="C3226" s="95" t="s">
        <v>97</v>
      </c>
      <c r="D3226" s="95">
        <v>1.0</v>
      </c>
      <c r="E3226" s="101">
        <v>74.5</v>
      </c>
      <c r="F3226" s="101">
        <f t="shared" si="482"/>
        <v>74.5</v>
      </c>
      <c r="G3226" s="101">
        <f t="shared" si="483"/>
        <v>18.625</v>
      </c>
      <c r="H3226" s="95" t="s">
        <v>402</v>
      </c>
      <c r="J3226" s="247" t="s">
        <v>3550</v>
      </c>
      <c r="K3226" s="89"/>
      <c r="L3226" s="90"/>
      <c r="M3226" s="90"/>
      <c r="P3226" s="68"/>
    </row>
    <row r="3227">
      <c r="A3227" s="95">
        <v>8.87043565037E11</v>
      </c>
      <c r="B3227" s="151" t="s">
        <v>3585</v>
      </c>
      <c r="C3227" s="95" t="s">
        <v>97</v>
      </c>
      <c r="D3227" s="95">
        <v>1.0</v>
      </c>
      <c r="E3227" s="101">
        <v>11.93</v>
      </c>
      <c r="F3227" s="101">
        <f t="shared" si="482"/>
        <v>11.93</v>
      </c>
      <c r="G3227" s="101">
        <f t="shared" si="483"/>
        <v>2.9825</v>
      </c>
      <c r="H3227" s="95" t="s">
        <v>3421</v>
      </c>
      <c r="J3227" s="247" t="s">
        <v>3550</v>
      </c>
      <c r="K3227" s="89"/>
      <c r="L3227" s="90"/>
      <c r="M3227" s="90"/>
      <c r="P3227" s="68"/>
    </row>
    <row r="3228">
      <c r="A3228" s="95">
        <v>8.87650695592E11</v>
      </c>
      <c r="B3228" s="151" t="s">
        <v>3586</v>
      </c>
      <c r="C3228" s="95" t="s">
        <v>97</v>
      </c>
      <c r="D3228" s="95">
        <v>1.0</v>
      </c>
      <c r="E3228" s="101">
        <v>49.5</v>
      </c>
      <c r="F3228" s="101">
        <f t="shared" si="482"/>
        <v>49.5</v>
      </c>
      <c r="G3228" s="101">
        <f t="shared" si="483"/>
        <v>12.375</v>
      </c>
      <c r="H3228" s="95" t="s">
        <v>528</v>
      </c>
      <c r="J3228" s="247" t="s">
        <v>3550</v>
      </c>
      <c r="K3228" s="89"/>
      <c r="L3228" s="90"/>
      <c r="M3228" s="90"/>
      <c r="P3228" s="68"/>
    </row>
    <row r="3229">
      <c r="A3229" s="211"/>
      <c r="B3229" s="231" t="s">
        <v>3587</v>
      </c>
      <c r="C3229" s="234" t="str">
        <f>MID($B3229,6,8)</f>
        <v>KL187113</v>
      </c>
      <c r="D3229" s="231"/>
      <c r="E3229" s="231"/>
      <c r="F3229" s="231"/>
      <c r="G3229" s="231"/>
      <c r="H3229" s="235">
        <v>44560.0</v>
      </c>
      <c r="J3229" s="108" t="str">
        <f>IF(LEFT(B3229,3)="Box","BOX","COUNT")</f>
        <v>BOX</v>
      </c>
      <c r="K3229" s="99">
        <f>SUMIF($J$4:$J$8712,$C3229,$D$4:$D$8712)</f>
        <v>40</v>
      </c>
      <c r="L3229" s="50">
        <f>SUMIF($J$4:$J$8712,$C3229,$F$4:$F$8712)</f>
        <v>4022.93</v>
      </c>
      <c r="M3229" s="50">
        <f>SUMIF($J$4:$J$8712,$C3229,$G$4:$G$8712)</f>
        <v>1005.7325</v>
      </c>
      <c r="N3229" s="70" t="str">
        <f>C3229</f>
        <v>KL187113</v>
      </c>
      <c r="O3229" s="70" t="str">
        <f>J3230</f>
        <v>NSHIP</v>
      </c>
      <c r="P3229" s="68">
        <f>M3229</f>
        <v>1005.7325</v>
      </c>
    </row>
    <row r="3230">
      <c r="A3230" s="211"/>
      <c r="B3230" s="231"/>
      <c r="C3230" s="109"/>
      <c r="D3230" s="109"/>
      <c r="E3230" s="116"/>
      <c r="F3230" s="116"/>
      <c r="G3230" s="116"/>
      <c r="H3230" s="109"/>
      <c r="J3230" s="108" t="str">
        <f>IF(B3230="","NSHIP","SHIP")</f>
        <v>NSHIP</v>
      </c>
      <c r="K3230" s="99">
        <f>IF($J3230="NSHIP",0,-SUMIF($J$4:$J$8712,$C3229,$D$4:$D$8712))</f>
        <v>0</v>
      </c>
      <c r="L3230" s="50">
        <f>IF($J3230="NSHIP",0,-SUMIF($J$4:$J$8710,$C3229,$F$4:$F$8710))</f>
        <v>0</v>
      </c>
      <c r="M3230" s="50">
        <f>IF($J3230="NSHIP",0,-SUMIF($J$4:$J$8710,$C3229,$G$4:$G$8710))</f>
        <v>0</v>
      </c>
      <c r="P3230" s="68"/>
    </row>
    <row r="3231">
      <c r="A3231" s="95">
        <v>1.90917341942E11</v>
      </c>
      <c r="B3231" s="151" t="s">
        <v>3254</v>
      </c>
      <c r="C3231" s="95" t="s">
        <v>97</v>
      </c>
      <c r="D3231" s="95">
        <v>1.0</v>
      </c>
      <c r="E3231" s="101">
        <v>39.0</v>
      </c>
      <c r="F3231" s="101">
        <f t="shared" ref="F3231:F3274" si="484">E3231*D3231</f>
        <v>39</v>
      </c>
      <c r="G3231" s="101">
        <f t="shared" ref="G3231:G3274" si="485">F3231/4</f>
        <v>9.75</v>
      </c>
      <c r="H3231" s="95" t="s">
        <v>3211</v>
      </c>
      <c r="J3231" s="247" t="s">
        <v>3588</v>
      </c>
      <c r="K3231" s="89"/>
      <c r="L3231" s="90"/>
      <c r="M3231" s="90"/>
      <c r="P3231" s="68"/>
    </row>
    <row r="3232">
      <c r="A3232" s="95">
        <v>1.90917348163E11</v>
      </c>
      <c r="B3232" s="151" t="s">
        <v>3214</v>
      </c>
      <c r="C3232" s="95" t="s">
        <v>97</v>
      </c>
      <c r="D3232" s="95">
        <v>1.0</v>
      </c>
      <c r="E3232" s="101">
        <v>89.0</v>
      </c>
      <c r="F3232" s="101">
        <f t="shared" si="484"/>
        <v>89</v>
      </c>
      <c r="G3232" s="101">
        <f t="shared" si="485"/>
        <v>22.25</v>
      </c>
      <c r="H3232" s="95" t="s">
        <v>3211</v>
      </c>
      <c r="J3232" s="247" t="s">
        <v>3588</v>
      </c>
      <c r="K3232" s="89"/>
      <c r="L3232" s="90"/>
      <c r="M3232" s="90"/>
      <c r="P3232" s="68"/>
    </row>
    <row r="3233">
      <c r="A3233" s="95">
        <v>1.93465955029E11</v>
      </c>
      <c r="B3233" s="151" t="s">
        <v>3589</v>
      </c>
      <c r="C3233" s="95" t="s">
        <v>97</v>
      </c>
      <c r="D3233" s="95">
        <v>1.0</v>
      </c>
      <c r="E3233" s="101">
        <v>128.0</v>
      </c>
      <c r="F3233" s="101">
        <f t="shared" si="484"/>
        <v>128</v>
      </c>
      <c r="G3233" s="101">
        <f t="shared" si="485"/>
        <v>32</v>
      </c>
      <c r="H3233" s="95" t="s">
        <v>169</v>
      </c>
      <c r="J3233" s="247" t="s">
        <v>3588</v>
      </c>
      <c r="K3233" s="89"/>
      <c r="L3233" s="90"/>
      <c r="M3233" s="90"/>
      <c r="P3233" s="68"/>
    </row>
    <row r="3234">
      <c r="A3234" s="95">
        <v>1.93481257619E11</v>
      </c>
      <c r="B3234" s="151" t="s">
        <v>3590</v>
      </c>
      <c r="C3234" s="95" t="s">
        <v>97</v>
      </c>
      <c r="D3234" s="95">
        <v>1.0</v>
      </c>
      <c r="E3234" s="101">
        <v>138.0</v>
      </c>
      <c r="F3234" s="101">
        <f t="shared" si="484"/>
        <v>138</v>
      </c>
      <c r="G3234" s="101">
        <f t="shared" si="485"/>
        <v>34.5</v>
      </c>
      <c r="H3234" s="95" t="s">
        <v>379</v>
      </c>
      <c r="J3234" s="247" t="s">
        <v>3588</v>
      </c>
      <c r="K3234" s="89"/>
      <c r="L3234" s="90"/>
      <c r="M3234" s="90"/>
      <c r="P3234" s="68"/>
    </row>
    <row r="3235">
      <c r="A3235" s="95">
        <v>1.9437404488E11</v>
      </c>
      <c r="B3235" s="151" t="s">
        <v>3591</v>
      </c>
      <c r="C3235" s="95" t="s">
        <v>97</v>
      </c>
      <c r="D3235" s="95">
        <v>1.0</v>
      </c>
      <c r="E3235" s="101">
        <v>198.0</v>
      </c>
      <c r="F3235" s="101">
        <f t="shared" si="484"/>
        <v>198</v>
      </c>
      <c r="G3235" s="101">
        <f t="shared" si="485"/>
        <v>49.5</v>
      </c>
      <c r="H3235" s="95" t="s">
        <v>169</v>
      </c>
      <c r="J3235" s="247" t="s">
        <v>3588</v>
      </c>
      <c r="K3235" s="89"/>
      <c r="L3235" s="90"/>
      <c r="M3235" s="90"/>
      <c r="P3235" s="68"/>
    </row>
    <row r="3236">
      <c r="A3236" s="95">
        <v>1.94374047843E11</v>
      </c>
      <c r="B3236" s="151" t="s">
        <v>3418</v>
      </c>
      <c r="C3236" s="95" t="s">
        <v>97</v>
      </c>
      <c r="D3236" s="95">
        <v>1.0</v>
      </c>
      <c r="E3236" s="101">
        <v>108.0</v>
      </c>
      <c r="F3236" s="101">
        <f t="shared" si="484"/>
        <v>108</v>
      </c>
      <c r="G3236" s="101">
        <f t="shared" si="485"/>
        <v>27</v>
      </c>
      <c r="H3236" s="95" t="s">
        <v>169</v>
      </c>
      <c r="J3236" s="247" t="s">
        <v>3588</v>
      </c>
      <c r="K3236" s="89"/>
      <c r="L3236" s="90"/>
      <c r="M3236" s="90"/>
      <c r="P3236" s="68"/>
    </row>
    <row r="3237">
      <c r="A3237" s="95">
        <v>1.94374177465E11</v>
      </c>
      <c r="B3237" s="151" t="s">
        <v>3592</v>
      </c>
      <c r="C3237" s="95" t="s">
        <v>97</v>
      </c>
      <c r="D3237" s="95">
        <v>1.0</v>
      </c>
      <c r="E3237" s="101">
        <v>168.0</v>
      </c>
      <c r="F3237" s="101">
        <f t="shared" si="484"/>
        <v>168</v>
      </c>
      <c r="G3237" s="101">
        <f t="shared" si="485"/>
        <v>42</v>
      </c>
      <c r="H3237" s="95" t="s">
        <v>169</v>
      </c>
      <c r="J3237" s="247" t="s">
        <v>3588</v>
      </c>
      <c r="K3237" s="89"/>
      <c r="L3237" s="90"/>
      <c r="M3237" s="90"/>
      <c r="P3237" s="68"/>
    </row>
    <row r="3238">
      <c r="A3238" s="95">
        <v>1.94374229591E11</v>
      </c>
      <c r="B3238" s="151" t="s">
        <v>3593</v>
      </c>
      <c r="C3238" s="95" t="s">
        <v>97</v>
      </c>
      <c r="D3238" s="95">
        <v>1.0</v>
      </c>
      <c r="E3238" s="101">
        <v>148.0</v>
      </c>
      <c r="F3238" s="101">
        <f t="shared" si="484"/>
        <v>148</v>
      </c>
      <c r="G3238" s="101">
        <f t="shared" si="485"/>
        <v>37</v>
      </c>
      <c r="H3238" s="95" t="s">
        <v>169</v>
      </c>
      <c r="J3238" s="247" t="s">
        <v>3588</v>
      </c>
      <c r="K3238" s="89"/>
      <c r="L3238" s="90"/>
      <c r="M3238" s="90"/>
      <c r="P3238" s="68"/>
    </row>
    <row r="3239">
      <c r="A3239" s="95">
        <v>1.94374229614E11</v>
      </c>
      <c r="B3239" s="151" t="s">
        <v>3594</v>
      </c>
      <c r="C3239" s="95" t="s">
        <v>97</v>
      </c>
      <c r="D3239" s="95">
        <v>1.0</v>
      </c>
      <c r="E3239" s="101">
        <v>148.0</v>
      </c>
      <c r="F3239" s="101">
        <f t="shared" si="484"/>
        <v>148</v>
      </c>
      <c r="G3239" s="101">
        <f t="shared" si="485"/>
        <v>37</v>
      </c>
      <c r="H3239" s="95" t="s">
        <v>169</v>
      </c>
      <c r="J3239" s="247" t="s">
        <v>3588</v>
      </c>
      <c r="K3239" s="89"/>
      <c r="L3239" s="90"/>
      <c r="M3239" s="90"/>
      <c r="P3239" s="68"/>
    </row>
    <row r="3240">
      <c r="A3240" s="95">
        <v>1.94374229621E11</v>
      </c>
      <c r="B3240" s="151" t="s">
        <v>3595</v>
      </c>
      <c r="C3240" s="95" t="s">
        <v>97</v>
      </c>
      <c r="D3240" s="95">
        <v>1.0</v>
      </c>
      <c r="E3240" s="101">
        <v>148.0</v>
      </c>
      <c r="F3240" s="101">
        <f t="shared" si="484"/>
        <v>148</v>
      </c>
      <c r="G3240" s="101">
        <f t="shared" si="485"/>
        <v>37</v>
      </c>
      <c r="H3240" s="95" t="s">
        <v>169</v>
      </c>
      <c r="J3240" s="247" t="s">
        <v>3588</v>
      </c>
      <c r="K3240" s="89"/>
      <c r="L3240" s="90"/>
      <c r="M3240" s="90"/>
      <c r="P3240" s="68"/>
    </row>
    <row r="3241">
      <c r="A3241" s="95">
        <v>1.94374631349E11</v>
      </c>
      <c r="B3241" s="151" t="s">
        <v>3596</v>
      </c>
      <c r="C3241" s="95" t="s">
        <v>97</v>
      </c>
      <c r="D3241" s="95">
        <v>1.0</v>
      </c>
      <c r="E3241" s="101">
        <v>128.0</v>
      </c>
      <c r="F3241" s="101">
        <f t="shared" si="484"/>
        <v>128</v>
      </c>
      <c r="G3241" s="101">
        <f t="shared" si="485"/>
        <v>32</v>
      </c>
      <c r="H3241" s="95" t="s">
        <v>169</v>
      </c>
      <c r="J3241" s="247" t="s">
        <v>3588</v>
      </c>
      <c r="K3241" s="89"/>
      <c r="L3241" s="90"/>
      <c r="M3241" s="90"/>
      <c r="P3241" s="68"/>
    </row>
    <row r="3242">
      <c r="A3242" s="95">
        <v>1.94374668802E11</v>
      </c>
      <c r="B3242" s="151" t="s">
        <v>3597</v>
      </c>
      <c r="C3242" s="95" t="s">
        <v>97</v>
      </c>
      <c r="D3242" s="95">
        <v>1.0</v>
      </c>
      <c r="E3242" s="101">
        <v>38.0</v>
      </c>
      <c r="F3242" s="101">
        <f t="shared" si="484"/>
        <v>38</v>
      </c>
      <c r="G3242" s="101">
        <f t="shared" si="485"/>
        <v>9.5</v>
      </c>
      <c r="H3242" s="95" t="s">
        <v>169</v>
      </c>
      <c r="J3242" s="247" t="s">
        <v>3588</v>
      </c>
      <c r="K3242" s="89"/>
      <c r="L3242" s="90"/>
      <c r="M3242" s="90"/>
      <c r="P3242" s="68"/>
    </row>
    <row r="3243">
      <c r="A3243" s="95">
        <v>1.95203418889E11</v>
      </c>
      <c r="B3243" s="151" t="s">
        <v>3598</v>
      </c>
      <c r="C3243" s="95" t="s">
        <v>97</v>
      </c>
      <c r="D3243" s="95">
        <v>1.0</v>
      </c>
      <c r="E3243" s="101">
        <v>69.0</v>
      </c>
      <c r="F3243" s="101">
        <f t="shared" si="484"/>
        <v>69</v>
      </c>
      <c r="G3243" s="101">
        <f t="shared" si="485"/>
        <v>17.25</v>
      </c>
      <c r="H3243" s="95" t="s">
        <v>3388</v>
      </c>
      <c r="J3243" s="247" t="s">
        <v>3588</v>
      </c>
      <c r="K3243" s="89"/>
      <c r="L3243" s="90"/>
      <c r="M3243" s="90"/>
      <c r="P3243" s="68"/>
    </row>
    <row r="3244">
      <c r="A3244" s="95">
        <v>6.01350205178E11</v>
      </c>
      <c r="B3244" s="151" t="s">
        <v>3575</v>
      </c>
      <c r="C3244" s="95" t="s">
        <v>97</v>
      </c>
      <c r="D3244" s="95">
        <v>1.0</v>
      </c>
      <c r="E3244" s="101">
        <v>89.0</v>
      </c>
      <c r="F3244" s="101">
        <f t="shared" si="484"/>
        <v>89</v>
      </c>
      <c r="G3244" s="101">
        <f t="shared" si="485"/>
        <v>22.25</v>
      </c>
      <c r="H3244" s="95" t="s">
        <v>3574</v>
      </c>
      <c r="J3244" s="247" t="s">
        <v>3588</v>
      </c>
      <c r="K3244" s="89"/>
      <c r="L3244" s="90"/>
      <c r="M3244" s="90"/>
      <c r="P3244" s="68"/>
    </row>
    <row r="3245">
      <c r="A3245" s="95">
        <v>6.01350205185E11</v>
      </c>
      <c r="B3245" s="151" t="s">
        <v>3576</v>
      </c>
      <c r="C3245" s="95" t="s">
        <v>97</v>
      </c>
      <c r="D3245" s="95">
        <v>1.0</v>
      </c>
      <c r="E3245" s="101">
        <v>89.0</v>
      </c>
      <c r="F3245" s="101">
        <f t="shared" si="484"/>
        <v>89</v>
      </c>
      <c r="G3245" s="101">
        <f t="shared" si="485"/>
        <v>22.25</v>
      </c>
      <c r="H3245" s="95" t="s">
        <v>3574</v>
      </c>
      <c r="J3245" s="247" t="s">
        <v>3588</v>
      </c>
      <c r="K3245" s="89"/>
      <c r="L3245" s="90"/>
      <c r="M3245" s="90"/>
      <c r="P3245" s="68"/>
    </row>
    <row r="3246">
      <c r="A3246" s="95">
        <v>6.36206367274E11</v>
      </c>
      <c r="B3246" s="151" t="s">
        <v>3599</v>
      </c>
      <c r="C3246" s="95" t="s">
        <v>97</v>
      </c>
      <c r="D3246" s="95">
        <v>1.0</v>
      </c>
      <c r="E3246" s="101">
        <v>44.5</v>
      </c>
      <c r="F3246" s="101">
        <f t="shared" si="484"/>
        <v>44.5</v>
      </c>
      <c r="G3246" s="101">
        <f t="shared" si="485"/>
        <v>11.125</v>
      </c>
      <c r="H3246" s="95" t="s">
        <v>193</v>
      </c>
      <c r="J3246" s="247" t="s">
        <v>3588</v>
      </c>
      <c r="K3246" s="89"/>
      <c r="L3246" s="90"/>
      <c r="M3246" s="90"/>
      <c r="P3246" s="68"/>
    </row>
    <row r="3247">
      <c r="A3247" s="95">
        <v>7.06256492179E11</v>
      </c>
      <c r="B3247" s="151" t="s">
        <v>3600</v>
      </c>
      <c r="C3247" s="95" t="s">
        <v>97</v>
      </c>
      <c r="D3247" s="95">
        <v>1.0</v>
      </c>
      <c r="E3247" s="101">
        <v>69.5</v>
      </c>
      <c r="F3247" s="101">
        <f t="shared" si="484"/>
        <v>69.5</v>
      </c>
      <c r="G3247" s="101">
        <f t="shared" si="485"/>
        <v>17.375</v>
      </c>
      <c r="H3247" s="95" t="s">
        <v>402</v>
      </c>
      <c r="J3247" s="247" t="s">
        <v>3588</v>
      </c>
      <c r="K3247" s="89"/>
      <c r="L3247" s="90"/>
      <c r="M3247" s="90"/>
      <c r="P3247" s="68"/>
    </row>
    <row r="3248">
      <c r="A3248" s="95">
        <v>7.06256492186E11</v>
      </c>
      <c r="B3248" s="151" t="s">
        <v>3601</v>
      </c>
      <c r="C3248" s="95" t="s">
        <v>97</v>
      </c>
      <c r="D3248" s="95">
        <v>2.0</v>
      </c>
      <c r="E3248" s="101">
        <v>69.5</v>
      </c>
      <c r="F3248" s="101">
        <f t="shared" si="484"/>
        <v>139</v>
      </c>
      <c r="G3248" s="101">
        <f t="shared" si="485"/>
        <v>34.75</v>
      </c>
      <c r="H3248" s="95" t="s">
        <v>402</v>
      </c>
      <c r="J3248" s="247" t="s">
        <v>3588</v>
      </c>
      <c r="K3248" s="89"/>
      <c r="L3248" s="90"/>
      <c r="M3248" s="90"/>
      <c r="P3248" s="68"/>
    </row>
    <row r="3249">
      <c r="A3249" s="95">
        <v>7.32995270433E11</v>
      </c>
      <c r="B3249" s="151" t="s">
        <v>3602</v>
      </c>
      <c r="C3249" s="95" t="s">
        <v>97</v>
      </c>
      <c r="D3249" s="95">
        <v>1.0</v>
      </c>
      <c r="E3249" s="101">
        <v>34.5</v>
      </c>
      <c r="F3249" s="101">
        <f t="shared" si="484"/>
        <v>34.5</v>
      </c>
      <c r="G3249" s="101">
        <f t="shared" si="485"/>
        <v>8.625</v>
      </c>
      <c r="H3249" s="95" t="s">
        <v>402</v>
      </c>
      <c r="J3249" s="247" t="s">
        <v>3588</v>
      </c>
      <c r="K3249" s="89"/>
      <c r="L3249" s="90"/>
      <c r="M3249" s="90"/>
      <c r="P3249" s="68"/>
    </row>
    <row r="3250">
      <c r="A3250" s="95">
        <v>7.32995548334E11</v>
      </c>
      <c r="B3250" s="151" t="s">
        <v>3603</v>
      </c>
      <c r="C3250" s="95" t="s">
        <v>97</v>
      </c>
      <c r="D3250" s="95">
        <v>1.0</v>
      </c>
      <c r="E3250" s="101">
        <v>49.5</v>
      </c>
      <c r="F3250" s="101">
        <f t="shared" si="484"/>
        <v>49.5</v>
      </c>
      <c r="G3250" s="101">
        <f t="shared" si="485"/>
        <v>12.375</v>
      </c>
      <c r="H3250" s="95" t="s">
        <v>402</v>
      </c>
      <c r="J3250" s="247" t="s">
        <v>3588</v>
      </c>
      <c r="K3250" s="89"/>
      <c r="L3250" s="90"/>
      <c r="M3250" s="90"/>
      <c r="P3250" s="68"/>
    </row>
    <row r="3251">
      <c r="A3251" s="95">
        <v>7.32995925876E11</v>
      </c>
      <c r="B3251" s="151" t="s">
        <v>3604</v>
      </c>
      <c r="C3251" s="95" t="s">
        <v>97</v>
      </c>
      <c r="D3251" s="95">
        <v>1.0</v>
      </c>
      <c r="E3251" s="101">
        <v>49.5</v>
      </c>
      <c r="F3251" s="101">
        <f t="shared" si="484"/>
        <v>49.5</v>
      </c>
      <c r="G3251" s="101">
        <f t="shared" si="485"/>
        <v>12.375</v>
      </c>
      <c r="H3251" s="95" t="s">
        <v>415</v>
      </c>
      <c r="J3251" s="247" t="s">
        <v>3588</v>
      </c>
      <c r="K3251" s="89"/>
      <c r="L3251" s="90"/>
      <c r="M3251" s="90"/>
      <c r="P3251" s="68"/>
    </row>
    <row r="3252">
      <c r="A3252" s="95">
        <v>7.32999033157E11</v>
      </c>
      <c r="B3252" s="151" t="s">
        <v>3221</v>
      </c>
      <c r="C3252" s="95" t="s">
        <v>97</v>
      </c>
      <c r="D3252" s="95">
        <v>1.0</v>
      </c>
      <c r="E3252" s="101">
        <v>59.5</v>
      </c>
      <c r="F3252" s="101">
        <f t="shared" si="484"/>
        <v>59.5</v>
      </c>
      <c r="G3252" s="101">
        <f t="shared" si="485"/>
        <v>14.875</v>
      </c>
      <c r="H3252" s="95" t="s">
        <v>402</v>
      </c>
      <c r="J3252" s="247" t="s">
        <v>3588</v>
      </c>
      <c r="K3252" s="89"/>
      <c r="L3252" s="90"/>
      <c r="M3252" s="90"/>
      <c r="P3252" s="68"/>
    </row>
    <row r="3253">
      <c r="A3253" s="95">
        <v>7.32999324293E11</v>
      </c>
      <c r="B3253" s="151" t="s">
        <v>3605</v>
      </c>
      <c r="C3253" s="95" t="s">
        <v>97</v>
      </c>
      <c r="D3253" s="95">
        <v>1.0</v>
      </c>
      <c r="E3253" s="101">
        <v>49.5</v>
      </c>
      <c r="F3253" s="101">
        <f t="shared" si="484"/>
        <v>49.5</v>
      </c>
      <c r="G3253" s="101">
        <f t="shared" si="485"/>
        <v>12.375</v>
      </c>
      <c r="H3253" s="95" t="s">
        <v>402</v>
      </c>
      <c r="J3253" s="247" t="s">
        <v>3588</v>
      </c>
      <c r="K3253" s="89"/>
      <c r="L3253" s="90"/>
      <c r="M3253" s="90"/>
      <c r="P3253" s="68"/>
    </row>
    <row r="3254">
      <c r="A3254" s="95">
        <v>7.32999497805E11</v>
      </c>
      <c r="B3254" s="151" t="s">
        <v>3606</v>
      </c>
      <c r="C3254" s="95" t="s">
        <v>97</v>
      </c>
      <c r="D3254" s="95">
        <v>1.0</v>
      </c>
      <c r="E3254" s="101">
        <v>59.5</v>
      </c>
      <c r="F3254" s="101">
        <f t="shared" si="484"/>
        <v>59.5</v>
      </c>
      <c r="G3254" s="101">
        <f t="shared" si="485"/>
        <v>14.875</v>
      </c>
      <c r="H3254" s="95" t="s">
        <v>402</v>
      </c>
      <c r="J3254" s="247" t="s">
        <v>3588</v>
      </c>
      <c r="K3254" s="89"/>
      <c r="L3254" s="90"/>
      <c r="M3254" s="90"/>
      <c r="P3254" s="68"/>
    </row>
    <row r="3255">
      <c r="A3255" s="95">
        <v>7.32999522163E11</v>
      </c>
      <c r="B3255" s="151" t="s">
        <v>3226</v>
      </c>
      <c r="C3255" s="95" t="s">
        <v>97</v>
      </c>
      <c r="D3255" s="95">
        <v>1.0</v>
      </c>
      <c r="E3255" s="101">
        <v>99.5</v>
      </c>
      <c r="F3255" s="101">
        <f t="shared" si="484"/>
        <v>99.5</v>
      </c>
      <c r="G3255" s="101">
        <f t="shared" si="485"/>
        <v>24.875</v>
      </c>
      <c r="H3255" s="95" t="s">
        <v>193</v>
      </c>
      <c r="J3255" s="247" t="s">
        <v>3588</v>
      </c>
      <c r="K3255" s="89"/>
      <c r="L3255" s="90"/>
      <c r="M3255" s="90"/>
      <c r="P3255" s="68"/>
    </row>
    <row r="3256">
      <c r="A3256" s="95">
        <v>7.32999660445E11</v>
      </c>
      <c r="B3256" s="151" t="s">
        <v>3607</v>
      </c>
      <c r="C3256" s="95" t="s">
        <v>97</v>
      </c>
      <c r="D3256" s="95">
        <v>1.0</v>
      </c>
      <c r="E3256" s="101">
        <v>59.5</v>
      </c>
      <c r="F3256" s="101">
        <f t="shared" si="484"/>
        <v>59.5</v>
      </c>
      <c r="G3256" s="101">
        <f t="shared" si="485"/>
        <v>14.875</v>
      </c>
      <c r="H3256" s="95" t="s">
        <v>402</v>
      </c>
      <c r="J3256" s="247" t="s">
        <v>3588</v>
      </c>
      <c r="K3256" s="89"/>
      <c r="L3256" s="90"/>
      <c r="M3256" s="90"/>
      <c r="P3256" s="68"/>
    </row>
    <row r="3257">
      <c r="A3257" s="95">
        <v>7.32999893775E11</v>
      </c>
      <c r="B3257" s="151" t="s">
        <v>3608</v>
      </c>
      <c r="C3257" s="95" t="s">
        <v>97</v>
      </c>
      <c r="D3257" s="95">
        <v>1.0</v>
      </c>
      <c r="E3257" s="101">
        <v>59.5</v>
      </c>
      <c r="F3257" s="101">
        <f t="shared" si="484"/>
        <v>59.5</v>
      </c>
      <c r="G3257" s="101">
        <f t="shared" si="485"/>
        <v>14.875</v>
      </c>
      <c r="H3257" s="95" t="s">
        <v>402</v>
      </c>
      <c r="J3257" s="247" t="s">
        <v>3588</v>
      </c>
      <c r="K3257" s="89"/>
      <c r="L3257" s="90"/>
      <c r="M3257" s="90"/>
      <c r="P3257" s="68"/>
    </row>
    <row r="3258">
      <c r="A3258" s="95">
        <v>7.329999053E11</v>
      </c>
      <c r="B3258" s="151" t="s">
        <v>3609</v>
      </c>
      <c r="C3258" s="95" t="s">
        <v>97</v>
      </c>
      <c r="D3258" s="95">
        <v>1.0</v>
      </c>
      <c r="E3258" s="101">
        <v>59.5</v>
      </c>
      <c r="F3258" s="101">
        <f t="shared" si="484"/>
        <v>59.5</v>
      </c>
      <c r="G3258" s="101">
        <f t="shared" si="485"/>
        <v>14.875</v>
      </c>
      <c r="H3258" s="95" t="s">
        <v>402</v>
      </c>
      <c r="J3258" s="247" t="s">
        <v>3588</v>
      </c>
      <c r="K3258" s="89"/>
      <c r="L3258" s="90"/>
      <c r="M3258" s="90"/>
      <c r="P3258" s="68"/>
    </row>
    <row r="3259">
      <c r="A3259" s="95">
        <v>7.33001274124E11</v>
      </c>
      <c r="B3259" s="151" t="s">
        <v>3104</v>
      </c>
      <c r="C3259" s="95" t="s">
        <v>97</v>
      </c>
      <c r="D3259" s="95">
        <v>1.0</v>
      </c>
      <c r="E3259" s="101">
        <v>59.5</v>
      </c>
      <c r="F3259" s="101">
        <f t="shared" si="484"/>
        <v>59.5</v>
      </c>
      <c r="G3259" s="101">
        <f t="shared" si="485"/>
        <v>14.875</v>
      </c>
      <c r="H3259" s="95" t="s">
        <v>193</v>
      </c>
      <c r="J3259" s="247" t="s">
        <v>3588</v>
      </c>
      <c r="K3259" s="89"/>
      <c r="L3259" s="90"/>
      <c r="M3259" s="90"/>
      <c r="P3259" s="68"/>
    </row>
    <row r="3260">
      <c r="A3260" s="95">
        <v>7.33001392668E11</v>
      </c>
      <c r="B3260" s="151" t="s">
        <v>3610</v>
      </c>
      <c r="C3260" s="95" t="s">
        <v>97</v>
      </c>
      <c r="D3260" s="95">
        <v>1.0</v>
      </c>
      <c r="E3260" s="101">
        <v>79.5</v>
      </c>
      <c r="F3260" s="101">
        <f t="shared" si="484"/>
        <v>79.5</v>
      </c>
      <c r="G3260" s="101">
        <f t="shared" si="485"/>
        <v>19.875</v>
      </c>
      <c r="H3260" s="95" t="s">
        <v>402</v>
      </c>
      <c r="J3260" s="247" t="s">
        <v>3588</v>
      </c>
      <c r="K3260" s="89"/>
      <c r="L3260" s="90"/>
      <c r="M3260" s="90"/>
      <c r="P3260" s="68"/>
    </row>
    <row r="3261">
      <c r="A3261" s="95">
        <v>7.33001413172E11</v>
      </c>
      <c r="B3261" s="151" t="s">
        <v>3611</v>
      </c>
      <c r="C3261" s="95" t="s">
        <v>97</v>
      </c>
      <c r="D3261" s="95">
        <v>1.0</v>
      </c>
      <c r="E3261" s="101">
        <v>34.5</v>
      </c>
      <c r="F3261" s="101">
        <f t="shared" si="484"/>
        <v>34.5</v>
      </c>
      <c r="G3261" s="101">
        <f t="shared" si="485"/>
        <v>8.625</v>
      </c>
      <c r="H3261" s="95" t="s">
        <v>402</v>
      </c>
      <c r="J3261" s="247" t="s">
        <v>3588</v>
      </c>
      <c r="K3261" s="89"/>
      <c r="L3261" s="90"/>
      <c r="M3261" s="90"/>
      <c r="P3261" s="68"/>
    </row>
    <row r="3262">
      <c r="A3262" s="95">
        <v>7.33001450115E11</v>
      </c>
      <c r="B3262" s="151" t="s">
        <v>3612</v>
      </c>
      <c r="C3262" s="95" t="s">
        <v>97</v>
      </c>
      <c r="D3262" s="95">
        <v>1.0</v>
      </c>
      <c r="E3262" s="101">
        <v>69.5</v>
      </c>
      <c r="F3262" s="101">
        <f t="shared" si="484"/>
        <v>69.5</v>
      </c>
      <c r="G3262" s="101">
        <f t="shared" si="485"/>
        <v>17.375</v>
      </c>
      <c r="H3262" s="95" t="s">
        <v>193</v>
      </c>
      <c r="J3262" s="247" t="s">
        <v>3588</v>
      </c>
      <c r="K3262" s="89"/>
      <c r="L3262" s="90"/>
      <c r="M3262" s="90"/>
      <c r="P3262" s="68"/>
    </row>
    <row r="3263">
      <c r="A3263" s="95">
        <v>7.33001760245E11</v>
      </c>
      <c r="B3263" s="151" t="s">
        <v>3311</v>
      </c>
      <c r="C3263" s="95" t="s">
        <v>97</v>
      </c>
      <c r="D3263" s="95">
        <v>1.0</v>
      </c>
      <c r="E3263" s="101">
        <v>29.5</v>
      </c>
      <c r="F3263" s="101">
        <f t="shared" si="484"/>
        <v>29.5</v>
      </c>
      <c r="G3263" s="101">
        <f t="shared" si="485"/>
        <v>7.375</v>
      </c>
      <c r="H3263" s="95" t="s">
        <v>193</v>
      </c>
      <c r="J3263" s="247" t="s">
        <v>3588</v>
      </c>
      <c r="K3263" s="89"/>
      <c r="L3263" s="90"/>
      <c r="M3263" s="90"/>
      <c r="P3263" s="68"/>
    </row>
    <row r="3264">
      <c r="A3264" s="95">
        <v>7.33001779933E11</v>
      </c>
      <c r="B3264" s="151" t="s">
        <v>3613</v>
      </c>
      <c r="C3264" s="95" t="s">
        <v>97</v>
      </c>
      <c r="D3264" s="95">
        <v>1.0</v>
      </c>
      <c r="E3264" s="101">
        <v>79.5</v>
      </c>
      <c r="F3264" s="101">
        <f t="shared" si="484"/>
        <v>79.5</v>
      </c>
      <c r="G3264" s="101">
        <f t="shared" si="485"/>
        <v>19.875</v>
      </c>
      <c r="H3264" s="95" t="s">
        <v>193</v>
      </c>
      <c r="J3264" s="247" t="s">
        <v>3588</v>
      </c>
      <c r="K3264" s="89"/>
      <c r="L3264" s="90"/>
      <c r="M3264" s="90"/>
      <c r="P3264" s="68"/>
    </row>
    <row r="3265">
      <c r="A3265" s="95">
        <v>7.33001780007E11</v>
      </c>
      <c r="B3265" s="151" t="s">
        <v>3614</v>
      </c>
      <c r="C3265" s="95" t="s">
        <v>97</v>
      </c>
      <c r="D3265" s="95">
        <v>1.0</v>
      </c>
      <c r="E3265" s="101">
        <v>79.5</v>
      </c>
      <c r="F3265" s="101">
        <f t="shared" si="484"/>
        <v>79.5</v>
      </c>
      <c r="G3265" s="101">
        <f t="shared" si="485"/>
        <v>19.875</v>
      </c>
      <c r="H3265" s="95" t="s">
        <v>193</v>
      </c>
      <c r="J3265" s="247" t="s">
        <v>3588</v>
      </c>
      <c r="K3265" s="89"/>
      <c r="L3265" s="90"/>
      <c r="M3265" s="90"/>
      <c r="P3265" s="68"/>
    </row>
    <row r="3266">
      <c r="A3266" s="95">
        <v>7.33001780014E11</v>
      </c>
      <c r="B3266" s="151" t="s">
        <v>3615</v>
      </c>
      <c r="C3266" s="95" t="s">
        <v>97</v>
      </c>
      <c r="D3266" s="95">
        <v>1.0</v>
      </c>
      <c r="E3266" s="101">
        <v>89.5</v>
      </c>
      <c r="F3266" s="101">
        <f t="shared" si="484"/>
        <v>89.5</v>
      </c>
      <c r="G3266" s="101">
        <f t="shared" si="485"/>
        <v>22.375</v>
      </c>
      <c r="H3266" s="95" t="s">
        <v>193</v>
      </c>
      <c r="J3266" s="247" t="s">
        <v>3588</v>
      </c>
      <c r="K3266" s="89"/>
      <c r="L3266" s="90"/>
      <c r="M3266" s="90"/>
      <c r="P3266" s="68"/>
    </row>
    <row r="3267">
      <c r="A3267" s="95">
        <v>7.33001783756E11</v>
      </c>
      <c r="B3267" s="151" t="s">
        <v>3401</v>
      </c>
      <c r="C3267" s="95" t="s">
        <v>97</v>
      </c>
      <c r="D3267" s="95">
        <v>1.0</v>
      </c>
      <c r="E3267" s="101">
        <v>69.5</v>
      </c>
      <c r="F3267" s="101">
        <f t="shared" si="484"/>
        <v>69.5</v>
      </c>
      <c r="G3267" s="101">
        <f t="shared" si="485"/>
        <v>17.375</v>
      </c>
      <c r="H3267" s="95" t="s">
        <v>402</v>
      </c>
      <c r="J3267" s="247" t="s">
        <v>3588</v>
      </c>
      <c r="K3267" s="89"/>
      <c r="L3267" s="90"/>
      <c r="M3267" s="90"/>
      <c r="P3267" s="68"/>
    </row>
    <row r="3268">
      <c r="A3268" s="95">
        <v>7.33001867258E11</v>
      </c>
      <c r="B3268" s="151" t="s">
        <v>3616</v>
      </c>
      <c r="C3268" s="95" t="s">
        <v>97</v>
      </c>
      <c r="D3268" s="95">
        <v>1.0</v>
      </c>
      <c r="E3268" s="101">
        <v>79.5</v>
      </c>
      <c r="F3268" s="101">
        <f t="shared" si="484"/>
        <v>79.5</v>
      </c>
      <c r="G3268" s="101">
        <f t="shared" si="485"/>
        <v>19.875</v>
      </c>
      <c r="H3268" s="95" t="s">
        <v>193</v>
      </c>
      <c r="J3268" s="247" t="s">
        <v>3588</v>
      </c>
      <c r="K3268" s="89"/>
      <c r="L3268" s="90"/>
      <c r="M3268" s="90"/>
      <c r="P3268" s="68"/>
    </row>
    <row r="3269">
      <c r="A3269" s="95">
        <v>7.33001907121E11</v>
      </c>
      <c r="B3269" s="151" t="s">
        <v>3617</v>
      </c>
      <c r="C3269" s="95" t="s">
        <v>97</v>
      </c>
      <c r="D3269" s="95">
        <v>1.0</v>
      </c>
      <c r="E3269" s="101">
        <v>34.75</v>
      </c>
      <c r="F3269" s="101">
        <f t="shared" si="484"/>
        <v>34.75</v>
      </c>
      <c r="G3269" s="101">
        <f t="shared" si="485"/>
        <v>8.6875</v>
      </c>
      <c r="H3269" s="95" t="s">
        <v>672</v>
      </c>
      <c r="J3269" s="247" t="s">
        <v>3588</v>
      </c>
      <c r="K3269" s="89"/>
      <c r="L3269" s="90"/>
      <c r="M3269" s="90"/>
      <c r="P3269" s="68"/>
    </row>
    <row r="3270">
      <c r="A3270" s="95">
        <v>7.33002168033E11</v>
      </c>
      <c r="B3270" s="151" t="s">
        <v>3618</v>
      </c>
      <c r="C3270" s="95" t="s">
        <v>97</v>
      </c>
      <c r="D3270" s="95">
        <v>1.0</v>
      </c>
      <c r="E3270" s="101">
        <v>59.5</v>
      </c>
      <c r="F3270" s="101">
        <f t="shared" si="484"/>
        <v>59.5</v>
      </c>
      <c r="G3270" s="101">
        <f t="shared" si="485"/>
        <v>14.875</v>
      </c>
      <c r="H3270" s="95" t="s">
        <v>402</v>
      </c>
      <c r="J3270" s="247" t="s">
        <v>3588</v>
      </c>
      <c r="K3270" s="89"/>
      <c r="L3270" s="90"/>
      <c r="M3270" s="90"/>
      <c r="P3270" s="68"/>
    </row>
    <row r="3271">
      <c r="A3271" s="95">
        <v>7.33002175963E11</v>
      </c>
      <c r="B3271" s="151" t="s">
        <v>3245</v>
      </c>
      <c r="C3271" s="95" t="s">
        <v>97</v>
      </c>
      <c r="D3271" s="95">
        <v>1.0</v>
      </c>
      <c r="E3271" s="101">
        <v>59.5</v>
      </c>
      <c r="F3271" s="101">
        <f t="shared" si="484"/>
        <v>59.5</v>
      </c>
      <c r="G3271" s="101">
        <f t="shared" si="485"/>
        <v>14.875</v>
      </c>
      <c r="H3271" s="95" t="s">
        <v>402</v>
      </c>
      <c r="J3271" s="247" t="s">
        <v>3588</v>
      </c>
      <c r="K3271" s="89"/>
      <c r="L3271" s="90"/>
      <c r="M3271" s="90"/>
      <c r="P3271" s="68"/>
    </row>
    <row r="3272">
      <c r="A3272" s="95">
        <v>7.33002189236E11</v>
      </c>
      <c r="B3272" s="151" t="s">
        <v>3619</v>
      </c>
      <c r="C3272" s="95" t="s">
        <v>97</v>
      </c>
      <c r="D3272" s="95">
        <v>1.0</v>
      </c>
      <c r="E3272" s="101">
        <v>69.5</v>
      </c>
      <c r="F3272" s="101">
        <f t="shared" si="484"/>
        <v>69.5</v>
      </c>
      <c r="G3272" s="101">
        <f t="shared" si="485"/>
        <v>17.375</v>
      </c>
      <c r="H3272" s="95" t="s">
        <v>415</v>
      </c>
      <c r="J3272" s="247" t="s">
        <v>3588</v>
      </c>
      <c r="K3272" s="89"/>
      <c r="L3272" s="90"/>
      <c r="M3272" s="90"/>
      <c r="P3272" s="68"/>
    </row>
    <row r="3273">
      <c r="A3273" s="95">
        <v>7.33002204717E11</v>
      </c>
      <c r="B3273" s="151" t="s">
        <v>3620</v>
      </c>
      <c r="C3273" s="95" t="s">
        <v>97</v>
      </c>
      <c r="D3273" s="95">
        <v>1.0</v>
      </c>
      <c r="E3273" s="101">
        <v>74.5</v>
      </c>
      <c r="F3273" s="101">
        <f t="shared" si="484"/>
        <v>74.5</v>
      </c>
      <c r="G3273" s="101">
        <f t="shared" si="485"/>
        <v>18.625</v>
      </c>
      <c r="H3273" s="95" t="s">
        <v>402</v>
      </c>
      <c r="J3273" s="247" t="s">
        <v>3588</v>
      </c>
      <c r="K3273" s="89"/>
      <c r="L3273" s="90"/>
      <c r="M3273" s="90"/>
      <c r="P3273" s="68"/>
    </row>
    <row r="3274">
      <c r="A3274" s="95">
        <v>7.33002298938E11</v>
      </c>
      <c r="B3274" s="151" t="s">
        <v>3621</v>
      </c>
      <c r="C3274" s="95" t="s">
        <v>97</v>
      </c>
      <c r="D3274" s="95">
        <v>1.0</v>
      </c>
      <c r="E3274" s="101">
        <v>79.5</v>
      </c>
      <c r="F3274" s="101">
        <f t="shared" si="484"/>
        <v>79.5</v>
      </c>
      <c r="G3274" s="101">
        <f t="shared" si="485"/>
        <v>19.875</v>
      </c>
      <c r="H3274" s="95" t="s">
        <v>402</v>
      </c>
      <c r="J3274" s="247" t="s">
        <v>3588</v>
      </c>
      <c r="K3274" s="89"/>
      <c r="L3274" s="90"/>
      <c r="M3274" s="90"/>
      <c r="P3274" s="68"/>
    </row>
    <row r="3275">
      <c r="A3275" s="211"/>
      <c r="B3275" s="231" t="s">
        <v>3622</v>
      </c>
      <c r="C3275" s="234" t="str">
        <f>MID($B3275,6,8)</f>
        <v>KL187114</v>
      </c>
      <c r="D3275" s="231"/>
      <c r="E3275" s="231"/>
      <c r="F3275" s="231"/>
      <c r="G3275" s="231"/>
      <c r="H3275" s="235">
        <v>44560.0</v>
      </c>
      <c r="J3275" s="108" t="str">
        <f>IF(LEFT(B3275,3)="Box","BOX","COUNT")</f>
        <v>BOX</v>
      </c>
      <c r="K3275" s="99">
        <f>SUMIF($J$4:$J$8712,$C3275,$D$4:$D$8712)</f>
        <v>45</v>
      </c>
      <c r="L3275" s="50">
        <f>SUMIF($J$4:$J$8712,$C3275,$F$4:$F$8712)</f>
        <v>3605.25</v>
      </c>
      <c r="M3275" s="50">
        <f>SUMIF($J$4:$J$8712,$C3275,$G$4:$G$8712)</f>
        <v>901.3125</v>
      </c>
      <c r="N3275" s="70" t="str">
        <f>C3275</f>
        <v>KL187114</v>
      </c>
      <c r="O3275" s="70" t="str">
        <f>J3276</f>
        <v>NSHIP</v>
      </c>
      <c r="P3275" s="68">
        <f>M3275</f>
        <v>901.3125</v>
      </c>
    </row>
    <row r="3276">
      <c r="A3276" s="211"/>
      <c r="B3276" s="231"/>
      <c r="C3276" s="109"/>
      <c r="D3276" s="109"/>
      <c r="E3276" s="116"/>
      <c r="F3276" s="116"/>
      <c r="G3276" s="116"/>
      <c r="H3276" s="109"/>
      <c r="J3276" s="108" t="str">
        <f>IF(B3276="","NSHIP","SHIP")</f>
        <v>NSHIP</v>
      </c>
      <c r="K3276" s="99">
        <f>IF($J3276="NSHIP",0,-SUMIF($J$4:$J$8712,$C3275,$D$4:$D$8712))</f>
        <v>0</v>
      </c>
      <c r="L3276" s="50">
        <f>IF($J3276="NSHIP",0,-SUMIF($J$4:$J$8710,$C3275,$F$4:$F$8710))</f>
        <v>0</v>
      </c>
      <c r="M3276" s="50">
        <f>IF($J3276="NSHIP",0,-SUMIF($J$4:$J$8710,$C3275,$G$4:$G$8710))</f>
        <v>0</v>
      </c>
      <c r="P3276" s="68"/>
    </row>
    <row r="3277">
      <c r="A3277" s="95">
        <v>1.90380962361E11</v>
      </c>
      <c r="B3277" s="151" t="s">
        <v>3623</v>
      </c>
      <c r="C3277" s="95" t="s">
        <v>97</v>
      </c>
      <c r="D3277" s="95">
        <v>1.0</v>
      </c>
      <c r="E3277" s="101">
        <v>50.0</v>
      </c>
      <c r="F3277" s="101">
        <f t="shared" ref="F3277:F3310" si="486">E3277*D3277</f>
        <v>50</v>
      </c>
      <c r="G3277" s="101">
        <f t="shared" ref="G3277:G3310" si="487">F3277/4</f>
        <v>12.5</v>
      </c>
      <c r="H3277" s="95" t="s">
        <v>169</v>
      </c>
      <c r="J3277" s="247" t="s">
        <v>3624</v>
      </c>
      <c r="K3277" s="89"/>
      <c r="L3277" s="90"/>
      <c r="M3277" s="90"/>
      <c r="P3277" s="68"/>
    </row>
    <row r="3278">
      <c r="A3278" s="95">
        <v>1.92081323892E11</v>
      </c>
      <c r="B3278" s="151" t="s">
        <v>3625</v>
      </c>
      <c r="C3278" s="95" t="s">
        <v>97</v>
      </c>
      <c r="D3278" s="95">
        <v>1.0</v>
      </c>
      <c r="E3278" s="101">
        <v>99.0</v>
      </c>
      <c r="F3278" s="101">
        <f t="shared" si="486"/>
        <v>99</v>
      </c>
      <c r="G3278" s="101">
        <f t="shared" si="487"/>
        <v>24.75</v>
      </c>
      <c r="H3278" s="95" t="s">
        <v>374</v>
      </c>
      <c r="J3278" s="247" t="s">
        <v>3624</v>
      </c>
      <c r="K3278" s="89"/>
      <c r="L3278" s="90"/>
      <c r="M3278" s="90"/>
      <c r="P3278" s="68"/>
    </row>
    <row r="3279">
      <c r="A3279" s="95">
        <v>1.93465809537E11</v>
      </c>
      <c r="B3279" s="151" t="s">
        <v>3626</v>
      </c>
      <c r="C3279" s="95" t="s">
        <v>97</v>
      </c>
      <c r="D3279" s="95">
        <v>1.0</v>
      </c>
      <c r="E3279" s="101">
        <v>148.0</v>
      </c>
      <c r="F3279" s="101">
        <f t="shared" si="486"/>
        <v>148</v>
      </c>
      <c r="G3279" s="101">
        <f t="shared" si="487"/>
        <v>37</v>
      </c>
      <c r="H3279" s="95" t="s">
        <v>169</v>
      </c>
      <c r="J3279" s="247" t="s">
        <v>3624</v>
      </c>
      <c r="K3279" s="89"/>
      <c r="L3279" s="90"/>
      <c r="M3279" s="90"/>
      <c r="P3279" s="68"/>
    </row>
    <row r="3280">
      <c r="A3280" s="95">
        <v>1.93465904805E11</v>
      </c>
      <c r="B3280" s="151" t="s">
        <v>3627</v>
      </c>
      <c r="C3280" s="95" t="s">
        <v>97</v>
      </c>
      <c r="D3280" s="95">
        <v>1.0</v>
      </c>
      <c r="E3280" s="101">
        <v>128.0</v>
      </c>
      <c r="F3280" s="101">
        <f t="shared" si="486"/>
        <v>128</v>
      </c>
      <c r="G3280" s="101">
        <f t="shared" si="487"/>
        <v>32</v>
      </c>
      <c r="H3280" s="95" t="s">
        <v>169</v>
      </c>
      <c r="J3280" s="247" t="s">
        <v>3624</v>
      </c>
      <c r="K3280" s="89"/>
      <c r="L3280" s="90"/>
      <c r="M3280" s="90"/>
      <c r="P3280" s="68"/>
    </row>
    <row r="3281">
      <c r="A3281" s="95">
        <v>1.94374564364E11</v>
      </c>
      <c r="B3281" s="151" t="s">
        <v>3296</v>
      </c>
      <c r="C3281" s="95" t="s">
        <v>97</v>
      </c>
      <c r="D3281" s="95">
        <v>1.0</v>
      </c>
      <c r="E3281" s="101">
        <v>128.0</v>
      </c>
      <c r="F3281" s="101">
        <f t="shared" si="486"/>
        <v>128</v>
      </c>
      <c r="G3281" s="101">
        <f t="shared" si="487"/>
        <v>32</v>
      </c>
      <c r="H3281" s="95" t="s">
        <v>169</v>
      </c>
      <c r="J3281" s="247" t="s">
        <v>3624</v>
      </c>
      <c r="K3281" s="89"/>
      <c r="L3281" s="90"/>
      <c r="M3281" s="90"/>
      <c r="P3281" s="68"/>
    </row>
    <row r="3282">
      <c r="A3282" s="95">
        <v>1.94374745701E11</v>
      </c>
      <c r="B3282" s="151" t="s">
        <v>3628</v>
      </c>
      <c r="C3282" s="95" t="s">
        <v>97</v>
      </c>
      <c r="D3282" s="95">
        <v>1.0</v>
      </c>
      <c r="E3282" s="101">
        <v>98.0</v>
      </c>
      <c r="F3282" s="101">
        <f t="shared" si="486"/>
        <v>98</v>
      </c>
      <c r="G3282" s="101">
        <f t="shared" si="487"/>
        <v>24.5</v>
      </c>
      <c r="H3282" s="95" t="s">
        <v>169</v>
      </c>
      <c r="J3282" s="247" t="s">
        <v>3624</v>
      </c>
      <c r="K3282" s="89"/>
      <c r="L3282" s="90"/>
      <c r="M3282" s="90"/>
      <c r="P3282" s="68"/>
    </row>
    <row r="3283">
      <c r="A3283" s="95">
        <v>1.94922051254E11</v>
      </c>
      <c r="B3283" s="151" t="s">
        <v>3629</v>
      </c>
      <c r="C3283" s="95" t="s">
        <v>97</v>
      </c>
      <c r="D3283" s="95">
        <v>1.0</v>
      </c>
      <c r="E3283" s="101">
        <v>159.0</v>
      </c>
      <c r="F3283" s="101">
        <f t="shared" si="486"/>
        <v>159</v>
      </c>
      <c r="G3283" s="101">
        <f t="shared" si="487"/>
        <v>39.75</v>
      </c>
      <c r="H3283" s="95" t="s">
        <v>3630</v>
      </c>
      <c r="J3283" s="247" t="s">
        <v>3624</v>
      </c>
      <c r="K3283" s="89"/>
      <c r="L3283" s="90"/>
      <c r="M3283" s="90"/>
      <c r="P3283" s="68"/>
    </row>
    <row r="3284">
      <c r="A3284" s="95">
        <v>1.95170021457E11</v>
      </c>
      <c r="B3284" s="151" t="s">
        <v>3631</v>
      </c>
      <c r="C3284" s="95" t="s">
        <v>97</v>
      </c>
      <c r="D3284" s="95">
        <v>1.0</v>
      </c>
      <c r="E3284" s="101">
        <v>199.0</v>
      </c>
      <c r="F3284" s="101">
        <f t="shared" si="486"/>
        <v>199</v>
      </c>
      <c r="G3284" s="101">
        <f t="shared" si="487"/>
        <v>49.75</v>
      </c>
      <c r="H3284" s="95" t="s">
        <v>1450</v>
      </c>
      <c r="J3284" s="247" t="s">
        <v>3624</v>
      </c>
      <c r="K3284" s="89"/>
      <c r="L3284" s="90"/>
      <c r="M3284" s="90"/>
      <c r="P3284" s="68"/>
    </row>
    <row r="3285">
      <c r="A3285" s="95">
        <v>1.95191358136E11</v>
      </c>
      <c r="B3285" s="151" t="s">
        <v>3632</v>
      </c>
      <c r="C3285" s="95" t="s">
        <v>97</v>
      </c>
      <c r="D3285" s="95">
        <v>1.0</v>
      </c>
      <c r="E3285" s="101">
        <v>128.0</v>
      </c>
      <c r="F3285" s="101">
        <f t="shared" si="486"/>
        <v>128</v>
      </c>
      <c r="G3285" s="101">
        <f t="shared" si="487"/>
        <v>32</v>
      </c>
      <c r="H3285" s="95" t="s">
        <v>169</v>
      </c>
      <c r="J3285" s="247" t="s">
        <v>3624</v>
      </c>
      <c r="K3285" s="89"/>
      <c r="L3285" s="90"/>
      <c r="M3285" s="90"/>
      <c r="P3285" s="68"/>
    </row>
    <row r="3286">
      <c r="A3286" s="95">
        <v>1.95191373597E11</v>
      </c>
      <c r="B3286" s="151" t="s">
        <v>3633</v>
      </c>
      <c r="C3286" s="95" t="s">
        <v>97</v>
      </c>
      <c r="D3286" s="95">
        <v>1.0</v>
      </c>
      <c r="E3286" s="101">
        <v>128.0</v>
      </c>
      <c r="F3286" s="101">
        <f t="shared" si="486"/>
        <v>128</v>
      </c>
      <c r="G3286" s="101">
        <f t="shared" si="487"/>
        <v>32</v>
      </c>
      <c r="H3286" s="95" t="s">
        <v>169</v>
      </c>
      <c r="J3286" s="247" t="s">
        <v>3624</v>
      </c>
      <c r="K3286" s="89"/>
      <c r="L3286" s="90"/>
      <c r="M3286" s="90"/>
      <c r="P3286" s="68"/>
    </row>
    <row r="3287">
      <c r="A3287" s="95">
        <v>1.95191594756E11</v>
      </c>
      <c r="B3287" s="151" t="s">
        <v>3634</v>
      </c>
      <c r="C3287" s="95" t="s">
        <v>97</v>
      </c>
      <c r="D3287" s="95">
        <v>1.0</v>
      </c>
      <c r="E3287" s="101">
        <v>108.0</v>
      </c>
      <c r="F3287" s="101">
        <f t="shared" si="486"/>
        <v>108</v>
      </c>
      <c r="G3287" s="101">
        <f t="shared" si="487"/>
        <v>27</v>
      </c>
      <c r="H3287" s="95" t="s">
        <v>169</v>
      </c>
      <c r="J3287" s="247" t="s">
        <v>3624</v>
      </c>
      <c r="K3287" s="89"/>
      <c r="L3287" s="90"/>
      <c r="M3287" s="90"/>
      <c r="P3287" s="68"/>
    </row>
    <row r="3288">
      <c r="A3288" s="95">
        <v>6.35273666693E11</v>
      </c>
      <c r="B3288" s="151" t="s">
        <v>3635</v>
      </c>
      <c r="C3288" s="95" t="s">
        <v>97</v>
      </c>
      <c r="D3288" s="95">
        <v>1.0</v>
      </c>
      <c r="E3288" s="101">
        <v>188.0</v>
      </c>
      <c r="F3288" s="101">
        <f t="shared" si="486"/>
        <v>188</v>
      </c>
      <c r="G3288" s="101">
        <f t="shared" si="487"/>
        <v>47</v>
      </c>
      <c r="H3288" s="95" t="s">
        <v>723</v>
      </c>
      <c r="J3288" s="247" t="s">
        <v>3624</v>
      </c>
      <c r="K3288" s="89"/>
      <c r="L3288" s="90"/>
      <c r="M3288" s="90"/>
      <c r="P3288" s="68"/>
    </row>
    <row r="3289">
      <c r="A3289" s="95">
        <v>6.52933158213E11</v>
      </c>
      <c r="B3289" s="151" t="s">
        <v>3636</v>
      </c>
      <c r="C3289" s="95" t="s">
        <v>97</v>
      </c>
      <c r="D3289" s="95">
        <v>1.0</v>
      </c>
      <c r="E3289" s="101">
        <v>365.0</v>
      </c>
      <c r="F3289" s="101">
        <f t="shared" si="486"/>
        <v>365</v>
      </c>
      <c r="G3289" s="101">
        <f t="shared" si="487"/>
        <v>91.25</v>
      </c>
      <c r="H3289" s="95" t="s">
        <v>3637</v>
      </c>
      <c r="J3289" s="247" t="s">
        <v>3624</v>
      </c>
      <c r="K3289" s="89"/>
      <c r="L3289" s="90"/>
      <c r="M3289" s="90"/>
      <c r="P3289" s="68"/>
    </row>
    <row r="3290">
      <c r="A3290" s="95">
        <v>6.89886634181E11</v>
      </c>
      <c r="B3290" s="151" t="s">
        <v>3638</v>
      </c>
      <c r="C3290" s="95" t="s">
        <v>97</v>
      </c>
      <c r="D3290" s="95">
        <v>1.0</v>
      </c>
      <c r="E3290" s="101">
        <v>89.0</v>
      </c>
      <c r="F3290" s="101">
        <f t="shared" si="486"/>
        <v>89</v>
      </c>
      <c r="G3290" s="101">
        <f t="shared" si="487"/>
        <v>22.25</v>
      </c>
      <c r="H3290" s="95" t="s">
        <v>564</v>
      </c>
      <c r="J3290" s="247" t="s">
        <v>3624</v>
      </c>
      <c r="K3290" s="89"/>
      <c r="L3290" s="90"/>
      <c r="M3290" s="90"/>
      <c r="P3290" s="68"/>
    </row>
    <row r="3291">
      <c r="A3291" s="95">
        <v>7.07762395466E11</v>
      </c>
      <c r="B3291" s="151" t="s">
        <v>3639</v>
      </c>
      <c r="C3291" s="95" t="s">
        <v>97</v>
      </c>
      <c r="D3291" s="95">
        <v>2.0</v>
      </c>
      <c r="E3291" s="101">
        <v>149.0</v>
      </c>
      <c r="F3291" s="101">
        <f t="shared" si="486"/>
        <v>298</v>
      </c>
      <c r="G3291" s="101">
        <f t="shared" si="487"/>
        <v>74.5</v>
      </c>
      <c r="H3291" s="95" t="s">
        <v>3219</v>
      </c>
      <c r="J3291" s="247" t="s">
        <v>3624</v>
      </c>
      <c r="K3291" s="89"/>
      <c r="L3291" s="90"/>
      <c r="M3291" s="90"/>
      <c r="P3291" s="68"/>
    </row>
    <row r="3292">
      <c r="A3292" s="95">
        <v>7.07762395473E11</v>
      </c>
      <c r="B3292" s="151" t="s">
        <v>3218</v>
      </c>
      <c r="C3292" s="95" t="s">
        <v>97</v>
      </c>
      <c r="D3292" s="95">
        <v>1.0</v>
      </c>
      <c r="E3292" s="101">
        <v>149.0</v>
      </c>
      <c r="F3292" s="101">
        <f t="shared" si="486"/>
        <v>149</v>
      </c>
      <c r="G3292" s="101">
        <f t="shared" si="487"/>
        <v>37.25</v>
      </c>
      <c r="H3292" s="95" t="s">
        <v>3219</v>
      </c>
      <c r="J3292" s="247" t="s">
        <v>3624</v>
      </c>
      <c r="K3292" s="89"/>
      <c r="L3292" s="90"/>
      <c r="M3292" s="90"/>
      <c r="P3292" s="68"/>
    </row>
    <row r="3293">
      <c r="A3293" s="95">
        <v>7.08008687369E11</v>
      </c>
      <c r="B3293" s="151" t="s">
        <v>3640</v>
      </c>
      <c r="C3293" s="95" t="s">
        <v>97</v>
      </c>
      <c r="D3293" s="95">
        <v>1.0</v>
      </c>
      <c r="E3293" s="101">
        <v>149.0</v>
      </c>
      <c r="F3293" s="101">
        <f t="shared" si="486"/>
        <v>149</v>
      </c>
      <c r="G3293" s="101">
        <f t="shared" si="487"/>
        <v>37.25</v>
      </c>
      <c r="H3293" s="95" t="s">
        <v>1383</v>
      </c>
      <c r="J3293" s="247" t="s">
        <v>3624</v>
      </c>
      <c r="K3293" s="89"/>
      <c r="L3293" s="90"/>
      <c r="M3293" s="90"/>
      <c r="P3293" s="68"/>
    </row>
    <row r="3294">
      <c r="A3294" s="95">
        <v>7.32999522163E11</v>
      </c>
      <c r="B3294" s="151" t="s">
        <v>3226</v>
      </c>
      <c r="C3294" s="95" t="s">
        <v>97</v>
      </c>
      <c r="D3294" s="95">
        <v>1.0</v>
      </c>
      <c r="E3294" s="101">
        <v>99.5</v>
      </c>
      <c r="F3294" s="101">
        <f t="shared" si="486"/>
        <v>99.5</v>
      </c>
      <c r="G3294" s="101">
        <f t="shared" si="487"/>
        <v>24.875</v>
      </c>
      <c r="H3294" s="95" t="s">
        <v>193</v>
      </c>
      <c r="J3294" s="247" t="s">
        <v>3624</v>
      </c>
      <c r="K3294" s="89"/>
      <c r="L3294" s="90"/>
      <c r="M3294" s="90"/>
      <c r="P3294" s="68"/>
    </row>
    <row r="3295">
      <c r="A3295" s="95">
        <v>7.32999680757E11</v>
      </c>
      <c r="B3295" s="151" t="s">
        <v>3267</v>
      </c>
      <c r="C3295" s="95" t="s">
        <v>97</v>
      </c>
      <c r="D3295" s="95">
        <v>1.0</v>
      </c>
      <c r="E3295" s="101">
        <v>69.5</v>
      </c>
      <c r="F3295" s="101">
        <f t="shared" si="486"/>
        <v>69.5</v>
      </c>
      <c r="G3295" s="101">
        <f t="shared" si="487"/>
        <v>17.375</v>
      </c>
      <c r="H3295" s="95" t="s">
        <v>402</v>
      </c>
      <c r="J3295" s="247" t="s">
        <v>3624</v>
      </c>
      <c r="K3295" s="89"/>
      <c r="L3295" s="90"/>
      <c r="M3295" s="90"/>
      <c r="P3295" s="68"/>
    </row>
    <row r="3296">
      <c r="A3296" s="95">
        <v>7.33001392231E11</v>
      </c>
      <c r="B3296" s="151" t="s">
        <v>3641</v>
      </c>
      <c r="C3296" s="95" t="s">
        <v>97</v>
      </c>
      <c r="D3296" s="95">
        <v>1.0</v>
      </c>
      <c r="E3296" s="101">
        <v>59.5</v>
      </c>
      <c r="F3296" s="101">
        <f t="shared" si="486"/>
        <v>59.5</v>
      </c>
      <c r="G3296" s="101">
        <f t="shared" si="487"/>
        <v>14.875</v>
      </c>
      <c r="H3296" s="95" t="s">
        <v>193</v>
      </c>
      <c r="J3296" s="247" t="s">
        <v>3624</v>
      </c>
      <c r="K3296" s="89"/>
      <c r="L3296" s="90"/>
      <c r="M3296" s="90"/>
      <c r="P3296" s="68"/>
    </row>
    <row r="3297">
      <c r="A3297" s="95">
        <v>7.33001392729E11</v>
      </c>
      <c r="B3297" s="151" t="s">
        <v>3271</v>
      </c>
      <c r="C3297" s="95" t="s">
        <v>97</v>
      </c>
      <c r="D3297" s="95">
        <v>1.0</v>
      </c>
      <c r="E3297" s="101">
        <v>79.5</v>
      </c>
      <c r="F3297" s="101">
        <f t="shared" si="486"/>
        <v>79.5</v>
      </c>
      <c r="G3297" s="101">
        <f t="shared" si="487"/>
        <v>19.875</v>
      </c>
      <c r="H3297" s="95" t="s">
        <v>402</v>
      </c>
      <c r="J3297" s="247" t="s">
        <v>3624</v>
      </c>
      <c r="K3297" s="89"/>
      <c r="L3297" s="90"/>
      <c r="M3297" s="90"/>
      <c r="P3297" s="68"/>
    </row>
    <row r="3298">
      <c r="A3298" s="95">
        <v>7.33001413196E11</v>
      </c>
      <c r="B3298" s="151" t="s">
        <v>3642</v>
      </c>
      <c r="C3298" s="95" t="s">
        <v>97</v>
      </c>
      <c r="D3298" s="95">
        <v>1.0</v>
      </c>
      <c r="E3298" s="101">
        <v>34.5</v>
      </c>
      <c r="F3298" s="101">
        <f t="shared" si="486"/>
        <v>34.5</v>
      </c>
      <c r="G3298" s="101">
        <f t="shared" si="487"/>
        <v>8.625</v>
      </c>
      <c r="H3298" s="95" t="s">
        <v>402</v>
      </c>
      <c r="J3298" s="247" t="s">
        <v>3624</v>
      </c>
      <c r="K3298" s="89"/>
      <c r="L3298" s="90"/>
      <c r="M3298" s="90"/>
      <c r="P3298" s="68"/>
    </row>
    <row r="3299">
      <c r="A3299" s="95">
        <v>7.33001413202E11</v>
      </c>
      <c r="B3299" s="151" t="s">
        <v>3436</v>
      </c>
      <c r="C3299" s="95" t="s">
        <v>97</v>
      </c>
      <c r="D3299" s="95">
        <v>1.0</v>
      </c>
      <c r="E3299" s="101">
        <v>34.5</v>
      </c>
      <c r="F3299" s="101">
        <f t="shared" si="486"/>
        <v>34.5</v>
      </c>
      <c r="G3299" s="101">
        <f t="shared" si="487"/>
        <v>8.625</v>
      </c>
      <c r="H3299" s="95" t="s">
        <v>415</v>
      </c>
      <c r="J3299" s="247" t="s">
        <v>3624</v>
      </c>
      <c r="K3299" s="89"/>
      <c r="L3299" s="90"/>
      <c r="M3299" s="90"/>
      <c r="P3299" s="68"/>
    </row>
    <row r="3300">
      <c r="A3300" s="95">
        <v>7.33001648116E11</v>
      </c>
      <c r="B3300" s="151" t="s">
        <v>3643</v>
      </c>
      <c r="C3300" s="95" t="s">
        <v>97</v>
      </c>
      <c r="D3300" s="95">
        <v>1.0</v>
      </c>
      <c r="E3300" s="101">
        <v>119.5</v>
      </c>
      <c r="F3300" s="101">
        <f t="shared" si="486"/>
        <v>119.5</v>
      </c>
      <c r="G3300" s="101">
        <f t="shared" si="487"/>
        <v>29.875</v>
      </c>
      <c r="H3300" s="95" t="s">
        <v>193</v>
      </c>
      <c r="J3300" s="247" t="s">
        <v>3624</v>
      </c>
      <c r="K3300" s="89"/>
      <c r="L3300" s="90"/>
      <c r="M3300" s="90"/>
      <c r="P3300" s="68"/>
    </row>
    <row r="3301">
      <c r="A3301" s="95">
        <v>7.33001809135E11</v>
      </c>
      <c r="B3301" s="151" t="s">
        <v>3195</v>
      </c>
      <c r="C3301" s="95" t="s">
        <v>97</v>
      </c>
      <c r="D3301" s="95">
        <v>1.0</v>
      </c>
      <c r="E3301" s="101">
        <v>34.5</v>
      </c>
      <c r="F3301" s="101">
        <f t="shared" si="486"/>
        <v>34.5</v>
      </c>
      <c r="G3301" s="101">
        <f t="shared" si="487"/>
        <v>8.625</v>
      </c>
      <c r="H3301" s="95" t="s">
        <v>402</v>
      </c>
      <c r="J3301" s="247" t="s">
        <v>3624</v>
      </c>
      <c r="K3301" s="89"/>
      <c r="L3301" s="90"/>
      <c r="M3301" s="90"/>
      <c r="P3301" s="68"/>
    </row>
    <row r="3302">
      <c r="A3302" s="95">
        <v>7.33001992301E11</v>
      </c>
      <c r="B3302" s="151" t="s">
        <v>3644</v>
      </c>
      <c r="C3302" s="95" t="s">
        <v>97</v>
      </c>
      <c r="D3302" s="95">
        <v>1.0</v>
      </c>
      <c r="E3302" s="101">
        <v>69.5</v>
      </c>
      <c r="F3302" s="101">
        <f t="shared" si="486"/>
        <v>69.5</v>
      </c>
      <c r="G3302" s="101">
        <f t="shared" si="487"/>
        <v>17.375</v>
      </c>
      <c r="H3302" s="95" t="s">
        <v>402</v>
      </c>
      <c r="J3302" s="247" t="s">
        <v>3624</v>
      </c>
      <c r="K3302" s="89"/>
      <c r="L3302" s="90"/>
      <c r="M3302" s="90"/>
      <c r="P3302" s="68"/>
    </row>
    <row r="3303">
      <c r="A3303" s="95">
        <v>7.33002169078E11</v>
      </c>
      <c r="B3303" s="151" t="s">
        <v>3645</v>
      </c>
      <c r="C3303" s="95" t="s">
        <v>97</v>
      </c>
      <c r="D3303" s="95">
        <v>1.0</v>
      </c>
      <c r="E3303" s="101">
        <v>69.5</v>
      </c>
      <c r="F3303" s="101">
        <f t="shared" si="486"/>
        <v>69.5</v>
      </c>
      <c r="G3303" s="101">
        <f t="shared" si="487"/>
        <v>17.375</v>
      </c>
      <c r="H3303" s="95" t="s">
        <v>402</v>
      </c>
      <c r="J3303" s="247" t="s">
        <v>3624</v>
      </c>
      <c r="K3303" s="89"/>
      <c r="L3303" s="90"/>
      <c r="M3303" s="90"/>
      <c r="P3303" s="68"/>
    </row>
    <row r="3304">
      <c r="A3304" s="95">
        <v>7.33002189069E11</v>
      </c>
      <c r="B3304" s="151" t="s">
        <v>3646</v>
      </c>
      <c r="C3304" s="95" t="s">
        <v>97</v>
      </c>
      <c r="D3304" s="95">
        <v>1.0</v>
      </c>
      <c r="E3304" s="101">
        <v>149.5</v>
      </c>
      <c r="F3304" s="101">
        <f t="shared" si="486"/>
        <v>149.5</v>
      </c>
      <c r="G3304" s="101">
        <f t="shared" si="487"/>
        <v>37.375</v>
      </c>
      <c r="H3304" s="95" t="s">
        <v>402</v>
      </c>
      <c r="J3304" s="247" t="s">
        <v>3624</v>
      </c>
      <c r="K3304" s="89"/>
      <c r="L3304" s="90"/>
      <c r="M3304" s="90"/>
      <c r="P3304" s="68"/>
    </row>
    <row r="3305">
      <c r="A3305" s="95">
        <v>7.3300238415E11</v>
      </c>
      <c r="B3305" s="151" t="s">
        <v>3647</v>
      </c>
      <c r="C3305" s="95" t="s">
        <v>97</v>
      </c>
      <c r="D3305" s="95">
        <v>1.0</v>
      </c>
      <c r="E3305" s="101">
        <v>79.5</v>
      </c>
      <c r="F3305" s="101">
        <f t="shared" si="486"/>
        <v>79.5</v>
      </c>
      <c r="G3305" s="101">
        <f t="shared" si="487"/>
        <v>19.875</v>
      </c>
      <c r="H3305" s="95" t="s">
        <v>402</v>
      </c>
      <c r="J3305" s="247" t="s">
        <v>3624</v>
      </c>
      <c r="K3305" s="89"/>
      <c r="L3305" s="90"/>
      <c r="M3305" s="90"/>
      <c r="P3305" s="68"/>
    </row>
    <row r="3306">
      <c r="A3306" s="95">
        <v>7.33002393503E11</v>
      </c>
      <c r="B3306" s="151" t="s">
        <v>3648</v>
      </c>
      <c r="C3306" s="95" t="s">
        <v>97</v>
      </c>
      <c r="D3306" s="95">
        <v>1.0</v>
      </c>
      <c r="E3306" s="101">
        <v>109.5</v>
      </c>
      <c r="F3306" s="101">
        <f t="shared" si="486"/>
        <v>109.5</v>
      </c>
      <c r="G3306" s="101">
        <f t="shared" si="487"/>
        <v>27.375</v>
      </c>
      <c r="H3306" s="95" t="s">
        <v>402</v>
      </c>
      <c r="J3306" s="247" t="s">
        <v>3624</v>
      </c>
      <c r="K3306" s="89"/>
      <c r="L3306" s="90"/>
      <c r="M3306" s="90"/>
      <c r="P3306" s="68"/>
    </row>
    <row r="3307">
      <c r="A3307" s="95">
        <v>7.47941879844E11</v>
      </c>
      <c r="B3307" s="151" t="s">
        <v>3649</v>
      </c>
      <c r="C3307" s="95" t="s">
        <v>97</v>
      </c>
      <c r="D3307" s="95">
        <v>1.0</v>
      </c>
      <c r="E3307" s="101">
        <v>43.99</v>
      </c>
      <c r="F3307" s="101">
        <f t="shared" si="486"/>
        <v>43.99</v>
      </c>
      <c r="G3307" s="101">
        <f t="shared" si="487"/>
        <v>10.9975</v>
      </c>
      <c r="H3307" s="95" t="s">
        <v>183</v>
      </c>
      <c r="J3307" s="247" t="s">
        <v>3624</v>
      </c>
      <c r="K3307" s="89"/>
      <c r="L3307" s="90"/>
      <c r="M3307" s="90"/>
      <c r="P3307" s="68"/>
    </row>
    <row r="3308">
      <c r="A3308" s="95">
        <v>8.82191064623E11</v>
      </c>
      <c r="B3308" s="151" t="s">
        <v>3650</v>
      </c>
      <c r="C3308" s="95" t="s">
        <v>97</v>
      </c>
      <c r="D3308" s="95">
        <v>1.0</v>
      </c>
      <c r="E3308" s="101">
        <v>89.0</v>
      </c>
      <c r="F3308" s="101">
        <f t="shared" si="486"/>
        <v>89</v>
      </c>
      <c r="G3308" s="101">
        <f t="shared" si="487"/>
        <v>22.25</v>
      </c>
      <c r="H3308" s="95" t="s">
        <v>187</v>
      </c>
      <c r="J3308" s="247" t="s">
        <v>3624</v>
      </c>
      <c r="K3308" s="89"/>
      <c r="L3308" s="90"/>
      <c r="M3308" s="90"/>
      <c r="P3308" s="68"/>
    </row>
    <row r="3309">
      <c r="A3309" s="95">
        <v>8.84630185364E11</v>
      </c>
      <c r="B3309" s="151" t="s">
        <v>3651</v>
      </c>
      <c r="C3309" s="95" t="s">
        <v>97</v>
      </c>
      <c r="D3309" s="95">
        <v>1.0</v>
      </c>
      <c r="E3309" s="101">
        <v>59.0</v>
      </c>
      <c r="F3309" s="101">
        <f t="shared" si="486"/>
        <v>59</v>
      </c>
      <c r="G3309" s="101">
        <f t="shared" si="487"/>
        <v>14.75</v>
      </c>
      <c r="H3309" s="95" t="s">
        <v>3652</v>
      </c>
      <c r="J3309" s="247" t="s">
        <v>3624</v>
      </c>
      <c r="K3309" s="89"/>
      <c r="L3309" s="90"/>
      <c r="M3309" s="90"/>
      <c r="P3309" s="68"/>
    </row>
    <row r="3310">
      <c r="A3310" s="95">
        <v>8.87650820154E11</v>
      </c>
      <c r="B3310" s="151" t="s">
        <v>3653</v>
      </c>
      <c r="C3310" s="95" t="s">
        <v>97</v>
      </c>
      <c r="D3310" s="95">
        <v>1.0</v>
      </c>
      <c r="E3310" s="101">
        <v>49.99</v>
      </c>
      <c r="F3310" s="101">
        <f t="shared" si="486"/>
        <v>49.99</v>
      </c>
      <c r="G3310" s="101">
        <f t="shared" si="487"/>
        <v>12.4975</v>
      </c>
      <c r="H3310" s="95" t="s">
        <v>3264</v>
      </c>
      <c r="J3310" s="247" t="s">
        <v>3624</v>
      </c>
      <c r="K3310" s="89"/>
      <c r="L3310" s="90"/>
      <c r="M3310" s="90"/>
      <c r="P3310" s="68"/>
    </row>
    <row r="3311">
      <c r="A3311" s="211"/>
      <c r="B3311" s="231" t="s">
        <v>3654</v>
      </c>
      <c r="C3311" s="234" t="str">
        <f>MID($B3311,6,8)</f>
        <v>KL187115</v>
      </c>
      <c r="D3311" s="231"/>
      <c r="E3311" s="231"/>
      <c r="F3311" s="231"/>
      <c r="G3311" s="231"/>
      <c r="H3311" s="235">
        <v>44560.0</v>
      </c>
      <c r="J3311" s="108" t="str">
        <f>IF(LEFT(B3311,3)="Box","BOX","COUNT")</f>
        <v>BOX</v>
      </c>
      <c r="K3311" s="99">
        <f>SUMIF($J$4:$J$8712,$C3311,$D$4:$D$8712)</f>
        <v>35</v>
      </c>
      <c r="L3311" s="50">
        <f>SUMIF($J$4:$J$8712,$C3311,$F$4:$F$8712)</f>
        <v>3861.48</v>
      </c>
      <c r="M3311" s="50">
        <f>SUMIF($J$4:$J$8712,$C3311,$G$4:$G$8712)</f>
        <v>965.37</v>
      </c>
      <c r="N3311" s="70" t="str">
        <f>C3311</f>
        <v>KL187115</v>
      </c>
      <c r="O3311" s="70" t="str">
        <f>J3312</f>
        <v>NSHIP</v>
      </c>
      <c r="P3311" s="68">
        <f>M3311</f>
        <v>965.37</v>
      </c>
    </row>
    <row r="3312">
      <c r="A3312" s="211"/>
      <c r="B3312" s="231"/>
      <c r="C3312" s="109"/>
      <c r="D3312" s="109"/>
      <c r="E3312" s="116"/>
      <c r="F3312" s="116"/>
      <c r="G3312" s="116"/>
      <c r="H3312" s="109"/>
      <c r="J3312" s="108" t="str">
        <f>IF(B3312="","NSHIP","SHIP")</f>
        <v>NSHIP</v>
      </c>
      <c r="K3312" s="99">
        <f>IF($J3312="NSHIP",0,-SUMIF($J$4:$J$8712,$C3311,$D$4:$D$8712))</f>
        <v>0</v>
      </c>
      <c r="L3312" s="50">
        <f>IF($J3312="NSHIP",0,-SUMIF($J$4:$J$8710,$C3311,$F$4:$F$8710))</f>
        <v>0</v>
      </c>
      <c r="M3312" s="50">
        <f>IF($J3312="NSHIP",0,-SUMIF($J$4:$J$8710,$C3311,$G$4:$G$8710))</f>
        <v>0</v>
      </c>
      <c r="P3312" s="68"/>
    </row>
    <row r="3313">
      <c r="A3313" s="95">
        <v>9.3488038382E10</v>
      </c>
      <c r="B3313" s="151" t="s">
        <v>3655</v>
      </c>
      <c r="C3313" s="95" t="s">
        <v>97</v>
      </c>
      <c r="D3313" s="95">
        <v>1.0</v>
      </c>
      <c r="E3313" s="101">
        <v>79.0</v>
      </c>
      <c r="F3313" s="101">
        <f t="shared" ref="F3313:F3350" si="488">E3313*D3313</f>
        <v>79</v>
      </c>
      <c r="G3313" s="101">
        <f t="shared" ref="G3313:G3350" si="489">F3313/4</f>
        <v>19.75</v>
      </c>
      <c r="H3313" s="95" t="s">
        <v>643</v>
      </c>
      <c r="J3313" s="247" t="s">
        <v>3656</v>
      </c>
      <c r="K3313" s="89"/>
      <c r="L3313" s="90"/>
      <c r="M3313" s="90"/>
      <c r="P3313" s="68"/>
    </row>
    <row r="3314">
      <c r="A3314" s="95">
        <v>1.93465809605E11</v>
      </c>
      <c r="B3314" s="151" t="s">
        <v>3657</v>
      </c>
      <c r="C3314" s="95" t="s">
        <v>97</v>
      </c>
      <c r="D3314" s="95">
        <v>1.0</v>
      </c>
      <c r="E3314" s="101">
        <v>148.0</v>
      </c>
      <c r="F3314" s="101">
        <f t="shared" si="488"/>
        <v>148</v>
      </c>
      <c r="G3314" s="101">
        <f t="shared" si="489"/>
        <v>37</v>
      </c>
      <c r="H3314" s="95" t="s">
        <v>169</v>
      </c>
      <c r="J3314" s="247" t="s">
        <v>3656</v>
      </c>
      <c r="K3314" s="89"/>
      <c r="L3314" s="90"/>
      <c r="M3314" s="90"/>
      <c r="P3314" s="68"/>
    </row>
    <row r="3315">
      <c r="A3315" s="95">
        <v>1.93653298129E11</v>
      </c>
      <c r="B3315" s="151" t="s">
        <v>3658</v>
      </c>
      <c r="C3315" s="95" t="s">
        <v>97</v>
      </c>
      <c r="D3315" s="95">
        <v>1.0</v>
      </c>
      <c r="E3315" s="101">
        <v>118.0</v>
      </c>
      <c r="F3315" s="101">
        <f t="shared" si="488"/>
        <v>118</v>
      </c>
      <c r="G3315" s="101">
        <f t="shared" si="489"/>
        <v>29.5</v>
      </c>
      <c r="H3315" s="95" t="s">
        <v>3257</v>
      </c>
      <c r="J3315" s="247" t="s">
        <v>3656</v>
      </c>
      <c r="K3315" s="89"/>
      <c r="L3315" s="90"/>
      <c r="M3315" s="90"/>
      <c r="P3315" s="68"/>
    </row>
    <row r="3316">
      <c r="A3316" s="95">
        <v>1.9437416272E11</v>
      </c>
      <c r="B3316" s="151" t="s">
        <v>3659</v>
      </c>
      <c r="C3316" s="95" t="s">
        <v>97</v>
      </c>
      <c r="D3316" s="95">
        <v>1.0</v>
      </c>
      <c r="E3316" s="101">
        <v>148.0</v>
      </c>
      <c r="F3316" s="101">
        <f t="shared" si="488"/>
        <v>148</v>
      </c>
      <c r="G3316" s="101">
        <f t="shared" si="489"/>
        <v>37</v>
      </c>
      <c r="H3316" s="95" t="s">
        <v>169</v>
      </c>
      <c r="J3316" s="247" t="s">
        <v>3656</v>
      </c>
      <c r="K3316" s="89"/>
      <c r="L3316" s="90"/>
      <c r="M3316" s="90"/>
      <c r="P3316" s="68"/>
    </row>
    <row r="3317">
      <c r="A3317" s="95">
        <v>1.95191118525E11</v>
      </c>
      <c r="B3317" s="151" t="s">
        <v>3660</v>
      </c>
      <c r="C3317" s="95" t="s">
        <v>97</v>
      </c>
      <c r="D3317" s="95">
        <v>1.0</v>
      </c>
      <c r="E3317" s="101">
        <v>38.0</v>
      </c>
      <c r="F3317" s="101">
        <f t="shared" si="488"/>
        <v>38</v>
      </c>
      <c r="G3317" s="101">
        <f t="shared" si="489"/>
        <v>9.5</v>
      </c>
      <c r="H3317" s="95" t="s">
        <v>169</v>
      </c>
      <c r="J3317" s="247" t="s">
        <v>3656</v>
      </c>
      <c r="K3317" s="89"/>
      <c r="L3317" s="90"/>
      <c r="M3317" s="90"/>
      <c r="P3317" s="68"/>
    </row>
    <row r="3318">
      <c r="A3318" s="95">
        <v>1.95203684635E11</v>
      </c>
      <c r="B3318" s="151" t="s">
        <v>3661</v>
      </c>
      <c r="C3318" s="95" t="s">
        <v>97</v>
      </c>
      <c r="D3318" s="95">
        <v>1.0</v>
      </c>
      <c r="E3318" s="101">
        <v>49.0</v>
      </c>
      <c r="F3318" s="101">
        <f t="shared" si="488"/>
        <v>49</v>
      </c>
      <c r="G3318" s="101">
        <f t="shared" si="489"/>
        <v>12.25</v>
      </c>
      <c r="H3318" s="95" t="s">
        <v>3423</v>
      </c>
      <c r="J3318" s="247" t="s">
        <v>3656</v>
      </c>
      <c r="K3318" s="89"/>
      <c r="L3318" s="90"/>
      <c r="M3318" s="90"/>
      <c r="P3318" s="68"/>
    </row>
    <row r="3319">
      <c r="A3319" s="95">
        <v>6.01350386839E11</v>
      </c>
      <c r="B3319" s="151" t="s">
        <v>3662</v>
      </c>
      <c r="C3319" s="95" t="s">
        <v>97</v>
      </c>
      <c r="D3319" s="95">
        <v>1.0</v>
      </c>
      <c r="E3319" s="101">
        <v>89.0</v>
      </c>
      <c r="F3319" s="101">
        <f t="shared" si="488"/>
        <v>89</v>
      </c>
      <c r="G3319" s="101">
        <f t="shared" si="489"/>
        <v>22.25</v>
      </c>
      <c r="H3319" s="95" t="s">
        <v>3574</v>
      </c>
      <c r="J3319" s="247" t="s">
        <v>3656</v>
      </c>
      <c r="K3319" s="89"/>
      <c r="L3319" s="90"/>
      <c r="M3319" s="90"/>
      <c r="P3319" s="68"/>
    </row>
    <row r="3320">
      <c r="A3320" s="95">
        <v>6.10636906432E11</v>
      </c>
      <c r="B3320" s="151" t="s">
        <v>3663</v>
      </c>
      <c r="C3320" s="95" t="s">
        <v>97</v>
      </c>
      <c r="D3320" s="95">
        <v>1.0</v>
      </c>
      <c r="E3320" s="101">
        <v>508.0</v>
      </c>
      <c r="F3320" s="101">
        <f t="shared" si="488"/>
        <v>508</v>
      </c>
      <c r="G3320" s="101">
        <f t="shared" si="489"/>
        <v>127</v>
      </c>
      <c r="H3320" s="95" t="s">
        <v>3664</v>
      </c>
      <c r="J3320" s="247" t="s">
        <v>3656</v>
      </c>
      <c r="K3320" s="89"/>
      <c r="L3320" s="90"/>
      <c r="M3320" s="90"/>
      <c r="P3320" s="68"/>
    </row>
    <row r="3321">
      <c r="A3321" s="95">
        <v>7.07762142862E11</v>
      </c>
      <c r="B3321" s="151" t="s">
        <v>3260</v>
      </c>
      <c r="C3321" s="95" t="s">
        <v>97</v>
      </c>
      <c r="D3321" s="95">
        <v>1.0</v>
      </c>
      <c r="E3321" s="101">
        <v>159.0</v>
      </c>
      <c r="F3321" s="101">
        <f t="shared" si="488"/>
        <v>159</v>
      </c>
      <c r="G3321" s="101">
        <f t="shared" si="489"/>
        <v>39.75</v>
      </c>
      <c r="H3321" s="95" t="s">
        <v>3219</v>
      </c>
      <c r="J3321" s="247" t="s">
        <v>3656</v>
      </c>
      <c r="K3321" s="89"/>
      <c r="L3321" s="90"/>
      <c r="M3321" s="90"/>
      <c r="P3321" s="68"/>
    </row>
    <row r="3322">
      <c r="A3322" s="95">
        <v>7.07762395466E11</v>
      </c>
      <c r="B3322" s="151" t="s">
        <v>3639</v>
      </c>
      <c r="C3322" s="95" t="s">
        <v>97</v>
      </c>
      <c r="D3322" s="95">
        <v>1.0</v>
      </c>
      <c r="E3322" s="101">
        <v>149.0</v>
      </c>
      <c r="F3322" s="101">
        <f t="shared" si="488"/>
        <v>149</v>
      </c>
      <c r="G3322" s="101">
        <f t="shared" si="489"/>
        <v>37.25</v>
      </c>
      <c r="H3322" s="95" t="s">
        <v>3219</v>
      </c>
      <c r="J3322" s="247" t="s">
        <v>3656</v>
      </c>
      <c r="K3322" s="89"/>
      <c r="L3322" s="90"/>
      <c r="M3322" s="90"/>
      <c r="P3322" s="68"/>
    </row>
    <row r="3323">
      <c r="A3323" s="95">
        <v>7.32995925784E11</v>
      </c>
      <c r="B3323" s="151" t="s">
        <v>3665</v>
      </c>
      <c r="C3323" s="95" t="s">
        <v>97</v>
      </c>
      <c r="D3323" s="95">
        <v>2.0</v>
      </c>
      <c r="E3323" s="101">
        <v>49.5</v>
      </c>
      <c r="F3323" s="101">
        <f t="shared" si="488"/>
        <v>99</v>
      </c>
      <c r="G3323" s="101">
        <f t="shared" si="489"/>
        <v>24.75</v>
      </c>
      <c r="H3323" s="95" t="s">
        <v>402</v>
      </c>
      <c r="J3323" s="247" t="s">
        <v>3656</v>
      </c>
      <c r="K3323" s="89"/>
      <c r="L3323" s="90"/>
      <c r="M3323" s="90"/>
      <c r="P3323" s="68"/>
    </row>
    <row r="3324">
      <c r="A3324" s="95">
        <v>7.32995925869E11</v>
      </c>
      <c r="B3324" s="151" t="s">
        <v>3666</v>
      </c>
      <c r="C3324" s="95" t="s">
        <v>97</v>
      </c>
      <c r="D3324" s="95">
        <v>1.0</v>
      </c>
      <c r="E3324" s="101">
        <v>49.5</v>
      </c>
      <c r="F3324" s="101">
        <f t="shared" si="488"/>
        <v>49.5</v>
      </c>
      <c r="G3324" s="101">
        <f t="shared" si="489"/>
        <v>12.375</v>
      </c>
      <c r="H3324" s="95" t="s">
        <v>402</v>
      </c>
      <c r="J3324" s="247" t="s">
        <v>3656</v>
      </c>
      <c r="K3324" s="89"/>
      <c r="L3324" s="90"/>
      <c r="M3324" s="90"/>
      <c r="P3324" s="68"/>
    </row>
    <row r="3325">
      <c r="A3325" s="95">
        <v>7.32996834894E11</v>
      </c>
      <c r="B3325" s="151" t="s">
        <v>3667</v>
      </c>
      <c r="C3325" s="95" t="s">
        <v>97</v>
      </c>
      <c r="D3325" s="95">
        <v>1.0</v>
      </c>
      <c r="E3325" s="101">
        <v>69.5</v>
      </c>
      <c r="F3325" s="101">
        <f t="shared" si="488"/>
        <v>69.5</v>
      </c>
      <c r="G3325" s="101">
        <f t="shared" si="489"/>
        <v>17.375</v>
      </c>
      <c r="H3325" s="95" t="s">
        <v>193</v>
      </c>
      <c r="J3325" s="247" t="s">
        <v>3656</v>
      </c>
      <c r="K3325" s="89"/>
      <c r="L3325" s="90"/>
      <c r="M3325" s="90"/>
      <c r="P3325" s="68"/>
    </row>
    <row r="3326">
      <c r="A3326" s="95">
        <v>7.32997043615E11</v>
      </c>
      <c r="B3326" s="151" t="s">
        <v>3668</v>
      </c>
      <c r="C3326" s="95" t="s">
        <v>97</v>
      </c>
      <c r="D3326" s="95">
        <v>1.0</v>
      </c>
      <c r="E3326" s="101">
        <v>69.5</v>
      </c>
      <c r="F3326" s="101">
        <f t="shared" si="488"/>
        <v>69.5</v>
      </c>
      <c r="G3326" s="101">
        <f t="shared" si="489"/>
        <v>17.375</v>
      </c>
      <c r="H3326" s="95" t="s">
        <v>193</v>
      </c>
      <c r="J3326" s="247" t="s">
        <v>3656</v>
      </c>
      <c r="K3326" s="89"/>
      <c r="L3326" s="90"/>
      <c r="M3326" s="90"/>
      <c r="P3326" s="68"/>
    </row>
    <row r="3327">
      <c r="A3327" s="95">
        <v>7.3299810379E11</v>
      </c>
      <c r="B3327" s="151" t="s">
        <v>3669</v>
      </c>
      <c r="C3327" s="95" t="s">
        <v>97</v>
      </c>
      <c r="D3327" s="95">
        <v>1.0</v>
      </c>
      <c r="E3327" s="101">
        <v>79.5</v>
      </c>
      <c r="F3327" s="101">
        <f t="shared" si="488"/>
        <v>79.5</v>
      </c>
      <c r="G3327" s="101">
        <f t="shared" si="489"/>
        <v>19.875</v>
      </c>
      <c r="H3327" s="95" t="s">
        <v>400</v>
      </c>
      <c r="J3327" s="247" t="s">
        <v>3656</v>
      </c>
      <c r="K3327" s="89"/>
      <c r="L3327" s="90"/>
      <c r="M3327" s="90"/>
      <c r="P3327" s="68"/>
    </row>
    <row r="3328">
      <c r="A3328" s="95">
        <v>7.32998335535E11</v>
      </c>
      <c r="B3328" s="151" t="s">
        <v>3670</v>
      </c>
      <c r="C3328" s="95" t="s">
        <v>97</v>
      </c>
      <c r="D3328" s="95">
        <v>1.0</v>
      </c>
      <c r="E3328" s="101">
        <v>59.5</v>
      </c>
      <c r="F3328" s="101">
        <f t="shared" si="488"/>
        <v>59.5</v>
      </c>
      <c r="G3328" s="101">
        <f t="shared" si="489"/>
        <v>14.875</v>
      </c>
      <c r="H3328" s="95" t="s">
        <v>402</v>
      </c>
      <c r="J3328" s="247" t="s">
        <v>3656</v>
      </c>
      <c r="K3328" s="89"/>
      <c r="L3328" s="90"/>
      <c r="M3328" s="90"/>
      <c r="P3328" s="68"/>
    </row>
    <row r="3329">
      <c r="A3329" s="95">
        <v>7.3299861786E11</v>
      </c>
      <c r="B3329" s="151" t="s">
        <v>3395</v>
      </c>
      <c r="C3329" s="95" t="s">
        <v>97</v>
      </c>
      <c r="D3329" s="95">
        <v>1.0</v>
      </c>
      <c r="E3329" s="101">
        <v>64.5</v>
      </c>
      <c r="F3329" s="101">
        <f t="shared" si="488"/>
        <v>64.5</v>
      </c>
      <c r="G3329" s="101">
        <f t="shared" si="489"/>
        <v>16.125</v>
      </c>
      <c r="H3329" s="95" t="s">
        <v>402</v>
      </c>
      <c r="J3329" s="247" t="s">
        <v>3656</v>
      </c>
      <c r="K3329" s="89"/>
      <c r="L3329" s="90"/>
      <c r="M3329" s="90"/>
      <c r="P3329" s="68"/>
    </row>
    <row r="3330">
      <c r="A3330" s="95">
        <v>7.32999497362E11</v>
      </c>
      <c r="B3330" s="151" t="s">
        <v>3671</v>
      </c>
      <c r="C3330" s="95" t="s">
        <v>97</v>
      </c>
      <c r="D3330" s="95">
        <v>1.0</v>
      </c>
      <c r="E3330" s="101">
        <v>59.5</v>
      </c>
      <c r="F3330" s="101">
        <f t="shared" si="488"/>
        <v>59.5</v>
      </c>
      <c r="G3330" s="101">
        <f t="shared" si="489"/>
        <v>14.875</v>
      </c>
      <c r="H3330" s="95" t="s">
        <v>402</v>
      </c>
      <c r="J3330" s="247" t="s">
        <v>3656</v>
      </c>
      <c r="K3330" s="89"/>
      <c r="L3330" s="90"/>
      <c r="M3330" s="90"/>
      <c r="P3330" s="68"/>
    </row>
    <row r="3331">
      <c r="A3331" s="95">
        <v>7.32999515004E11</v>
      </c>
      <c r="B3331" s="151" t="s">
        <v>3672</v>
      </c>
      <c r="C3331" s="95" t="s">
        <v>97</v>
      </c>
      <c r="D3331" s="95">
        <v>1.0</v>
      </c>
      <c r="E3331" s="101">
        <v>119.5</v>
      </c>
      <c r="F3331" s="101">
        <f t="shared" si="488"/>
        <v>119.5</v>
      </c>
      <c r="G3331" s="101">
        <f t="shared" si="489"/>
        <v>29.875</v>
      </c>
      <c r="H3331" s="95" t="s">
        <v>193</v>
      </c>
      <c r="J3331" s="247" t="s">
        <v>3656</v>
      </c>
      <c r="K3331" s="89"/>
      <c r="L3331" s="90"/>
      <c r="M3331" s="90"/>
      <c r="P3331" s="68"/>
    </row>
    <row r="3332">
      <c r="A3332" s="95">
        <v>7.32999655878E11</v>
      </c>
      <c r="B3332" s="151" t="s">
        <v>3673</v>
      </c>
      <c r="C3332" s="95" t="s">
        <v>97</v>
      </c>
      <c r="D3332" s="95">
        <v>1.0</v>
      </c>
      <c r="E3332" s="101">
        <v>59.5</v>
      </c>
      <c r="F3332" s="101">
        <f t="shared" si="488"/>
        <v>59.5</v>
      </c>
      <c r="G3332" s="101">
        <f t="shared" si="489"/>
        <v>14.875</v>
      </c>
      <c r="H3332" s="95" t="s">
        <v>402</v>
      </c>
      <c r="J3332" s="247" t="s">
        <v>3656</v>
      </c>
      <c r="K3332" s="89"/>
      <c r="L3332" s="90"/>
      <c r="M3332" s="90"/>
      <c r="P3332" s="68"/>
    </row>
    <row r="3333">
      <c r="A3333" s="95">
        <v>7.3299968058E11</v>
      </c>
      <c r="B3333" s="151" t="s">
        <v>3674</v>
      </c>
      <c r="C3333" s="95" t="s">
        <v>97</v>
      </c>
      <c r="D3333" s="95">
        <v>1.0</v>
      </c>
      <c r="E3333" s="101">
        <v>39.5</v>
      </c>
      <c r="F3333" s="101">
        <f t="shared" si="488"/>
        <v>39.5</v>
      </c>
      <c r="G3333" s="101">
        <f t="shared" si="489"/>
        <v>9.875</v>
      </c>
      <c r="H3333" s="95" t="s">
        <v>402</v>
      </c>
      <c r="J3333" s="247" t="s">
        <v>3656</v>
      </c>
      <c r="K3333" s="89"/>
      <c r="L3333" s="90"/>
      <c r="M3333" s="90"/>
      <c r="P3333" s="68"/>
    </row>
    <row r="3334">
      <c r="A3334" s="95">
        <v>7.33001546733E11</v>
      </c>
      <c r="B3334" s="151" t="s">
        <v>3188</v>
      </c>
      <c r="C3334" s="95" t="s">
        <v>97</v>
      </c>
      <c r="D3334" s="95">
        <v>1.0</v>
      </c>
      <c r="E3334" s="101">
        <v>49.5</v>
      </c>
      <c r="F3334" s="101">
        <f t="shared" si="488"/>
        <v>49.5</v>
      </c>
      <c r="G3334" s="101">
        <f t="shared" si="489"/>
        <v>12.375</v>
      </c>
      <c r="H3334" s="95" t="s">
        <v>3140</v>
      </c>
      <c r="J3334" s="247" t="s">
        <v>3656</v>
      </c>
      <c r="K3334" s="89"/>
      <c r="L3334" s="90"/>
      <c r="M3334" s="90"/>
      <c r="P3334" s="68"/>
    </row>
    <row r="3335">
      <c r="A3335" s="95">
        <v>7.3300154674E11</v>
      </c>
      <c r="B3335" s="151" t="s">
        <v>3189</v>
      </c>
      <c r="C3335" s="95" t="s">
        <v>97</v>
      </c>
      <c r="D3335" s="95">
        <v>1.0</v>
      </c>
      <c r="E3335" s="101">
        <v>49.5</v>
      </c>
      <c r="F3335" s="101">
        <f t="shared" si="488"/>
        <v>49.5</v>
      </c>
      <c r="G3335" s="101">
        <f t="shared" si="489"/>
        <v>12.375</v>
      </c>
      <c r="H3335" s="95" t="s">
        <v>3140</v>
      </c>
      <c r="J3335" s="247" t="s">
        <v>3656</v>
      </c>
      <c r="K3335" s="89"/>
      <c r="L3335" s="90"/>
      <c r="M3335" s="90"/>
      <c r="P3335" s="68"/>
    </row>
    <row r="3336">
      <c r="A3336" s="95">
        <v>7.33001546757E11</v>
      </c>
      <c r="B3336" s="151" t="s">
        <v>3139</v>
      </c>
      <c r="C3336" s="95" t="s">
        <v>97</v>
      </c>
      <c r="D3336" s="95">
        <v>1.0</v>
      </c>
      <c r="E3336" s="101">
        <v>49.5</v>
      </c>
      <c r="F3336" s="101">
        <f t="shared" si="488"/>
        <v>49.5</v>
      </c>
      <c r="G3336" s="101">
        <f t="shared" si="489"/>
        <v>12.375</v>
      </c>
      <c r="H3336" s="95" t="s">
        <v>3140</v>
      </c>
      <c r="J3336" s="247" t="s">
        <v>3656</v>
      </c>
      <c r="K3336" s="89"/>
      <c r="L3336" s="90"/>
      <c r="M3336" s="90"/>
      <c r="P3336" s="68"/>
    </row>
    <row r="3337">
      <c r="A3337" s="95">
        <v>7.33001546771E11</v>
      </c>
      <c r="B3337" s="151" t="s">
        <v>3675</v>
      </c>
      <c r="C3337" s="95" t="s">
        <v>97</v>
      </c>
      <c r="D3337" s="95">
        <v>2.0</v>
      </c>
      <c r="E3337" s="101">
        <v>49.5</v>
      </c>
      <c r="F3337" s="101">
        <f t="shared" si="488"/>
        <v>99</v>
      </c>
      <c r="G3337" s="101">
        <f t="shared" si="489"/>
        <v>24.75</v>
      </c>
      <c r="H3337" s="95" t="s">
        <v>3140</v>
      </c>
      <c r="J3337" s="247" t="s">
        <v>3656</v>
      </c>
      <c r="K3337" s="89"/>
      <c r="L3337" s="90"/>
      <c r="M3337" s="90"/>
      <c r="P3337" s="68"/>
    </row>
    <row r="3338">
      <c r="A3338" s="95">
        <v>7.33001736561E11</v>
      </c>
      <c r="B3338" s="151" t="s">
        <v>3676</v>
      </c>
      <c r="C3338" s="95" t="s">
        <v>97</v>
      </c>
      <c r="D3338" s="95">
        <v>1.0</v>
      </c>
      <c r="E3338" s="101">
        <v>79.5</v>
      </c>
      <c r="F3338" s="101">
        <f t="shared" si="488"/>
        <v>79.5</v>
      </c>
      <c r="G3338" s="101">
        <f t="shared" si="489"/>
        <v>19.875</v>
      </c>
      <c r="H3338" s="95" t="s">
        <v>402</v>
      </c>
      <c r="J3338" s="247" t="s">
        <v>3656</v>
      </c>
      <c r="K3338" s="89"/>
      <c r="L3338" s="90"/>
      <c r="M3338" s="90"/>
      <c r="P3338" s="68"/>
    </row>
    <row r="3339">
      <c r="A3339" s="95">
        <v>7.33001864264E11</v>
      </c>
      <c r="B3339" s="151" t="s">
        <v>3677</v>
      </c>
      <c r="C3339" s="95" t="s">
        <v>97</v>
      </c>
      <c r="D3339" s="95">
        <v>1.0</v>
      </c>
      <c r="E3339" s="101">
        <v>149.5</v>
      </c>
      <c r="F3339" s="101">
        <f t="shared" si="488"/>
        <v>149.5</v>
      </c>
      <c r="G3339" s="101">
        <f t="shared" si="489"/>
        <v>37.375</v>
      </c>
      <c r="H3339" s="95" t="s">
        <v>193</v>
      </c>
      <c r="J3339" s="247" t="s">
        <v>3656</v>
      </c>
      <c r="K3339" s="89"/>
      <c r="L3339" s="90"/>
      <c r="M3339" s="90"/>
      <c r="P3339" s="68"/>
    </row>
    <row r="3340">
      <c r="A3340" s="95">
        <v>7.33001989912E11</v>
      </c>
      <c r="B3340" s="151" t="s">
        <v>3678</v>
      </c>
      <c r="C3340" s="95" t="s">
        <v>97</v>
      </c>
      <c r="D3340" s="95">
        <v>1.0</v>
      </c>
      <c r="E3340" s="101">
        <v>69.5</v>
      </c>
      <c r="F3340" s="101">
        <f t="shared" si="488"/>
        <v>69.5</v>
      </c>
      <c r="G3340" s="101">
        <f t="shared" si="489"/>
        <v>17.375</v>
      </c>
      <c r="H3340" s="95" t="s">
        <v>402</v>
      </c>
      <c r="J3340" s="247" t="s">
        <v>3656</v>
      </c>
      <c r="K3340" s="89"/>
      <c r="L3340" s="90"/>
      <c r="M3340" s="90"/>
      <c r="P3340" s="68"/>
    </row>
    <row r="3341">
      <c r="A3341" s="95">
        <v>7.33002167005E11</v>
      </c>
      <c r="B3341" s="151" t="s">
        <v>3679</v>
      </c>
      <c r="C3341" s="95" t="s">
        <v>97</v>
      </c>
      <c r="D3341" s="95">
        <v>1.0</v>
      </c>
      <c r="E3341" s="101">
        <v>89.5</v>
      </c>
      <c r="F3341" s="101">
        <f t="shared" si="488"/>
        <v>89.5</v>
      </c>
      <c r="G3341" s="101">
        <f t="shared" si="489"/>
        <v>22.375</v>
      </c>
      <c r="H3341" s="95" t="s">
        <v>402</v>
      </c>
      <c r="J3341" s="247" t="s">
        <v>3656</v>
      </c>
      <c r="K3341" s="89"/>
      <c r="L3341" s="90"/>
      <c r="M3341" s="90"/>
      <c r="P3341" s="68"/>
    </row>
    <row r="3342">
      <c r="A3342" s="95">
        <v>7.33002168231E11</v>
      </c>
      <c r="B3342" s="151" t="s">
        <v>3491</v>
      </c>
      <c r="C3342" s="95" t="s">
        <v>97</v>
      </c>
      <c r="D3342" s="95">
        <v>1.0</v>
      </c>
      <c r="E3342" s="101">
        <v>99.5</v>
      </c>
      <c r="F3342" s="101">
        <f t="shared" si="488"/>
        <v>99.5</v>
      </c>
      <c r="G3342" s="101">
        <f t="shared" si="489"/>
        <v>24.875</v>
      </c>
      <c r="H3342" s="95" t="s">
        <v>683</v>
      </c>
      <c r="J3342" s="247" t="s">
        <v>3656</v>
      </c>
      <c r="K3342" s="89"/>
      <c r="L3342" s="90"/>
      <c r="M3342" s="90"/>
      <c r="P3342" s="68"/>
    </row>
    <row r="3343">
      <c r="A3343" s="95">
        <v>7.33002168842E11</v>
      </c>
      <c r="B3343" s="151" t="s">
        <v>3493</v>
      </c>
      <c r="C3343" s="95" t="s">
        <v>97</v>
      </c>
      <c r="D3343" s="95">
        <v>1.0</v>
      </c>
      <c r="E3343" s="101">
        <v>89.5</v>
      </c>
      <c r="F3343" s="101">
        <f t="shared" si="488"/>
        <v>89.5</v>
      </c>
      <c r="G3343" s="101">
        <f t="shared" si="489"/>
        <v>22.375</v>
      </c>
      <c r="H3343" s="95" t="s">
        <v>402</v>
      </c>
      <c r="J3343" s="247" t="s">
        <v>3656</v>
      </c>
      <c r="K3343" s="89"/>
      <c r="L3343" s="90"/>
      <c r="M3343" s="90"/>
      <c r="P3343" s="68"/>
    </row>
    <row r="3344">
      <c r="A3344" s="95">
        <v>7.33002169061E11</v>
      </c>
      <c r="B3344" s="151" t="s">
        <v>3680</v>
      </c>
      <c r="C3344" s="95" t="s">
        <v>97</v>
      </c>
      <c r="D3344" s="95">
        <v>1.0</v>
      </c>
      <c r="E3344" s="101">
        <v>69.5</v>
      </c>
      <c r="F3344" s="101">
        <f t="shared" si="488"/>
        <v>69.5</v>
      </c>
      <c r="G3344" s="101">
        <f t="shared" si="489"/>
        <v>17.375</v>
      </c>
      <c r="H3344" s="95" t="s">
        <v>402</v>
      </c>
      <c r="J3344" s="247" t="s">
        <v>3656</v>
      </c>
      <c r="K3344" s="89"/>
      <c r="L3344" s="90"/>
      <c r="M3344" s="90"/>
      <c r="P3344" s="68"/>
    </row>
    <row r="3345">
      <c r="A3345" s="95">
        <v>7.3300217498E11</v>
      </c>
      <c r="B3345" s="151" t="s">
        <v>3681</v>
      </c>
      <c r="C3345" s="95" t="s">
        <v>97</v>
      </c>
      <c r="D3345" s="95">
        <v>1.0</v>
      </c>
      <c r="E3345" s="101">
        <v>59.5</v>
      </c>
      <c r="F3345" s="101">
        <f t="shared" si="488"/>
        <v>59.5</v>
      </c>
      <c r="G3345" s="101">
        <f t="shared" si="489"/>
        <v>14.875</v>
      </c>
      <c r="H3345" s="95" t="s">
        <v>402</v>
      </c>
      <c r="J3345" s="247" t="s">
        <v>3656</v>
      </c>
      <c r="K3345" s="89"/>
      <c r="L3345" s="90"/>
      <c r="M3345" s="90"/>
      <c r="P3345" s="68"/>
    </row>
    <row r="3346">
      <c r="A3346" s="95">
        <v>7.33002188345E11</v>
      </c>
      <c r="B3346" s="151" t="s">
        <v>3682</v>
      </c>
      <c r="C3346" s="95" t="s">
        <v>97</v>
      </c>
      <c r="D3346" s="95">
        <v>1.0</v>
      </c>
      <c r="E3346" s="101">
        <v>74.5</v>
      </c>
      <c r="F3346" s="101">
        <f t="shared" si="488"/>
        <v>74.5</v>
      </c>
      <c r="G3346" s="101">
        <f t="shared" si="489"/>
        <v>18.625</v>
      </c>
      <c r="H3346" s="95" t="s">
        <v>402</v>
      </c>
      <c r="J3346" s="247" t="s">
        <v>3656</v>
      </c>
      <c r="K3346" s="89"/>
      <c r="L3346" s="90"/>
      <c r="M3346" s="90"/>
      <c r="P3346" s="68"/>
    </row>
    <row r="3347">
      <c r="A3347" s="95">
        <v>7.33002229123E11</v>
      </c>
      <c r="B3347" s="151" t="s">
        <v>3683</v>
      </c>
      <c r="C3347" s="95" t="s">
        <v>97</v>
      </c>
      <c r="D3347" s="95">
        <v>1.0</v>
      </c>
      <c r="E3347" s="101">
        <v>59.5</v>
      </c>
      <c r="F3347" s="101">
        <f t="shared" si="488"/>
        <v>59.5</v>
      </c>
      <c r="G3347" s="101">
        <f t="shared" si="489"/>
        <v>14.875</v>
      </c>
      <c r="H3347" s="95" t="s">
        <v>193</v>
      </c>
      <c r="J3347" s="247" t="s">
        <v>3656</v>
      </c>
      <c r="K3347" s="89"/>
      <c r="L3347" s="90"/>
      <c r="M3347" s="90"/>
      <c r="P3347" s="68"/>
    </row>
    <row r="3348">
      <c r="A3348" s="95">
        <v>7.33002389612E11</v>
      </c>
      <c r="B3348" s="151" t="s">
        <v>3684</v>
      </c>
      <c r="C3348" s="95" t="s">
        <v>97</v>
      </c>
      <c r="D3348" s="95">
        <v>1.0</v>
      </c>
      <c r="E3348" s="101">
        <v>59.5</v>
      </c>
      <c r="F3348" s="101">
        <f t="shared" si="488"/>
        <v>59.5</v>
      </c>
      <c r="G3348" s="101">
        <f t="shared" si="489"/>
        <v>14.875</v>
      </c>
      <c r="H3348" s="95" t="s">
        <v>402</v>
      </c>
      <c r="J3348" s="247" t="s">
        <v>3656</v>
      </c>
      <c r="K3348" s="89"/>
      <c r="L3348" s="90"/>
      <c r="M3348" s="90"/>
      <c r="P3348" s="68"/>
    </row>
    <row r="3349">
      <c r="A3349" s="95">
        <v>7.49709731326E11</v>
      </c>
      <c r="B3349" s="151" t="s">
        <v>3685</v>
      </c>
      <c r="C3349" s="95" t="s">
        <v>97</v>
      </c>
      <c r="D3349" s="95">
        <v>1.0</v>
      </c>
      <c r="E3349" s="101">
        <v>58.99</v>
      </c>
      <c r="F3349" s="101">
        <f t="shared" si="488"/>
        <v>58.99</v>
      </c>
      <c r="G3349" s="101">
        <f t="shared" si="489"/>
        <v>14.7475</v>
      </c>
      <c r="H3349" s="95" t="s">
        <v>3686</v>
      </c>
      <c r="J3349" s="247" t="s">
        <v>3656</v>
      </c>
      <c r="K3349" s="89"/>
      <c r="L3349" s="90"/>
      <c r="M3349" s="90"/>
      <c r="P3349" s="68"/>
    </row>
    <row r="3350">
      <c r="A3350" s="95">
        <v>8.89602483806E11</v>
      </c>
      <c r="B3350" s="151" t="s">
        <v>3687</v>
      </c>
      <c r="C3350" s="95" t="s">
        <v>97</v>
      </c>
      <c r="D3350" s="95">
        <v>1.0</v>
      </c>
      <c r="E3350" s="101">
        <v>59.0</v>
      </c>
      <c r="F3350" s="101">
        <f t="shared" si="488"/>
        <v>59</v>
      </c>
      <c r="G3350" s="101">
        <f t="shared" si="489"/>
        <v>14.75</v>
      </c>
      <c r="H3350" s="95" t="s">
        <v>3497</v>
      </c>
      <c r="J3350" s="247" t="s">
        <v>3656</v>
      </c>
      <c r="K3350" s="89"/>
      <c r="L3350" s="90"/>
      <c r="M3350" s="90"/>
      <c r="P3350" s="68"/>
    </row>
    <row r="3351">
      <c r="A3351" s="211"/>
      <c r="B3351" s="231" t="s">
        <v>3688</v>
      </c>
      <c r="C3351" s="234" t="str">
        <f>MID($B3351,6,8)</f>
        <v>KL187116</v>
      </c>
      <c r="D3351" s="231"/>
      <c r="E3351" s="231"/>
      <c r="F3351" s="231"/>
      <c r="G3351" s="231"/>
      <c r="H3351" s="235">
        <v>44560.0</v>
      </c>
      <c r="J3351" s="108" t="str">
        <f>IF(LEFT(B3351,3)="Box","BOX","COUNT")</f>
        <v>BOX</v>
      </c>
      <c r="K3351" s="99">
        <f>SUMIF($J$4:$J$8712,$C3351,$D$4:$D$8712)</f>
        <v>40</v>
      </c>
      <c r="L3351" s="50">
        <f>SUMIF($J$4:$J$8712,$C3351,$F$4:$F$8712)</f>
        <v>3518.99</v>
      </c>
      <c r="M3351" s="50">
        <f>SUMIF($J$4:$J$8712,$C3351,$G$4:$G$8712)</f>
        <v>879.7475</v>
      </c>
      <c r="N3351" s="70" t="str">
        <f>C3351</f>
        <v>KL187116</v>
      </c>
      <c r="O3351" s="70" t="str">
        <f>J3352</f>
        <v>NSHIP</v>
      </c>
      <c r="P3351" s="68">
        <f>M3351</f>
        <v>879.7475</v>
      </c>
    </row>
    <row r="3352">
      <c r="A3352" s="211"/>
      <c r="B3352" s="231"/>
      <c r="C3352" s="109"/>
      <c r="D3352" s="109"/>
      <c r="E3352" s="116"/>
      <c r="F3352" s="116"/>
      <c r="G3352" s="116"/>
      <c r="H3352" s="109"/>
      <c r="J3352" s="108" t="str">
        <f>IF(B3352="","NSHIP","SHIP")</f>
        <v>NSHIP</v>
      </c>
      <c r="K3352" s="99">
        <f>IF($J3352="NSHIP",0,-SUMIF($J$4:$J$8712,$C3351,$D$4:$D$8712))</f>
        <v>0</v>
      </c>
      <c r="L3352" s="50">
        <f>IF($J3352="NSHIP",0,-SUMIF($J$4:$J$8710,$C3351,$F$4:$F$8710))</f>
        <v>0</v>
      </c>
      <c r="M3352" s="50">
        <f>IF($J3352="NSHIP",0,-SUMIF($J$4:$J$8710,$C3351,$G$4:$G$8710))</f>
        <v>0</v>
      </c>
      <c r="P3352" s="68"/>
    </row>
    <row r="3353">
      <c r="A3353" s="95">
        <v>8.868166593E9</v>
      </c>
      <c r="B3353" s="151" t="s">
        <v>3689</v>
      </c>
      <c r="C3353" s="95" t="s">
        <v>97</v>
      </c>
      <c r="D3353" s="95">
        <v>1.0</v>
      </c>
      <c r="E3353" s="101">
        <v>59.5</v>
      </c>
      <c r="F3353" s="101">
        <f t="shared" ref="F3353:F3394" si="490">E3353*D3353</f>
        <v>59.5</v>
      </c>
      <c r="G3353" s="101">
        <f t="shared" ref="G3353:G3394" si="491">F3353/4</f>
        <v>14.875</v>
      </c>
      <c r="H3353" s="95" t="s">
        <v>3252</v>
      </c>
      <c r="J3353" s="247" t="s">
        <v>3690</v>
      </c>
      <c r="K3353" s="89"/>
      <c r="L3353" s="90"/>
      <c r="M3353" s="90"/>
      <c r="P3353" s="68"/>
    </row>
    <row r="3354">
      <c r="A3354" s="95">
        <v>1.90917341942E11</v>
      </c>
      <c r="B3354" s="151" t="s">
        <v>3254</v>
      </c>
      <c r="C3354" s="95" t="s">
        <v>97</v>
      </c>
      <c r="D3354" s="95">
        <v>2.0</v>
      </c>
      <c r="E3354" s="101">
        <v>39.0</v>
      </c>
      <c r="F3354" s="101">
        <f t="shared" si="490"/>
        <v>78</v>
      </c>
      <c r="G3354" s="101">
        <f t="shared" si="491"/>
        <v>19.5</v>
      </c>
      <c r="H3354" s="95" t="s">
        <v>3211</v>
      </c>
      <c r="J3354" s="247" t="s">
        <v>3690</v>
      </c>
      <c r="K3354" s="89"/>
      <c r="L3354" s="90"/>
      <c r="M3354" s="90"/>
      <c r="P3354" s="68"/>
    </row>
    <row r="3355">
      <c r="A3355" s="95">
        <v>1.90917345148E11</v>
      </c>
      <c r="B3355" s="151" t="s">
        <v>3213</v>
      </c>
      <c r="C3355" s="95" t="s">
        <v>97</v>
      </c>
      <c r="D3355" s="95">
        <v>1.0</v>
      </c>
      <c r="E3355" s="101">
        <v>69.0</v>
      </c>
      <c r="F3355" s="101">
        <f t="shared" si="490"/>
        <v>69</v>
      </c>
      <c r="G3355" s="101">
        <f t="shared" si="491"/>
        <v>17.25</v>
      </c>
      <c r="H3355" s="95" t="s">
        <v>3211</v>
      </c>
      <c r="J3355" s="247" t="s">
        <v>3690</v>
      </c>
      <c r="K3355" s="89"/>
      <c r="L3355" s="90"/>
      <c r="M3355" s="90"/>
      <c r="P3355" s="68"/>
    </row>
    <row r="3356">
      <c r="A3356" s="95">
        <v>1.91837121751E11</v>
      </c>
      <c r="B3356" s="151" t="s">
        <v>3691</v>
      </c>
      <c r="C3356" s="95" t="s">
        <v>97</v>
      </c>
      <c r="D3356" s="95">
        <v>1.0</v>
      </c>
      <c r="E3356" s="101">
        <v>299.0</v>
      </c>
      <c r="F3356" s="101">
        <f t="shared" si="490"/>
        <v>299</v>
      </c>
      <c r="G3356" s="101">
        <f t="shared" si="491"/>
        <v>74.75</v>
      </c>
      <c r="H3356" s="95" t="s">
        <v>598</v>
      </c>
      <c r="J3356" s="247" t="s">
        <v>3690</v>
      </c>
      <c r="K3356" s="89"/>
      <c r="L3356" s="90"/>
      <c r="M3356" s="90"/>
      <c r="P3356" s="68"/>
    </row>
    <row r="3357">
      <c r="A3357" s="95">
        <v>1.93653298242E11</v>
      </c>
      <c r="B3357" s="151" t="s">
        <v>3692</v>
      </c>
      <c r="C3357" s="95" t="s">
        <v>97</v>
      </c>
      <c r="D3357" s="95">
        <v>1.0</v>
      </c>
      <c r="E3357" s="101">
        <v>118.0</v>
      </c>
      <c r="F3357" s="101">
        <f t="shared" si="490"/>
        <v>118</v>
      </c>
      <c r="G3357" s="101">
        <f t="shared" si="491"/>
        <v>29.5</v>
      </c>
      <c r="H3357" s="95" t="s">
        <v>3257</v>
      </c>
      <c r="J3357" s="247" t="s">
        <v>3690</v>
      </c>
      <c r="K3357" s="89"/>
      <c r="L3357" s="90"/>
      <c r="M3357" s="90"/>
      <c r="P3357" s="68"/>
    </row>
    <row r="3358">
      <c r="A3358" s="95">
        <v>1.95203321158E11</v>
      </c>
      <c r="B3358" s="151" t="s">
        <v>3693</v>
      </c>
      <c r="C3358" s="95" t="s">
        <v>97</v>
      </c>
      <c r="D3358" s="95">
        <v>1.0</v>
      </c>
      <c r="E3358" s="101">
        <v>39.0</v>
      </c>
      <c r="F3358" s="101">
        <f t="shared" si="490"/>
        <v>39</v>
      </c>
      <c r="G3358" s="101">
        <f t="shared" si="491"/>
        <v>9.75</v>
      </c>
      <c r="H3358" s="95" t="s">
        <v>3694</v>
      </c>
      <c r="J3358" s="247" t="s">
        <v>3690</v>
      </c>
      <c r="K3358" s="89"/>
      <c r="L3358" s="90"/>
      <c r="M3358" s="90"/>
      <c r="P3358" s="68"/>
    </row>
    <row r="3359">
      <c r="A3359" s="95">
        <v>1.95203451572E11</v>
      </c>
      <c r="B3359" s="151" t="s">
        <v>3695</v>
      </c>
      <c r="C3359" s="95" t="s">
        <v>97</v>
      </c>
      <c r="D3359" s="95">
        <v>1.0</v>
      </c>
      <c r="E3359" s="101">
        <v>89.0</v>
      </c>
      <c r="F3359" s="101">
        <f t="shared" si="490"/>
        <v>89</v>
      </c>
      <c r="G3359" s="101">
        <f t="shared" si="491"/>
        <v>22.25</v>
      </c>
      <c r="H3359" s="95" t="s">
        <v>3388</v>
      </c>
      <c r="J3359" s="247" t="s">
        <v>3690</v>
      </c>
      <c r="K3359" s="89"/>
      <c r="L3359" s="90"/>
      <c r="M3359" s="90"/>
      <c r="P3359" s="68"/>
    </row>
    <row r="3360">
      <c r="A3360" s="95">
        <v>1.95203474007E11</v>
      </c>
      <c r="B3360" s="151" t="s">
        <v>3696</v>
      </c>
      <c r="C3360" s="95" t="s">
        <v>97</v>
      </c>
      <c r="D3360" s="95">
        <v>1.0</v>
      </c>
      <c r="E3360" s="101">
        <v>79.0</v>
      </c>
      <c r="F3360" s="101">
        <f t="shared" si="490"/>
        <v>79</v>
      </c>
      <c r="G3360" s="101">
        <f t="shared" si="491"/>
        <v>19.75</v>
      </c>
      <c r="H3360" s="95" t="s">
        <v>3388</v>
      </c>
      <c r="J3360" s="247" t="s">
        <v>3690</v>
      </c>
      <c r="K3360" s="89"/>
      <c r="L3360" s="90"/>
      <c r="M3360" s="90"/>
      <c r="P3360" s="68"/>
    </row>
    <row r="3361">
      <c r="A3361" s="95">
        <v>6.01350205215E11</v>
      </c>
      <c r="B3361" s="151" t="s">
        <v>3697</v>
      </c>
      <c r="C3361" s="95" t="s">
        <v>97</v>
      </c>
      <c r="D3361" s="95">
        <v>1.0</v>
      </c>
      <c r="E3361" s="101">
        <v>89.0</v>
      </c>
      <c r="F3361" s="101">
        <f t="shared" si="490"/>
        <v>89</v>
      </c>
      <c r="G3361" s="101">
        <f t="shared" si="491"/>
        <v>22.25</v>
      </c>
      <c r="H3361" s="95" t="s">
        <v>3574</v>
      </c>
      <c r="J3361" s="247" t="s">
        <v>3690</v>
      </c>
      <c r="K3361" s="89"/>
      <c r="L3361" s="90"/>
      <c r="M3361" s="90"/>
      <c r="P3361" s="68"/>
    </row>
    <row r="3362">
      <c r="A3362" s="95">
        <v>6.52874202594E11</v>
      </c>
      <c r="B3362" s="151" t="s">
        <v>3698</v>
      </c>
      <c r="C3362" s="95" t="s">
        <v>97</v>
      </c>
      <c r="D3362" s="95">
        <v>1.0</v>
      </c>
      <c r="E3362" s="101">
        <v>149.0</v>
      </c>
      <c r="F3362" s="101">
        <f t="shared" si="490"/>
        <v>149</v>
      </c>
      <c r="G3362" s="101">
        <f t="shared" si="491"/>
        <v>37.25</v>
      </c>
      <c r="H3362" s="95" t="s">
        <v>3287</v>
      </c>
      <c r="J3362" s="247" t="s">
        <v>3690</v>
      </c>
      <c r="K3362" s="89"/>
      <c r="L3362" s="90"/>
      <c r="M3362" s="90"/>
      <c r="P3362" s="68"/>
    </row>
    <row r="3363">
      <c r="A3363" s="95">
        <v>6.528742026E11</v>
      </c>
      <c r="B3363" s="151" t="s">
        <v>3699</v>
      </c>
      <c r="C3363" s="95" t="s">
        <v>97</v>
      </c>
      <c r="D3363" s="95">
        <v>1.0</v>
      </c>
      <c r="E3363" s="101">
        <v>149.0</v>
      </c>
      <c r="F3363" s="101">
        <f t="shared" si="490"/>
        <v>149</v>
      </c>
      <c r="G3363" s="101">
        <f t="shared" si="491"/>
        <v>37.25</v>
      </c>
      <c r="H3363" s="95" t="s">
        <v>183</v>
      </c>
      <c r="J3363" s="247" t="s">
        <v>3690</v>
      </c>
      <c r="K3363" s="89"/>
      <c r="L3363" s="90"/>
      <c r="M3363" s="90"/>
      <c r="P3363" s="68"/>
    </row>
    <row r="3364">
      <c r="A3364" s="95">
        <v>7.08008673768E11</v>
      </c>
      <c r="B3364" s="151" t="s">
        <v>3700</v>
      </c>
      <c r="C3364" s="95" t="s">
        <v>97</v>
      </c>
      <c r="D3364" s="95">
        <v>1.0</v>
      </c>
      <c r="E3364" s="101">
        <v>69.0</v>
      </c>
      <c r="F3364" s="101">
        <f t="shared" si="490"/>
        <v>69</v>
      </c>
      <c r="G3364" s="101">
        <f t="shared" si="491"/>
        <v>17.25</v>
      </c>
      <c r="H3364" s="95" t="s">
        <v>3175</v>
      </c>
      <c r="J3364" s="247" t="s">
        <v>3690</v>
      </c>
      <c r="K3364" s="89"/>
      <c r="L3364" s="90"/>
      <c r="M3364" s="90"/>
      <c r="P3364" s="68"/>
    </row>
    <row r="3365">
      <c r="A3365" s="95">
        <v>7.32998371182E11</v>
      </c>
      <c r="B3365" s="151" t="s">
        <v>3701</v>
      </c>
      <c r="C3365" s="95" t="s">
        <v>97</v>
      </c>
      <c r="D3365" s="95">
        <v>1.0</v>
      </c>
      <c r="E3365" s="101">
        <v>29.5</v>
      </c>
      <c r="F3365" s="101">
        <f t="shared" si="490"/>
        <v>29.5</v>
      </c>
      <c r="G3365" s="101">
        <f t="shared" si="491"/>
        <v>7.375</v>
      </c>
      <c r="H3365" s="95" t="s">
        <v>193</v>
      </c>
      <c r="J3365" s="247" t="s">
        <v>3690</v>
      </c>
      <c r="K3365" s="89"/>
      <c r="L3365" s="90"/>
      <c r="M3365" s="90"/>
      <c r="P3365" s="68"/>
    </row>
    <row r="3366">
      <c r="A3366" s="95">
        <v>7.32998656784E11</v>
      </c>
      <c r="B3366" s="151" t="s">
        <v>3702</v>
      </c>
      <c r="C3366" s="95" t="s">
        <v>97</v>
      </c>
      <c r="D3366" s="95">
        <v>1.0</v>
      </c>
      <c r="E3366" s="101">
        <v>59.5</v>
      </c>
      <c r="F3366" s="101">
        <f t="shared" si="490"/>
        <v>59.5</v>
      </c>
      <c r="G3366" s="101">
        <f t="shared" si="491"/>
        <v>14.875</v>
      </c>
      <c r="H3366" s="95" t="s">
        <v>402</v>
      </c>
      <c r="J3366" s="247" t="s">
        <v>3690</v>
      </c>
      <c r="K3366" s="89"/>
      <c r="L3366" s="90"/>
      <c r="M3366" s="90"/>
      <c r="P3366" s="68"/>
    </row>
    <row r="3367">
      <c r="A3367" s="95">
        <v>7.32999018413E11</v>
      </c>
      <c r="B3367" s="151" t="s">
        <v>3703</v>
      </c>
      <c r="C3367" s="95" t="s">
        <v>97</v>
      </c>
      <c r="D3367" s="95">
        <v>1.0</v>
      </c>
      <c r="E3367" s="101">
        <v>59.5</v>
      </c>
      <c r="F3367" s="101">
        <f t="shared" si="490"/>
        <v>59.5</v>
      </c>
      <c r="G3367" s="101">
        <f t="shared" si="491"/>
        <v>14.875</v>
      </c>
      <c r="H3367" s="95" t="s">
        <v>193</v>
      </c>
      <c r="J3367" s="247" t="s">
        <v>3690</v>
      </c>
      <c r="K3367" s="89"/>
      <c r="L3367" s="90"/>
      <c r="M3367" s="90"/>
      <c r="P3367" s="68"/>
    </row>
    <row r="3368">
      <c r="A3368" s="95">
        <v>7.32999147816E11</v>
      </c>
      <c r="B3368" s="151" t="s">
        <v>3704</v>
      </c>
      <c r="C3368" s="95" t="s">
        <v>97</v>
      </c>
      <c r="D3368" s="95">
        <v>1.0</v>
      </c>
      <c r="E3368" s="101">
        <v>89.5</v>
      </c>
      <c r="F3368" s="101">
        <f t="shared" si="490"/>
        <v>89.5</v>
      </c>
      <c r="G3368" s="101">
        <f t="shared" si="491"/>
        <v>22.375</v>
      </c>
      <c r="H3368" s="95" t="s">
        <v>3705</v>
      </c>
      <c r="J3368" s="247" t="s">
        <v>3690</v>
      </c>
      <c r="K3368" s="89"/>
      <c r="L3368" s="90"/>
      <c r="M3368" s="90"/>
      <c r="P3368" s="68"/>
    </row>
    <row r="3369">
      <c r="A3369" s="95">
        <v>7.3299990431E11</v>
      </c>
      <c r="B3369" s="151" t="s">
        <v>3706</v>
      </c>
      <c r="C3369" s="95" t="s">
        <v>97</v>
      </c>
      <c r="D3369" s="95">
        <v>1.0</v>
      </c>
      <c r="E3369" s="101">
        <v>79.5</v>
      </c>
      <c r="F3369" s="101">
        <f t="shared" si="490"/>
        <v>79.5</v>
      </c>
      <c r="G3369" s="101">
        <f t="shared" si="491"/>
        <v>19.875</v>
      </c>
      <c r="H3369" s="95" t="s">
        <v>402</v>
      </c>
      <c r="J3369" s="247" t="s">
        <v>3690</v>
      </c>
      <c r="K3369" s="89"/>
      <c r="L3369" s="90"/>
      <c r="M3369" s="90"/>
      <c r="P3369" s="68"/>
    </row>
    <row r="3370">
      <c r="A3370" s="95">
        <v>7.33001274001E11</v>
      </c>
      <c r="B3370" s="151" t="s">
        <v>3707</v>
      </c>
      <c r="C3370" s="95" t="s">
        <v>97</v>
      </c>
      <c r="D3370" s="95">
        <v>1.0</v>
      </c>
      <c r="E3370" s="101">
        <v>59.5</v>
      </c>
      <c r="F3370" s="101">
        <f t="shared" si="490"/>
        <v>59.5</v>
      </c>
      <c r="G3370" s="101">
        <f t="shared" si="491"/>
        <v>14.875</v>
      </c>
      <c r="H3370" s="95" t="s">
        <v>193</v>
      </c>
      <c r="J3370" s="247" t="s">
        <v>3690</v>
      </c>
      <c r="K3370" s="89"/>
      <c r="L3370" s="90"/>
      <c r="M3370" s="90"/>
      <c r="P3370" s="68"/>
    </row>
    <row r="3371">
      <c r="A3371" s="95">
        <v>7.33001392873E11</v>
      </c>
      <c r="B3371" s="151" t="s">
        <v>3708</v>
      </c>
      <c r="C3371" s="95" t="s">
        <v>97</v>
      </c>
      <c r="D3371" s="95">
        <v>1.0</v>
      </c>
      <c r="E3371" s="101">
        <v>79.5</v>
      </c>
      <c r="F3371" s="101">
        <f t="shared" si="490"/>
        <v>79.5</v>
      </c>
      <c r="G3371" s="101">
        <f t="shared" si="491"/>
        <v>19.875</v>
      </c>
      <c r="H3371" s="95" t="s">
        <v>402</v>
      </c>
      <c r="J3371" s="247" t="s">
        <v>3690</v>
      </c>
      <c r="K3371" s="89"/>
      <c r="L3371" s="90"/>
      <c r="M3371" s="90"/>
      <c r="P3371" s="68"/>
    </row>
    <row r="3372">
      <c r="A3372" s="95">
        <v>7.33001498049E11</v>
      </c>
      <c r="B3372" s="151" t="s">
        <v>3232</v>
      </c>
      <c r="C3372" s="95" t="s">
        <v>97</v>
      </c>
      <c r="D3372" s="95">
        <v>1.0</v>
      </c>
      <c r="E3372" s="101">
        <v>69.5</v>
      </c>
      <c r="F3372" s="101">
        <f t="shared" si="490"/>
        <v>69.5</v>
      </c>
      <c r="G3372" s="101">
        <f t="shared" si="491"/>
        <v>17.375</v>
      </c>
      <c r="H3372" s="95" t="s">
        <v>402</v>
      </c>
      <c r="J3372" s="247" t="s">
        <v>3690</v>
      </c>
      <c r="K3372" s="89"/>
      <c r="L3372" s="90"/>
      <c r="M3372" s="90"/>
      <c r="P3372" s="68"/>
    </row>
    <row r="3373">
      <c r="A3373" s="95">
        <v>7.33001779735E11</v>
      </c>
      <c r="B3373" s="151" t="s">
        <v>3709</v>
      </c>
      <c r="C3373" s="95" t="s">
        <v>97</v>
      </c>
      <c r="D3373" s="95">
        <v>1.0</v>
      </c>
      <c r="E3373" s="101">
        <v>119.5</v>
      </c>
      <c r="F3373" s="101">
        <f t="shared" si="490"/>
        <v>119.5</v>
      </c>
      <c r="G3373" s="101">
        <f t="shared" si="491"/>
        <v>29.875</v>
      </c>
      <c r="H3373" s="95" t="s">
        <v>193</v>
      </c>
      <c r="J3373" s="247" t="s">
        <v>3690</v>
      </c>
      <c r="K3373" s="89"/>
      <c r="L3373" s="90"/>
      <c r="M3373" s="90"/>
      <c r="P3373" s="68"/>
    </row>
    <row r="3374">
      <c r="A3374" s="95">
        <v>7.33001783749E11</v>
      </c>
      <c r="B3374" s="151" t="s">
        <v>3710</v>
      </c>
      <c r="C3374" s="95" t="s">
        <v>97</v>
      </c>
      <c r="D3374" s="95">
        <v>2.0</v>
      </c>
      <c r="E3374" s="101">
        <v>69.5</v>
      </c>
      <c r="F3374" s="101">
        <f t="shared" si="490"/>
        <v>139</v>
      </c>
      <c r="G3374" s="101">
        <f t="shared" si="491"/>
        <v>34.75</v>
      </c>
      <c r="H3374" s="95" t="s">
        <v>402</v>
      </c>
      <c r="J3374" s="247" t="s">
        <v>3690</v>
      </c>
      <c r="K3374" s="89"/>
      <c r="L3374" s="90"/>
      <c r="M3374" s="90"/>
      <c r="P3374" s="68"/>
    </row>
    <row r="3375">
      <c r="A3375" s="95">
        <v>7.33001783756E11</v>
      </c>
      <c r="B3375" s="151" t="s">
        <v>3401</v>
      </c>
      <c r="C3375" s="95" t="s">
        <v>97</v>
      </c>
      <c r="D3375" s="95">
        <v>2.0</v>
      </c>
      <c r="E3375" s="101">
        <v>69.5</v>
      </c>
      <c r="F3375" s="101">
        <f t="shared" si="490"/>
        <v>139</v>
      </c>
      <c r="G3375" s="101">
        <f t="shared" si="491"/>
        <v>34.75</v>
      </c>
      <c r="H3375" s="95" t="s">
        <v>402</v>
      </c>
      <c r="J3375" s="247" t="s">
        <v>3690</v>
      </c>
      <c r="K3375" s="89"/>
      <c r="L3375" s="90"/>
      <c r="M3375" s="90"/>
      <c r="P3375" s="68"/>
    </row>
    <row r="3376">
      <c r="A3376" s="95">
        <v>7.33001807766E11</v>
      </c>
      <c r="B3376" s="151" t="s">
        <v>3711</v>
      </c>
      <c r="C3376" s="95" t="s">
        <v>97</v>
      </c>
      <c r="D3376" s="95">
        <v>1.0</v>
      </c>
      <c r="E3376" s="101">
        <v>69.5</v>
      </c>
      <c r="F3376" s="101">
        <f t="shared" si="490"/>
        <v>69.5</v>
      </c>
      <c r="G3376" s="101">
        <f t="shared" si="491"/>
        <v>17.375</v>
      </c>
      <c r="H3376" s="95" t="s">
        <v>402</v>
      </c>
      <c r="J3376" s="247" t="s">
        <v>3690</v>
      </c>
      <c r="K3376" s="89"/>
      <c r="L3376" s="90"/>
      <c r="M3376" s="90"/>
      <c r="P3376" s="68"/>
    </row>
    <row r="3377">
      <c r="A3377" s="95">
        <v>7.33001828372E11</v>
      </c>
      <c r="B3377" s="151" t="s">
        <v>3712</v>
      </c>
      <c r="C3377" s="95" t="s">
        <v>97</v>
      </c>
      <c r="D3377" s="95">
        <v>1.0</v>
      </c>
      <c r="E3377" s="101">
        <v>59.5</v>
      </c>
      <c r="F3377" s="101">
        <f t="shared" si="490"/>
        <v>59.5</v>
      </c>
      <c r="G3377" s="101">
        <f t="shared" si="491"/>
        <v>14.875</v>
      </c>
      <c r="H3377" s="95" t="s">
        <v>400</v>
      </c>
      <c r="J3377" s="247" t="s">
        <v>3690</v>
      </c>
      <c r="K3377" s="89"/>
      <c r="L3377" s="90"/>
      <c r="M3377" s="90"/>
      <c r="P3377" s="68"/>
    </row>
    <row r="3378">
      <c r="A3378" s="95">
        <v>7.33001905639E11</v>
      </c>
      <c r="B3378" s="151" t="s">
        <v>3713</v>
      </c>
      <c r="C3378" s="95" t="s">
        <v>97</v>
      </c>
      <c r="D3378" s="95">
        <v>1.0</v>
      </c>
      <c r="E3378" s="101">
        <v>59.5</v>
      </c>
      <c r="F3378" s="101">
        <f t="shared" si="490"/>
        <v>59.5</v>
      </c>
      <c r="G3378" s="101">
        <f t="shared" si="491"/>
        <v>14.875</v>
      </c>
      <c r="H3378" s="95" t="s">
        <v>402</v>
      </c>
      <c r="J3378" s="247" t="s">
        <v>3690</v>
      </c>
      <c r="K3378" s="89"/>
      <c r="L3378" s="90"/>
      <c r="M3378" s="90"/>
      <c r="P3378" s="68"/>
    </row>
    <row r="3379">
      <c r="A3379" s="95">
        <v>7.33001916642E11</v>
      </c>
      <c r="B3379" s="151" t="s">
        <v>3714</v>
      </c>
      <c r="C3379" s="95" t="s">
        <v>97</v>
      </c>
      <c r="D3379" s="95">
        <v>1.0</v>
      </c>
      <c r="E3379" s="101">
        <v>59.5</v>
      </c>
      <c r="F3379" s="101">
        <f t="shared" si="490"/>
        <v>59.5</v>
      </c>
      <c r="G3379" s="101">
        <f t="shared" si="491"/>
        <v>14.875</v>
      </c>
      <c r="H3379" s="95" t="s">
        <v>193</v>
      </c>
      <c r="J3379" s="247" t="s">
        <v>3690</v>
      </c>
      <c r="K3379" s="89"/>
      <c r="L3379" s="90"/>
      <c r="M3379" s="90"/>
      <c r="P3379" s="68"/>
    </row>
    <row r="3380">
      <c r="A3380" s="95">
        <v>7.33002166749E11</v>
      </c>
      <c r="B3380" s="151" t="s">
        <v>3715</v>
      </c>
      <c r="C3380" s="95" t="s">
        <v>97</v>
      </c>
      <c r="D3380" s="95">
        <v>1.0</v>
      </c>
      <c r="E3380" s="101">
        <v>59.5</v>
      </c>
      <c r="F3380" s="101">
        <f t="shared" si="490"/>
        <v>59.5</v>
      </c>
      <c r="G3380" s="101">
        <f t="shared" si="491"/>
        <v>14.875</v>
      </c>
      <c r="H3380" s="95" t="s">
        <v>402</v>
      </c>
      <c r="J3380" s="247" t="s">
        <v>3690</v>
      </c>
      <c r="K3380" s="89"/>
      <c r="L3380" s="90"/>
      <c r="M3380" s="90"/>
      <c r="P3380" s="68"/>
    </row>
    <row r="3381">
      <c r="A3381" s="95">
        <v>7.33002168231E11</v>
      </c>
      <c r="B3381" s="151" t="s">
        <v>3491</v>
      </c>
      <c r="C3381" s="95" t="s">
        <v>97</v>
      </c>
      <c r="D3381" s="95">
        <v>1.0</v>
      </c>
      <c r="E3381" s="101">
        <v>99.5</v>
      </c>
      <c r="F3381" s="101">
        <f t="shared" si="490"/>
        <v>99.5</v>
      </c>
      <c r="G3381" s="101">
        <f t="shared" si="491"/>
        <v>24.875</v>
      </c>
      <c r="H3381" s="95" t="s">
        <v>683</v>
      </c>
      <c r="J3381" s="247" t="s">
        <v>3690</v>
      </c>
      <c r="K3381" s="89"/>
      <c r="L3381" s="90"/>
      <c r="M3381" s="90"/>
      <c r="P3381" s="68"/>
    </row>
    <row r="3382">
      <c r="A3382" s="95">
        <v>7.33002168767E11</v>
      </c>
      <c r="B3382" s="151" t="s">
        <v>3716</v>
      </c>
      <c r="C3382" s="95" t="s">
        <v>97</v>
      </c>
      <c r="D3382" s="95">
        <v>2.0</v>
      </c>
      <c r="E3382" s="101">
        <v>69.5</v>
      </c>
      <c r="F3382" s="101">
        <f t="shared" si="490"/>
        <v>139</v>
      </c>
      <c r="G3382" s="101">
        <f t="shared" si="491"/>
        <v>34.75</v>
      </c>
      <c r="H3382" s="95" t="s">
        <v>402</v>
      </c>
      <c r="J3382" s="247" t="s">
        <v>3690</v>
      </c>
      <c r="K3382" s="89"/>
      <c r="L3382" s="90"/>
      <c r="M3382" s="90"/>
      <c r="P3382" s="68"/>
    </row>
    <row r="3383">
      <c r="A3383" s="95">
        <v>7.33002187157E11</v>
      </c>
      <c r="B3383" s="151" t="s">
        <v>3717</v>
      </c>
      <c r="C3383" s="95" t="s">
        <v>97</v>
      </c>
      <c r="D3383" s="95">
        <v>1.0</v>
      </c>
      <c r="E3383" s="101">
        <v>99.5</v>
      </c>
      <c r="F3383" s="101">
        <f t="shared" si="490"/>
        <v>99.5</v>
      </c>
      <c r="G3383" s="101">
        <f t="shared" si="491"/>
        <v>24.875</v>
      </c>
      <c r="H3383" s="95" t="s">
        <v>402</v>
      </c>
      <c r="J3383" s="247" t="s">
        <v>3690</v>
      </c>
      <c r="K3383" s="89"/>
      <c r="L3383" s="90"/>
      <c r="M3383" s="90"/>
      <c r="P3383" s="68"/>
    </row>
    <row r="3384">
      <c r="A3384" s="95">
        <v>7.33002188338E11</v>
      </c>
      <c r="B3384" s="151" t="s">
        <v>3718</v>
      </c>
      <c r="C3384" s="95" t="s">
        <v>97</v>
      </c>
      <c r="D3384" s="95">
        <v>1.0</v>
      </c>
      <c r="E3384" s="101">
        <v>74.5</v>
      </c>
      <c r="F3384" s="101">
        <f t="shared" si="490"/>
        <v>74.5</v>
      </c>
      <c r="G3384" s="101">
        <f t="shared" si="491"/>
        <v>18.625</v>
      </c>
      <c r="H3384" s="95" t="s">
        <v>683</v>
      </c>
      <c r="J3384" s="247" t="s">
        <v>3690</v>
      </c>
      <c r="K3384" s="89"/>
      <c r="L3384" s="90"/>
      <c r="M3384" s="90"/>
      <c r="P3384" s="68"/>
    </row>
    <row r="3385">
      <c r="A3385" s="95">
        <v>7.3300220467E11</v>
      </c>
      <c r="B3385" s="151" t="s">
        <v>3283</v>
      </c>
      <c r="C3385" s="95" t="s">
        <v>97</v>
      </c>
      <c r="D3385" s="95">
        <v>1.0</v>
      </c>
      <c r="E3385" s="101">
        <v>74.5</v>
      </c>
      <c r="F3385" s="101">
        <f t="shared" si="490"/>
        <v>74.5</v>
      </c>
      <c r="G3385" s="101">
        <f t="shared" si="491"/>
        <v>18.625</v>
      </c>
      <c r="H3385" s="95" t="s">
        <v>402</v>
      </c>
      <c r="J3385" s="247" t="s">
        <v>3690</v>
      </c>
      <c r="K3385" s="89"/>
      <c r="L3385" s="90"/>
      <c r="M3385" s="90"/>
      <c r="P3385" s="68"/>
    </row>
    <row r="3386">
      <c r="A3386" s="95">
        <v>7.330022047E11</v>
      </c>
      <c r="B3386" s="151" t="s">
        <v>3719</v>
      </c>
      <c r="C3386" s="95" t="s">
        <v>97</v>
      </c>
      <c r="D3386" s="95">
        <v>1.0</v>
      </c>
      <c r="E3386" s="101">
        <v>74.5</v>
      </c>
      <c r="F3386" s="101">
        <f t="shared" si="490"/>
        <v>74.5</v>
      </c>
      <c r="G3386" s="101">
        <f t="shared" si="491"/>
        <v>18.625</v>
      </c>
      <c r="H3386" s="95" t="s">
        <v>402</v>
      </c>
      <c r="J3386" s="247" t="s">
        <v>3690</v>
      </c>
      <c r="K3386" s="89"/>
      <c r="L3386" s="90"/>
      <c r="M3386" s="90"/>
      <c r="P3386" s="68"/>
    </row>
    <row r="3387">
      <c r="A3387" s="95">
        <v>7.3300220694E11</v>
      </c>
      <c r="B3387" s="151" t="s">
        <v>3720</v>
      </c>
      <c r="C3387" s="95" t="s">
        <v>97</v>
      </c>
      <c r="D3387" s="95">
        <v>1.0</v>
      </c>
      <c r="E3387" s="101">
        <v>79.5</v>
      </c>
      <c r="F3387" s="101">
        <f t="shared" si="490"/>
        <v>79.5</v>
      </c>
      <c r="G3387" s="101">
        <f t="shared" si="491"/>
        <v>19.875</v>
      </c>
      <c r="H3387" s="95" t="s">
        <v>402</v>
      </c>
      <c r="J3387" s="247" t="s">
        <v>3690</v>
      </c>
      <c r="K3387" s="89"/>
      <c r="L3387" s="90"/>
      <c r="M3387" s="90"/>
      <c r="P3387" s="68"/>
    </row>
    <row r="3388">
      <c r="A3388" s="95">
        <v>7.33002206957E11</v>
      </c>
      <c r="B3388" s="151" t="s">
        <v>3721</v>
      </c>
      <c r="C3388" s="95" t="s">
        <v>97</v>
      </c>
      <c r="D3388" s="95">
        <v>1.0</v>
      </c>
      <c r="E3388" s="101">
        <v>79.5</v>
      </c>
      <c r="F3388" s="101">
        <f t="shared" si="490"/>
        <v>79.5</v>
      </c>
      <c r="G3388" s="101">
        <f t="shared" si="491"/>
        <v>19.875</v>
      </c>
      <c r="H3388" s="95" t="s">
        <v>402</v>
      </c>
      <c r="J3388" s="247" t="s">
        <v>3690</v>
      </c>
      <c r="K3388" s="89"/>
      <c r="L3388" s="90"/>
      <c r="M3388" s="90"/>
      <c r="P3388" s="68"/>
    </row>
    <row r="3389">
      <c r="A3389" s="95">
        <v>7.33002299171E11</v>
      </c>
      <c r="B3389" s="151" t="s">
        <v>3722</v>
      </c>
      <c r="C3389" s="95" t="s">
        <v>97</v>
      </c>
      <c r="D3389" s="95">
        <v>1.0</v>
      </c>
      <c r="E3389" s="101">
        <v>69.5</v>
      </c>
      <c r="F3389" s="101">
        <f t="shared" si="490"/>
        <v>69.5</v>
      </c>
      <c r="G3389" s="101">
        <f t="shared" si="491"/>
        <v>17.375</v>
      </c>
      <c r="H3389" s="95" t="s">
        <v>402</v>
      </c>
      <c r="J3389" s="247" t="s">
        <v>3690</v>
      </c>
      <c r="K3389" s="89"/>
      <c r="L3389" s="90"/>
      <c r="M3389" s="90"/>
      <c r="P3389" s="68"/>
    </row>
    <row r="3390">
      <c r="A3390" s="95">
        <v>7.33002383399E11</v>
      </c>
      <c r="B3390" s="151" t="s">
        <v>3723</v>
      </c>
      <c r="C3390" s="95" t="s">
        <v>97</v>
      </c>
      <c r="D3390" s="95">
        <v>1.0</v>
      </c>
      <c r="E3390" s="101">
        <v>59.5</v>
      </c>
      <c r="F3390" s="101">
        <f t="shared" si="490"/>
        <v>59.5</v>
      </c>
      <c r="G3390" s="101">
        <f t="shared" si="491"/>
        <v>14.875</v>
      </c>
      <c r="H3390" s="95" t="s">
        <v>415</v>
      </c>
      <c r="J3390" s="247" t="s">
        <v>3690</v>
      </c>
      <c r="K3390" s="89"/>
      <c r="L3390" s="90"/>
      <c r="M3390" s="90"/>
      <c r="P3390" s="68"/>
    </row>
    <row r="3391">
      <c r="A3391" s="95">
        <v>7.33002389094E11</v>
      </c>
      <c r="B3391" s="151" t="s">
        <v>413</v>
      </c>
      <c r="C3391" s="95" t="s">
        <v>97</v>
      </c>
      <c r="D3391" s="95">
        <v>1.0</v>
      </c>
      <c r="E3391" s="101">
        <v>69.5</v>
      </c>
      <c r="F3391" s="101">
        <f t="shared" si="490"/>
        <v>69.5</v>
      </c>
      <c r="G3391" s="101">
        <f t="shared" si="491"/>
        <v>17.375</v>
      </c>
      <c r="H3391" s="95" t="s">
        <v>402</v>
      </c>
      <c r="J3391" s="247" t="s">
        <v>3690</v>
      </c>
      <c r="K3391" s="89"/>
      <c r="L3391" s="90"/>
      <c r="M3391" s="90"/>
      <c r="P3391" s="68"/>
    </row>
    <row r="3392">
      <c r="A3392" s="95">
        <v>7.3300243138E11</v>
      </c>
      <c r="B3392" s="151" t="s">
        <v>3724</v>
      </c>
      <c r="C3392" s="95" t="s">
        <v>97</v>
      </c>
      <c r="D3392" s="95">
        <v>1.0</v>
      </c>
      <c r="E3392" s="101">
        <v>99.5</v>
      </c>
      <c r="F3392" s="101">
        <f t="shared" si="490"/>
        <v>99.5</v>
      </c>
      <c r="G3392" s="101">
        <f t="shared" si="491"/>
        <v>24.875</v>
      </c>
      <c r="H3392" s="95" t="s">
        <v>402</v>
      </c>
      <c r="J3392" s="247" t="s">
        <v>3690</v>
      </c>
      <c r="K3392" s="89"/>
      <c r="L3392" s="90"/>
      <c r="M3392" s="90"/>
      <c r="P3392" s="68"/>
    </row>
    <row r="3393">
      <c r="A3393" s="95">
        <v>8.26410243246E11</v>
      </c>
      <c r="B3393" s="151" t="s">
        <v>3725</v>
      </c>
      <c r="C3393" s="95" t="s">
        <v>97</v>
      </c>
      <c r="D3393" s="95">
        <v>1.0</v>
      </c>
      <c r="E3393" s="101">
        <v>89.0</v>
      </c>
      <c r="F3393" s="101">
        <f t="shared" si="490"/>
        <v>89</v>
      </c>
      <c r="G3393" s="101">
        <f t="shared" si="491"/>
        <v>22.25</v>
      </c>
      <c r="H3393" s="95" t="s">
        <v>3726</v>
      </c>
      <c r="J3393" s="247" t="s">
        <v>3690</v>
      </c>
      <c r="K3393" s="89"/>
      <c r="L3393" s="90"/>
      <c r="M3393" s="90"/>
      <c r="P3393" s="68"/>
    </row>
    <row r="3394">
      <c r="A3394" s="95">
        <v>8.2641024326E11</v>
      </c>
      <c r="B3394" s="151" t="s">
        <v>3727</v>
      </c>
      <c r="C3394" s="95" t="s">
        <v>97</v>
      </c>
      <c r="D3394" s="95">
        <v>1.0</v>
      </c>
      <c r="E3394" s="101">
        <v>89.0</v>
      </c>
      <c r="F3394" s="101">
        <f t="shared" si="490"/>
        <v>89</v>
      </c>
      <c r="G3394" s="101">
        <f t="shared" si="491"/>
        <v>22.25</v>
      </c>
      <c r="H3394" s="95" t="s">
        <v>3726</v>
      </c>
      <c r="J3394" s="247" t="s">
        <v>3690</v>
      </c>
      <c r="K3394" s="89"/>
      <c r="L3394" s="90"/>
      <c r="M3394" s="90"/>
      <c r="P3394" s="68"/>
    </row>
    <row r="3395">
      <c r="A3395" s="211"/>
      <c r="B3395" s="231" t="s">
        <v>3728</v>
      </c>
      <c r="C3395" s="234" t="str">
        <f>MID($B3395,6,8)</f>
        <v>KL187117</v>
      </c>
      <c r="D3395" s="231"/>
      <c r="E3395" s="231"/>
      <c r="F3395" s="231"/>
      <c r="G3395" s="231"/>
      <c r="H3395" s="235">
        <v>44560.0</v>
      </c>
      <c r="J3395" s="108" t="str">
        <f>IF(LEFT(B3395,3)="Box","BOX","COUNT")</f>
        <v>BOX</v>
      </c>
      <c r="K3395" s="99">
        <f>SUMIF($J$4:$J$8712,$C3395,$D$4:$D$8712)</f>
        <v>46</v>
      </c>
      <c r="L3395" s="50">
        <f>SUMIF($J$4:$J$8712,$C3395,$F$4:$F$8712)</f>
        <v>3714</v>
      </c>
      <c r="M3395" s="50">
        <f>SUMIF($J$4:$J$8712,$C3395,$G$4:$G$8712)</f>
        <v>928.5</v>
      </c>
      <c r="N3395" s="70" t="str">
        <f>C3395</f>
        <v>KL187117</v>
      </c>
      <c r="O3395" s="70" t="str">
        <f>J3396</f>
        <v>NSHIP</v>
      </c>
      <c r="P3395" s="68">
        <f>M3395</f>
        <v>928.5</v>
      </c>
    </row>
    <row r="3396">
      <c r="A3396" s="211"/>
      <c r="B3396" s="231"/>
      <c r="C3396" s="109"/>
      <c r="D3396" s="109"/>
      <c r="E3396" s="116"/>
      <c r="F3396" s="116"/>
      <c r="G3396" s="116"/>
      <c r="H3396" s="109"/>
      <c r="J3396" s="108" t="str">
        <f>IF(B3396="","NSHIP","SHIP")</f>
        <v>NSHIP</v>
      </c>
      <c r="K3396" s="99">
        <f>IF($J3396="NSHIP",0,-SUMIF($J$4:$J$8712,$C3395,$D$4:$D$8712))</f>
        <v>0</v>
      </c>
      <c r="L3396" s="50">
        <f>IF($J3396="NSHIP",0,-SUMIF($J$4:$J$8710,$C3395,$F$4:$F$8710))</f>
        <v>0</v>
      </c>
      <c r="M3396" s="50">
        <f>IF($J3396="NSHIP",0,-SUMIF($J$4:$J$8710,$C3395,$G$4:$G$8710))</f>
        <v>0</v>
      </c>
      <c r="P3396" s="68"/>
    </row>
    <row r="3397">
      <c r="A3397" s="95">
        <v>1.9504692763E11</v>
      </c>
      <c r="B3397" s="151" t="s">
        <v>2677</v>
      </c>
      <c r="C3397" s="95" t="s">
        <v>97</v>
      </c>
      <c r="D3397" s="95">
        <v>5.0</v>
      </c>
      <c r="E3397" s="101">
        <v>69.5</v>
      </c>
      <c r="F3397" s="101">
        <f>E3397*D3397</f>
        <v>347.5</v>
      </c>
      <c r="G3397" s="101">
        <f>F3397/4</f>
        <v>86.875</v>
      </c>
      <c r="H3397" s="95" t="s">
        <v>1424</v>
      </c>
      <c r="J3397" s="247" t="s">
        <v>3729</v>
      </c>
      <c r="K3397" s="89"/>
      <c r="L3397" s="90"/>
      <c r="M3397" s="90"/>
      <c r="P3397" s="68"/>
    </row>
    <row r="3398">
      <c r="A3398" s="211"/>
      <c r="B3398" s="231" t="s">
        <v>3730</v>
      </c>
      <c r="C3398" s="234" t="str">
        <f>MID($B3398,6,7)</f>
        <v>LC18309</v>
      </c>
      <c r="D3398" s="231"/>
      <c r="E3398" s="231"/>
      <c r="F3398" s="231"/>
      <c r="G3398" s="231"/>
      <c r="H3398" s="235">
        <v>44560.0</v>
      </c>
      <c r="J3398" s="108" t="str">
        <f>IF(LEFT(B3398,3)="Box","BOX","COUNT")</f>
        <v>BOX</v>
      </c>
      <c r="K3398" s="99">
        <f>SUMIF($J$4:$J$8712,$C3398,$D$4:$D$8712)</f>
        <v>5</v>
      </c>
      <c r="L3398" s="50">
        <f>SUMIF($J$4:$J$8712,$C3398,$F$4:$F$8712)</f>
        <v>347.5</v>
      </c>
      <c r="M3398" s="50">
        <f>SUMIF($J$4:$J$8712,$C3398,$G$4:$G$8712)</f>
        <v>86.875</v>
      </c>
      <c r="N3398" s="70" t="str">
        <f>C3398</f>
        <v>LC18309</v>
      </c>
      <c r="O3398" s="70" t="str">
        <f>J3399</f>
        <v>NSHIP</v>
      </c>
      <c r="P3398" s="68">
        <f>M3398</f>
        <v>86.875</v>
      </c>
    </row>
    <row r="3399">
      <c r="A3399" s="211"/>
      <c r="B3399" s="231"/>
      <c r="C3399" s="109"/>
      <c r="D3399" s="109"/>
      <c r="E3399" s="116"/>
      <c r="F3399" s="116"/>
      <c r="G3399" s="116"/>
      <c r="H3399" s="109"/>
      <c r="J3399" s="108" t="str">
        <f>IF(B3399="","NSHIP","SHIP")</f>
        <v>NSHIP</v>
      </c>
      <c r="K3399" s="99">
        <f>IF($J3399="NSHIP",0,-SUMIF($J$4:$J$8712,$C3398,$D$4:$D$8712))</f>
        <v>0</v>
      </c>
      <c r="L3399" s="50">
        <f>IF($J3399="NSHIP",0,-SUMIF($J$4:$J$8710,$C3398,$F$4:$F$8710))</f>
        <v>0</v>
      </c>
      <c r="M3399" s="50">
        <f>IF($J3399="NSHIP",0,-SUMIF($J$4:$J$8710,$C3398,$G$4:$G$8710))</f>
        <v>0</v>
      </c>
      <c r="P3399" s="68"/>
    </row>
    <row r="3400">
      <c r="A3400" s="242"/>
      <c r="B3400" s="243"/>
      <c r="C3400" s="242"/>
      <c r="D3400" s="242"/>
      <c r="E3400" s="244"/>
      <c r="F3400" s="244"/>
      <c r="G3400" s="244"/>
      <c r="H3400" s="242"/>
      <c r="J3400" s="37"/>
      <c r="K3400" s="89"/>
      <c r="L3400" s="90"/>
      <c r="M3400" s="90"/>
    </row>
  </sheetData>
  <drawing r:id="rId1"/>
</worksheet>
</file>