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bookViews>
  <sheets>
    <sheet name="Financial statements" sheetId="1" r:id="rId1"/>
  </sheets>
  <calcPr calcId="144525"/>
</workbook>
</file>

<file path=xl/comments1.xml><?xml version="1.0" encoding="utf-8"?>
<comments xmlns="http://schemas.openxmlformats.org/spreadsheetml/2006/main">
  <authors>
    <author>HAO LIN</author>
  </authors>
  <commentList>
    <comment ref="I7" authorId="0">
      <text>
        <r>
          <rPr>
            <b/>
            <sz val="9"/>
            <rFont val="Times New Roman"/>
            <charset val="0"/>
          </rPr>
          <t>HAO LIN:</t>
        </r>
        <r>
          <rPr>
            <sz val="9"/>
            <rFont val="Times New Roman"/>
            <charset val="0"/>
          </rPr>
          <t xml:space="preserve">
First 3 fiscal quarters. From Oct 1, 2020 to Jun 30, 2021 </t>
        </r>
      </text>
    </comment>
    <comment ref="I33" authorId="0">
      <text>
        <r>
          <rPr>
            <b/>
            <sz val="9"/>
            <rFont val="Times New Roman"/>
            <charset val="0"/>
          </rPr>
          <t>HAO LIN:</t>
        </r>
        <r>
          <rPr>
            <sz val="9"/>
            <rFont val="Times New Roman"/>
            <charset val="0"/>
          </rPr>
          <t xml:space="preserve">
First 3 fiscal quarters. From Oct 1, 2020 to Jun 30, 2021 </t>
        </r>
      </text>
    </comment>
    <comment ref="J38" authorId="0">
      <text>
        <r>
          <rPr>
            <b/>
            <sz val="9"/>
            <rFont val="Times New Roman"/>
            <charset val="0"/>
          </rPr>
          <t>HAO LIN:</t>
        </r>
        <r>
          <rPr>
            <sz val="9"/>
            <rFont val="Times New Roman"/>
            <charset val="0"/>
          </rPr>
          <t xml:space="preserve">
the first 3 quarters of revenue in 2020 was 309263. Kevin expected revenue would be between 500 million to 525 million in Q3 calls. I choose average. </t>
        </r>
      </text>
    </comment>
    <comment ref="J39" authorId="0">
      <text>
        <r>
          <rPr>
            <b/>
            <sz val="9"/>
            <rFont val="Times New Roman"/>
            <charset val="0"/>
          </rPr>
          <t>HAO LIN:</t>
        </r>
        <r>
          <rPr>
            <sz val="9"/>
            <rFont val="Times New Roman"/>
            <charset val="0"/>
          </rPr>
          <t xml:space="preserve">
The first 3 quarters of cost of revenue in 2020 was 242974</t>
        </r>
      </text>
    </comment>
    <comment ref="G43" authorId="0">
      <text>
        <r>
          <rPr>
            <b/>
            <sz val="9"/>
            <rFont val="Times New Roman"/>
            <charset val="0"/>
          </rPr>
          <t>HAO LIN:</t>
        </r>
        <r>
          <rPr>
            <sz val="9"/>
            <rFont val="Times New Roman"/>
            <charset val="0"/>
          </rPr>
          <t xml:space="preserve">
Facilities was not included in G&amp;A in 2018. Due to change in accounting methods, R &amp;D was seperated from other expenses</t>
        </r>
      </text>
    </comment>
    <comment ref="J56" authorId="0">
      <text>
        <r>
          <rPr>
            <b/>
            <sz val="9"/>
            <rFont val="Times New Roman"/>
            <charset val="0"/>
          </rPr>
          <t>HAO LIN:</t>
        </r>
        <r>
          <rPr>
            <sz val="9"/>
            <rFont val="Times New Roman"/>
            <charset val="0"/>
          </rPr>
          <t xml:space="preserve">
use 2020 data</t>
        </r>
      </text>
    </comment>
    <comment ref="J59" authorId="0">
      <text>
        <r>
          <rPr>
            <b/>
            <sz val="9"/>
            <rFont val="Times New Roman"/>
            <charset val="0"/>
          </rPr>
          <t>HAO LIN:</t>
        </r>
        <r>
          <rPr>
            <sz val="9"/>
            <rFont val="Times New Roman"/>
            <charset val="0"/>
          </rPr>
          <t xml:space="preserve">
2015 to 2021 average income tax rate was 30%</t>
        </r>
      </text>
    </comment>
    <comment ref="D127" authorId="0">
      <text>
        <r>
          <rPr>
            <b/>
            <sz val="9"/>
            <rFont val="Times New Roman"/>
            <charset val="0"/>
          </rPr>
          <t>HAO LIN:</t>
        </r>
        <r>
          <rPr>
            <sz val="9"/>
            <rFont val="Times New Roman"/>
            <charset val="0"/>
          </rPr>
          <t xml:space="preserve">
in 2016 the Capitalized research and development was included in the Equipment</t>
        </r>
      </text>
    </comment>
    <comment ref="B142" authorId="0">
      <text>
        <r>
          <rPr>
            <b/>
            <sz val="9"/>
            <rFont val="Times New Roman"/>
            <charset val="0"/>
          </rPr>
          <t>HAO LIN:</t>
        </r>
        <r>
          <rPr>
            <sz val="9"/>
            <rFont val="Times New Roman"/>
            <charset val="0"/>
          </rPr>
          <t xml:space="preserve">
Accounting method changed in 2019</t>
        </r>
      </text>
    </comment>
    <comment ref="C165" authorId="0">
      <text>
        <r>
          <rPr>
            <b/>
            <sz val="9"/>
            <rFont val="Times New Roman"/>
            <charset val="0"/>
          </rPr>
          <t>HAO LIN:</t>
        </r>
        <r>
          <rPr>
            <sz val="9"/>
            <rFont val="Times New Roman"/>
            <charset val="0"/>
          </rPr>
          <t xml:space="preserve">
Total lease obligations were 3036+15224 =18260 for the first 3 quarters of fiscal 2021. Total lease obligation interest expense was 343 for the first 3 quarters, and total interest expense was 297. So average cost of lease obligations was 343+297/18260=3.5%
</t>
        </r>
      </text>
    </comment>
    <comment ref="C166" authorId="0">
      <text>
        <r>
          <rPr>
            <b/>
            <sz val="9"/>
            <rFont val="Times New Roman"/>
            <charset val="0"/>
          </rPr>
          <t>HAO LIN:</t>
        </r>
        <r>
          <rPr>
            <sz val="9"/>
            <rFont val="Times New Roman"/>
            <charset val="0"/>
          </rPr>
          <t xml:space="preserve">
Bank of Canada Long term bond yield</t>
        </r>
      </text>
    </comment>
    <comment ref="E166" authorId="0">
      <text>
        <r>
          <rPr>
            <b/>
            <sz val="9"/>
            <rFont val="Times New Roman"/>
            <charset val="0"/>
          </rPr>
          <t>HAO LIN:</t>
        </r>
        <r>
          <rPr>
            <sz val="9"/>
            <rFont val="Times New Roman"/>
            <charset val="0"/>
          </rPr>
          <t xml:space="preserve">
According to Ibbotson Chen model, Equity risk premium = {[(1+EINFL)(1+EGREPS)(1+EGPE)-1.0]+EINC} - LTGBY
</t>
        </r>
      </text>
    </comment>
    <comment ref="D167" authorId="0">
      <text>
        <r>
          <rPr>
            <b/>
            <sz val="9"/>
            <rFont val="Times New Roman"/>
            <charset val="0"/>
          </rPr>
          <t>HAO LIN:36 month beta based on the global and mail</t>
        </r>
      </text>
    </comment>
    <comment ref="I176" authorId="0">
      <text>
        <r>
          <rPr>
            <b/>
            <sz val="9"/>
            <rFont val="Times New Roman"/>
            <charset val="0"/>
          </rPr>
          <t>HAO LIN:</t>
        </r>
        <r>
          <rPr>
            <sz val="9"/>
            <rFont val="Times New Roman"/>
            <charset val="0"/>
          </rPr>
          <t xml:space="preserve">
Q3 report indicating No 
Preferred Shares are outstanding as of the June 30, 2021.</t>
        </r>
      </text>
    </comment>
    <comment ref="O188" authorId="0">
      <text>
        <r>
          <rPr>
            <b/>
            <sz val="9"/>
            <rFont val="Times New Roman"/>
            <charset val="0"/>
          </rPr>
          <t>HAO LIN:</t>
        </r>
        <r>
          <rPr>
            <sz val="9"/>
            <rFont val="Times New Roman"/>
            <charset val="0"/>
          </rPr>
          <t xml:space="preserve">
management indicating
Adjust EBITDA: 49 millions to 52.5 millions
i choose average 50.75</t>
        </r>
      </text>
    </comment>
    <comment ref="I189" authorId="0">
      <text>
        <r>
          <rPr>
            <b/>
            <sz val="9"/>
            <rFont val="Times New Roman"/>
            <charset val="0"/>
          </rPr>
          <t>HAO LIN:</t>
        </r>
        <r>
          <rPr>
            <sz val="9"/>
            <rFont val="Times New Roman"/>
            <charset val="0"/>
          </rPr>
          <t xml:space="preserve">
IBI is a global provider of a range of
professional services, including architecture,
engineering, planning, and technology solutions.
It focuses on the physical development and
ongoing management of urban environments. Its
expertise is categorized into three practice areas:
Infrastructure, Buildings, and Intelligence.</t>
        </r>
      </text>
    </comment>
    <comment ref="M193" authorId="0">
      <text>
        <r>
          <rPr>
            <b/>
            <sz val="9"/>
            <rFont val="Times New Roman"/>
            <charset val="0"/>
          </rPr>
          <t>HAO LIN:</t>
        </r>
        <r>
          <rPr>
            <sz val="9"/>
            <rFont val="Times New Roman"/>
            <charset val="0"/>
          </rPr>
          <t xml:space="preserve">
only trailing P/E available</t>
        </r>
      </text>
    </comment>
    <comment ref="M195" authorId="0">
      <text>
        <r>
          <rPr>
            <b/>
            <sz val="9"/>
            <rFont val="Times New Roman"/>
            <charset val="0"/>
          </rPr>
          <t>HAO LIN:</t>
        </r>
        <r>
          <rPr>
            <sz val="9"/>
            <rFont val="Times New Roman"/>
            <charset val="0"/>
          </rPr>
          <t xml:space="preserve">
according to TD Securities</t>
        </r>
      </text>
    </comment>
  </commentList>
</comments>
</file>

<file path=xl/sharedStrings.xml><?xml version="1.0" encoding="utf-8"?>
<sst xmlns="http://schemas.openxmlformats.org/spreadsheetml/2006/main" count="241" uniqueCount="200">
  <si>
    <t>Company: Calian Group Ltd.</t>
  </si>
  <si>
    <t>Ticker: CGY</t>
  </si>
  <si>
    <t>Sector: industrials</t>
  </si>
  <si>
    <t>Industry: specialty business services/business support services</t>
  </si>
  <si>
    <t>Assumptions</t>
  </si>
  <si>
    <t>Historical periods</t>
  </si>
  <si>
    <t>Forecast</t>
  </si>
  <si>
    <t>YTD</t>
  </si>
  <si>
    <t>2021E</t>
  </si>
  <si>
    <t>2022E</t>
  </si>
  <si>
    <t>2023E</t>
  </si>
  <si>
    <t>2024E</t>
  </si>
  <si>
    <t>2025E</t>
  </si>
  <si>
    <t>after 2025 (2026)</t>
  </si>
  <si>
    <t>Revenue growth rate</t>
  </si>
  <si>
    <t>Gross margin</t>
  </si>
  <si>
    <t>SG&amp;A % revenue</t>
  </si>
  <si>
    <t>D&amp;A % revenue</t>
  </si>
  <si>
    <t>Days of Account receivable</t>
  </si>
  <si>
    <t>Days of Work in process</t>
  </si>
  <si>
    <t>Days of Inventory</t>
  </si>
  <si>
    <t>Prepaid expense% SG&amp;A</t>
  </si>
  <si>
    <t>Derivative asset</t>
  </si>
  <si>
    <t>Days of Account payable</t>
  </si>
  <si>
    <t>Other current liabilities except AP % SG&amp;A</t>
  </si>
  <si>
    <t>Employee share purchase plan expense % Revenue</t>
  </si>
  <si>
    <t>Share based compensation % Revenue</t>
  </si>
  <si>
    <t>Dividend payout ratio</t>
  </si>
  <si>
    <t>Average dividend out ratio</t>
  </si>
  <si>
    <t>Depreciation rate</t>
  </si>
  <si>
    <t>Common share growth rate</t>
  </si>
  <si>
    <t>Tax rate</t>
  </si>
  <si>
    <t>Average Tax rate</t>
  </si>
  <si>
    <t>Income statement</t>
  </si>
  <si>
    <t>Year</t>
  </si>
  <si>
    <t>Revenue: Advanced Technologies</t>
  </si>
  <si>
    <t>Revenue: Health</t>
  </si>
  <si>
    <t>Revenue: Learning</t>
  </si>
  <si>
    <t>Revenue: Information Technology</t>
  </si>
  <si>
    <t>Total revenue (in thousands)</t>
  </si>
  <si>
    <t>Cost of revenues</t>
  </si>
  <si>
    <t>Gross profit</t>
  </si>
  <si>
    <t>Selling and marketing</t>
  </si>
  <si>
    <t>General and administration</t>
  </si>
  <si>
    <t>Research and development</t>
  </si>
  <si>
    <t>Facilities</t>
  </si>
  <si>
    <t>SG&amp;A</t>
  </si>
  <si>
    <t>Operating income (Profit before under noted items)</t>
  </si>
  <si>
    <t>Depreciation of equipment, application software and research and development</t>
  </si>
  <si>
    <t>Depreciation of right of use asset</t>
  </si>
  <si>
    <t>Amortization of acquired intangible assets</t>
  </si>
  <si>
    <t>Other changes in fair value</t>
  </si>
  <si>
    <t>Changes in fair value related to contingent earn-out</t>
  </si>
  <si>
    <t>Deemed compensation related to acquisitions</t>
  </si>
  <si>
    <t>Total D&amp;A expense</t>
  </si>
  <si>
    <t>EBIT</t>
  </si>
  <si>
    <t>Accretion interest expense related to acquisitions</t>
  </si>
  <si>
    <t>Lease obligations interest expense</t>
  </si>
  <si>
    <t>Interest expense (income)</t>
  </si>
  <si>
    <t>Profit before income tax expense (EBT)</t>
  </si>
  <si>
    <t>Income tax expense - current</t>
  </si>
  <si>
    <t>Income tax expense (recovery) - deferred</t>
  </si>
  <si>
    <t>Total income tax expense</t>
  </si>
  <si>
    <t>Net profit</t>
  </si>
  <si>
    <t>Weighted average number of common shares - basic</t>
  </si>
  <si>
    <t>Additions to reflect the dilutive effect of employee stock options and RSU's</t>
  </si>
  <si>
    <t>Weighted average number of common shares - diluted</t>
  </si>
  <si>
    <t>Basic EPS</t>
  </si>
  <si>
    <t>Diluted EPS</t>
  </si>
  <si>
    <t>Cash Flow Statement</t>
  </si>
  <si>
    <t>Items not affecting cash:</t>
  </si>
  <si>
    <t>Income tax expense</t>
  </si>
  <si>
    <t>Employee share purchase plan expense</t>
  </si>
  <si>
    <t>Share based compensation expense</t>
  </si>
  <si>
    <t>D&amp;A</t>
  </si>
  <si>
    <t>Otherchanges in fair value</t>
  </si>
  <si>
    <t>Change in non-cash working capital:</t>
  </si>
  <si>
    <t>Account receivable</t>
  </si>
  <si>
    <t>Work in process</t>
  </si>
  <si>
    <t>Prepaid expenses</t>
  </si>
  <si>
    <t>Inventory</t>
  </si>
  <si>
    <t>Accounts payable and accrued liabilities</t>
  </si>
  <si>
    <t>Unearned contract revenue</t>
  </si>
  <si>
    <t>Interest received (paid)</t>
  </si>
  <si>
    <t>Income tax recovered (paid)</t>
  </si>
  <si>
    <t>Cash Flow from Operations</t>
  </si>
  <si>
    <t>Issuance of common shares</t>
  </si>
  <si>
    <t>Dividends paid</t>
  </si>
  <si>
    <t>Draw (repayment) on line of credit</t>
  </si>
  <si>
    <t>Share repurchases</t>
  </si>
  <si>
    <t>Payment of lease obligations</t>
  </si>
  <si>
    <t>Cash Flow from Financing</t>
  </si>
  <si>
    <t>Investments and loan receivable</t>
  </si>
  <si>
    <t>Business acquisitions</t>
  </si>
  <si>
    <t>Capitalized research and development</t>
  </si>
  <si>
    <t>Equipment and application software</t>
  </si>
  <si>
    <t>Cash Flow from Investing</t>
  </si>
  <si>
    <t>Net Cash Inflow (Outflow)</t>
  </si>
  <si>
    <t>Cash and cash equivalents, beginning of period</t>
  </si>
  <si>
    <t>Cash and cash equivalents, end of period</t>
  </si>
  <si>
    <t>Balance sheet</t>
  </si>
  <si>
    <t>Cash and cash equivalents</t>
  </si>
  <si>
    <t>Accounts receivable</t>
  </si>
  <si>
    <t>Derivative assets</t>
  </si>
  <si>
    <t>Total Current Assets</t>
  </si>
  <si>
    <t>Equipment</t>
  </si>
  <si>
    <t>Application software</t>
  </si>
  <si>
    <t>Right of use asset</t>
  </si>
  <si>
    <t>Investment and loan receivable</t>
  </si>
  <si>
    <t>Acquired intangible assets</t>
  </si>
  <si>
    <t>Goodwill</t>
  </si>
  <si>
    <t>Total non-current assets</t>
  </si>
  <si>
    <t>Total Assets</t>
  </si>
  <si>
    <t>Line of Credit</t>
  </si>
  <si>
    <t>Accounts payables and accrued liabilities</t>
  </si>
  <si>
    <t>Contingent earn-out</t>
  </si>
  <si>
    <t>Provisions</t>
  </si>
  <si>
    <t>Derivative liabilities</t>
  </si>
  <si>
    <t>Deferred tax liabilities</t>
  </si>
  <si>
    <t>Lease obligations</t>
  </si>
  <si>
    <t>Other current liabilities except AP</t>
  </si>
  <si>
    <t>Total current liabilities</t>
  </si>
  <si>
    <t>Total non-current liabilities</t>
  </si>
  <si>
    <t>Total Liabilities</t>
  </si>
  <si>
    <t>Issued capital</t>
  </si>
  <si>
    <t>Contributed surplus</t>
  </si>
  <si>
    <t>Retained earnings</t>
  </si>
  <si>
    <t>Accumulated other comprehensive income (loss)</t>
  </si>
  <si>
    <t>Total Shareholders' Equity</t>
  </si>
  <si>
    <t>Total Liabilities and Shareholders' Equity</t>
  </si>
  <si>
    <t>Balance check</t>
  </si>
  <si>
    <t>Difference/Total asset</t>
  </si>
  <si>
    <t>DCF analysis</t>
  </si>
  <si>
    <t>WACC</t>
  </si>
  <si>
    <t>Cost of Debt</t>
  </si>
  <si>
    <t>Debt to Capital</t>
  </si>
  <si>
    <t>Equity to Capital</t>
  </si>
  <si>
    <t>Cost of Equity</t>
  </si>
  <si>
    <t>Discount rate</t>
  </si>
  <si>
    <t>CAPM</t>
  </si>
  <si>
    <t>RFR</t>
  </si>
  <si>
    <t>Beta</t>
  </si>
  <si>
    <t>RP</t>
  </si>
  <si>
    <t>SMB</t>
  </si>
  <si>
    <t xml:space="preserve">Ibbotson-Chen model     </t>
  </si>
  <si>
    <t>Expected inflation(EINFL)</t>
  </si>
  <si>
    <t>Expected growth in real earnings per share(EGREPS)</t>
  </si>
  <si>
    <t>Expected growth in the market P/E ratio(EGPE)</t>
  </si>
  <si>
    <t>Expected income component(EINC)</t>
  </si>
  <si>
    <t>after 2025(2026)</t>
  </si>
  <si>
    <t>Terminal Value in 2025</t>
  </si>
  <si>
    <t>FCFF</t>
  </si>
  <si>
    <t>PV</t>
  </si>
  <si>
    <t>Enterprise Value</t>
  </si>
  <si>
    <t>minus</t>
  </si>
  <si>
    <t>Debt</t>
  </si>
  <si>
    <t>Non-controlling Interest</t>
  </si>
  <si>
    <t>Preferred shares</t>
  </si>
  <si>
    <t>plus</t>
  </si>
  <si>
    <t>Cash</t>
  </si>
  <si>
    <t>Equity Value</t>
  </si>
  <si>
    <t>Number of shares outstanding</t>
  </si>
  <si>
    <t>Target share price</t>
  </si>
  <si>
    <t>Comparable company analysis</t>
  </si>
  <si>
    <t>Included?(Y/N)</t>
  </si>
  <si>
    <t>Market cap</t>
  </si>
  <si>
    <t>ADV</t>
  </si>
  <si>
    <t>Debt to capital</t>
  </si>
  <si>
    <t>2021E P/E</t>
  </si>
  <si>
    <t>2021E EV/Sales</t>
  </si>
  <si>
    <t>2021E EV/EBITDA</t>
  </si>
  <si>
    <t>CGY</t>
  </si>
  <si>
    <t>732 mm</t>
  </si>
  <si>
    <t>Y</t>
  </si>
  <si>
    <t>IBG</t>
  </si>
  <si>
    <t>345 mm</t>
  </si>
  <si>
    <t>GDI</t>
  </si>
  <si>
    <t>1270 mm</t>
  </si>
  <si>
    <t>KBL</t>
  </si>
  <si>
    <t>441.17 mm</t>
  </si>
  <si>
    <t>N</t>
  </si>
  <si>
    <t>AIM</t>
  </si>
  <si>
    <t>386.6 mm</t>
  </si>
  <si>
    <t>N/A</t>
  </si>
  <si>
    <t>WCN</t>
  </si>
  <si>
    <t>42310 mm</t>
  </si>
  <si>
    <t>RBA</t>
  </si>
  <si>
    <t>8670 mm</t>
  </si>
  <si>
    <t>DNTL</t>
  </si>
  <si>
    <t>2400 mm</t>
  </si>
  <si>
    <t>negative</t>
  </si>
  <si>
    <t>TIXT</t>
  </si>
  <si>
    <t>10320 mm</t>
  </si>
  <si>
    <t>KUT</t>
  </si>
  <si>
    <t>52.9 mm</t>
  </si>
  <si>
    <t>XX</t>
  </si>
  <si>
    <t>41.3 mm</t>
  </si>
  <si>
    <t>Average for those included</t>
  </si>
  <si>
    <t>Sensitivity analysis</t>
  </si>
  <si>
    <t>Terminal Growth rate</t>
  </si>
</sst>
</file>

<file path=xl/styles.xml><?xml version="1.0" encoding="utf-8"?>
<styleSheet xmlns="http://schemas.openxmlformats.org/spreadsheetml/2006/main">
  <numFmts count="7">
    <numFmt numFmtId="176" formatCode="_-&quot;$&quot;* #,##0_-;\-&quot;$&quot;* #,##0_-;_-&quot;$&quot;* &quot;-&quot;_-;_-@_-"/>
    <numFmt numFmtId="43" formatCode="_-* #,##0.00_-;\-* #,##0.00_-;_-* &quot;-&quot;??_-;_-@_-"/>
    <numFmt numFmtId="177" formatCode="0.000%"/>
    <numFmt numFmtId="41" formatCode="_-* #,##0_-;\-* #,##0_-;_-* &quot;-&quot;_-;_-@_-"/>
    <numFmt numFmtId="178" formatCode="_-&quot;$&quot;* #,##0.00_-;\-&quot;$&quot;* #,##0.00_-;_-&quot;$&quot;* \-??_-;_-@_-"/>
    <numFmt numFmtId="179" formatCode="#,##0.00_);\(#,##0.00\)"/>
    <numFmt numFmtId="180" formatCode="0.00_);\(0.00\)"/>
  </numFmts>
  <fonts count="29">
    <font>
      <sz val="11"/>
      <color theme="1"/>
      <name val="Calibri"/>
      <charset val="134"/>
      <scheme val="minor"/>
    </font>
    <font>
      <b/>
      <sz val="11"/>
      <color theme="1"/>
      <name val="Calibri"/>
      <charset val="134"/>
      <scheme val="minor"/>
    </font>
    <font>
      <sz val="11"/>
      <color theme="1"/>
      <name val="Calibri"/>
      <charset val="134"/>
    </font>
    <font>
      <b/>
      <sz val="11"/>
      <name val="Calibri"/>
      <charset val="134"/>
    </font>
    <font>
      <sz val="11"/>
      <color theme="8" tint="-0.25"/>
      <name val="Calibri"/>
      <charset val="134"/>
      <scheme val="minor"/>
    </font>
    <font>
      <sz val="11"/>
      <color rgb="FFFF0000"/>
      <name val="Calibri"/>
      <charset val="134"/>
      <scheme val="minor"/>
    </font>
    <font>
      <sz val="11"/>
      <name val="Calibri"/>
      <charset val="134"/>
      <scheme val="minor"/>
    </font>
    <font>
      <sz val="11"/>
      <color theme="4" tint="-0.25"/>
      <name val="Calibri"/>
      <charset val="134"/>
      <scheme val="minor"/>
    </font>
    <font>
      <i/>
      <sz val="11"/>
      <color rgb="FF7F7F7F"/>
      <name val="Calibri"/>
      <charset val="0"/>
      <scheme val="minor"/>
    </font>
    <font>
      <sz val="11"/>
      <color theme="0"/>
      <name val="Calibri"/>
      <charset val="0"/>
      <scheme val="minor"/>
    </font>
    <font>
      <sz val="11"/>
      <color rgb="FF9C6500"/>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sz val="11"/>
      <color rgb="FF006100"/>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b/>
      <sz val="9"/>
      <name val="Times New Roman"/>
      <charset val="0"/>
    </font>
    <font>
      <sz val="9"/>
      <name val="Times New Roman"/>
      <charset val="0"/>
    </font>
  </fonts>
  <fills count="36">
    <fill>
      <patternFill patternType="none"/>
    </fill>
    <fill>
      <patternFill patternType="gray125"/>
    </fill>
    <fill>
      <patternFill patternType="solid">
        <fgColor theme="4" tint="-0.25"/>
        <bgColor indexed="64"/>
      </patternFill>
    </fill>
    <fill>
      <patternFill patternType="solid">
        <fgColor theme="4" tint="0.4"/>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s>
  <borders count="11">
    <border>
      <left/>
      <right/>
      <top/>
      <bottom/>
      <diagonal/>
    </border>
    <border>
      <left/>
      <right/>
      <top/>
      <bottom style="thin">
        <color auto="1"/>
      </bottom>
      <diagonal/>
    </border>
    <border>
      <left/>
      <right style="thin">
        <color auto="1"/>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11" fillId="1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0" borderId="0" applyNumberFormat="0" applyBorder="0" applyAlignment="0" applyProtection="0">
      <alignment vertical="center"/>
    </xf>
    <xf numFmtId="0" fontId="13" fillId="0" borderId="0" applyNumberFormat="0" applyFill="0" applyBorder="0" applyAlignment="0" applyProtection="0">
      <alignment vertical="center"/>
    </xf>
    <xf numFmtId="0" fontId="15" fillId="17" borderId="4" applyNumberFormat="0" applyAlignment="0" applyProtection="0">
      <alignment vertical="center"/>
    </xf>
    <xf numFmtId="0" fontId="16" fillId="0" borderId="5" applyNumberFormat="0" applyFill="0" applyAlignment="0" applyProtection="0">
      <alignment vertical="center"/>
    </xf>
    <xf numFmtId="0" fontId="0" fillId="22" borderId="6" applyNumberFormat="0" applyFont="0" applyAlignment="0" applyProtection="0">
      <alignment vertical="center"/>
    </xf>
    <xf numFmtId="0" fontId="11" fillId="24" borderId="0" applyNumberFormat="0" applyBorder="0" applyAlignment="0" applyProtection="0">
      <alignment vertical="center"/>
    </xf>
    <xf numFmtId="0" fontId="17" fillId="0" borderId="0" applyNumberFormat="0" applyFill="0" applyBorder="0" applyAlignment="0" applyProtection="0">
      <alignment vertical="center"/>
    </xf>
    <xf numFmtId="0" fontId="11" fillId="16"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25" borderId="8" applyNumberFormat="0" applyAlignment="0" applyProtection="0">
      <alignment vertical="center"/>
    </xf>
    <xf numFmtId="0" fontId="9" fillId="15" borderId="0" applyNumberFormat="0" applyBorder="0" applyAlignment="0" applyProtection="0">
      <alignment vertical="center"/>
    </xf>
    <xf numFmtId="0" fontId="23" fillId="27" borderId="0" applyNumberFormat="0" applyBorder="0" applyAlignment="0" applyProtection="0">
      <alignment vertical="center"/>
    </xf>
    <xf numFmtId="0" fontId="22" fillId="26" borderId="9" applyNumberFormat="0" applyAlignment="0" applyProtection="0">
      <alignment vertical="center"/>
    </xf>
    <xf numFmtId="0" fontId="11" fillId="28" borderId="0" applyNumberFormat="0" applyBorder="0" applyAlignment="0" applyProtection="0">
      <alignment vertical="center"/>
    </xf>
    <xf numFmtId="0" fontId="24" fillId="26" borderId="8" applyNumberFormat="0" applyAlignment="0" applyProtection="0">
      <alignment vertical="center"/>
    </xf>
    <xf numFmtId="0" fontId="14" fillId="0" borderId="3" applyNumberFormat="0" applyFill="0" applyAlignment="0" applyProtection="0">
      <alignment vertical="center"/>
    </xf>
    <xf numFmtId="0" fontId="25" fillId="0" borderId="10" applyNumberFormat="0" applyFill="0" applyAlignment="0" applyProtection="0">
      <alignment vertical="center"/>
    </xf>
    <xf numFmtId="0" fontId="26" fillId="29" borderId="0" applyNumberFormat="0" applyBorder="0" applyAlignment="0" applyProtection="0">
      <alignment vertical="center"/>
    </xf>
    <xf numFmtId="0" fontId="10" fillId="11" borderId="0" applyNumberFormat="0" applyBorder="0" applyAlignment="0" applyProtection="0">
      <alignment vertical="center"/>
    </xf>
    <xf numFmtId="0" fontId="9" fillId="6" borderId="0" applyNumberFormat="0" applyBorder="0" applyAlignment="0" applyProtection="0">
      <alignment vertical="center"/>
    </xf>
    <xf numFmtId="0" fontId="11" fillId="21" borderId="0" applyNumberFormat="0" applyBorder="0" applyAlignment="0" applyProtection="0">
      <alignment vertical="center"/>
    </xf>
    <xf numFmtId="0" fontId="9" fillId="9" borderId="0" applyNumberFormat="0" applyBorder="0" applyAlignment="0" applyProtection="0">
      <alignment vertical="center"/>
    </xf>
    <xf numFmtId="0" fontId="9" fillId="31" borderId="0" applyNumberFormat="0" applyBorder="0" applyAlignment="0" applyProtection="0">
      <alignment vertical="center"/>
    </xf>
    <xf numFmtId="0" fontId="11" fillId="23" borderId="0" applyNumberFormat="0" applyBorder="0" applyAlignment="0" applyProtection="0">
      <alignment vertical="center"/>
    </xf>
    <xf numFmtId="0" fontId="11" fillId="30" borderId="0" applyNumberFormat="0" applyBorder="0" applyAlignment="0" applyProtection="0">
      <alignment vertical="center"/>
    </xf>
    <xf numFmtId="0" fontId="9" fillId="32" borderId="0" applyNumberFormat="0" applyBorder="0" applyAlignment="0" applyProtection="0">
      <alignment vertical="center"/>
    </xf>
    <xf numFmtId="0" fontId="9" fillId="8" borderId="0" applyNumberFormat="0" applyBorder="0" applyAlignment="0" applyProtection="0">
      <alignment vertical="center"/>
    </xf>
    <xf numFmtId="0" fontId="11" fillId="14" borderId="0" applyNumberFormat="0" applyBorder="0" applyAlignment="0" applyProtection="0">
      <alignment vertical="center"/>
    </xf>
    <xf numFmtId="0" fontId="9" fillId="20" borderId="0" applyNumberFormat="0" applyBorder="0" applyAlignment="0" applyProtection="0">
      <alignment vertical="center"/>
    </xf>
    <xf numFmtId="0" fontId="11" fillId="19" borderId="0" applyNumberFormat="0" applyBorder="0" applyAlignment="0" applyProtection="0">
      <alignment vertical="center"/>
    </xf>
    <xf numFmtId="0" fontId="11" fillId="34" borderId="0" applyNumberFormat="0" applyBorder="0" applyAlignment="0" applyProtection="0">
      <alignment vertical="center"/>
    </xf>
    <xf numFmtId="0" fontId="9" fillId="5" borderId="0" applyNumberFormat="0" applyBorder="0" applyAlignment="0" applyProtection="0">
      <alignment vertical="center"/>
    </xf>
    <xf numFmtId="0" fontId="11" fillId="35" borderId="0" applyNumberFormat="0" applyBorder="0" applyAlignment="0" applyProtection="0">
      <alignment vertical="center"/>
    </xf>
    <xf numFmtId="0" fontId="9" fillId="7" borderId="0" applyNumberFormat="0" applyBorder="0" applyAlignment="0" applyProtection="0">
      <alignment vertical="center"/>
    </xf>
    <xf numFmtId="0" fontId="9" fillId="13" borderId="0" applyNumberFormat="0" applyBorder="0" applyAlignment="0" applyProtection="0">
      <alignment vertical="center"/>
    </xf>
    <xf numFmtId="0" fontId="11" fillId="33" borderId="0" applyNumberFormat="0" applyBorder="0" applyAlignment="0" applyProtection="0">
      <alignment vertical="center"/>
    </xf>
    <xf numFmtId="0" fontId="9" fillId="18" borderId="0" applyNumberFormat="0" applyBorder="0" applyAlignment="0" applyProtection="0">
      <alignment vertical="center"/>
    </xf>
  </cellStyleXfs>
  <cellXfs count="39">
    <xf numFmtId="0" fontId="0" fillId="0" borderId="0" xfId="0">
      <alignment vertical="center"/>
    </xf>
    <xf numFmtId="0" fontId="1" fillId="2" borderId="0" xfId="0" applyFont="1" applyFill="1">
      <alignment vertical="center"/>
    </xf>
    <xf numFmtId="0" fontId="2" fillId="0" borderId="0" xfId="0" applyFont="1">
      <alignment vertical="center"/>
    </xf>
    <xf numFmtId="0" fontId="3" fillId="2" borderId="0" xfId="0" applyFont="1" applyFill="1" applyAlignment="1">
      <alignment horizontal="center" vertical="center"/>
    </xf>
    <xf numFmtId="0" fontId="0" fillId="3" borderId="0" xfId="0" applyFont="1" applyFill="1" applyAlignment="1">
      <alignment horizontal="center" vertical="center"/>
    </xf>
    <xf numFmtId="0" fontId="0" fillId="3" borderId="0" xfId="0" applyFont="1" applyFill="1">
      <alignment vertical="center"/>
    </xf>
    <xf numFmtId="0" fontId="1" fillId="4" borderId="0" xfId="0" applyFont="1" applyFill="1">
      <alignment vertical="center"/>
    </xf>
    <xf numFmtId="4" fontId="0" fillId="0" borderId="0" xfId="0" applyNumberFormat="1">
      <alignment vertical="center"/>
    </xf>
    <xf numFmtId="179" fontId="4" fillId="0" borderId="0" xfId="0" applyNumberFormat="1" applyFont="1">
      <alignment vertical="center"/>
    </xf>
    <xf numFmtId="0" fontId="1" fillId="0" borderId="0" xfId="0" applyFont="1">
      <alignment vertical="center"/>
    </xf>
    <xf numFmtId="0" fontId="0" fillId="0" borderId="0" xfId="0" applyFont="1">
      <alignment vertical="center"/>
    </xf>
    <xf numFmtId="0" fontId="0" fillId="2" borderId="0" xfId="0" applyFill="1" applyAlignment="1">
      <alignment horizontal="center" vertical="center"/>
    </xf>
    <xf numFmtId="0" fontId="0" fillId="3" borderId="0" xfId="0" applyFont="1" applyFill="1" applyAlignment="1">
      <alignment horizontal="right" vertical="center"/>
    </xf>
    <xf numFmtId="0" fontId="0" fillId="2" borderId="0" xfId="0" applyFill="1" applyAlignment="1">
      <alignment horizontal="right"/>
    </xf>
    <xf numFmtId="0" fontId="0" fillId="2" borderId="0" xfId="0" applyFill="1">
      <alignment vertical="center"/>
    </xf>
    <xf numFmtId="180" fontId="0" fillId="0" borderId="0" xfId="0" applyNumberFormat="1">
      <alignment vertical="center"/>
    </xf>
    <xf numFmtId="179" fontId="0" fillId="0" borderId="0" xfId="0" applyNumberFormat="1">
      <alignment vertical="center"/>
    </xf>
    <xf numFmtId="179" fontId="5" fillId="0" borderId="0" xfId="0" applyNumberFormat="1" applyFont="1">
      <alignment vertical="center"/>
    </xf>
    <xf numFmtId="179" fontId="6" fillId="0" borderId="0" xfId="0" applyNumberFormat="1" applyFont="1">
      <alignment vertical="center"/>
    </xf>
    <xf numFmtId="0" fontId="1" fillId="0" borderId="0" xfId="0" applyFont="1" applyFill="1" applyAlignment="1">
      <alignment horizontal="right" vertical="center"/>
    </xf>
    <xf numFmtId="4" fontId="0" fillId="0" borderId="0" xfId="0" applyNumberFormat="1" applyFill="1">
      <alignment vertical="center"/>
    </xf>
    <xf numFmtId="4" fontId="0" fillId="0" borderId="0" xfId="0" applyNumberFormat="1" applyFont="1" applyFill="1" applyBorder="1" applyAlignment="1" applyProtection="1">
      <alignment horizontal="right" vertical="center"/>
    </xf>
    <xf numFmtId="10" fontId="0" fillId="0" borderId="0" xfId="0" applyNumberFormat="1">
      <alignment vertical="center"/>
    </xf>
    <xf numFmtId="0" fontId="1" fillId="0" borderId="0" xfId="0" applyFont="1" applyAlignment="1">
      <alignment horizontal="right" vertical="center"/>
    </xf>
    <xf numFmtId="0" fontId="0" fillId="0" borderId="0" xfId="0" applyNumberFormat="1">
      <alignment vertical="center"/>
    </xf>
    <xf numFmtId="10" fontId="5" fillId="0" borderId="0" xfId="0" applyNumberFormat="1" applyFont="1" applyFill="1" applyBorder="1" applyAlignment="1" applyProtection="1">
      <alignment vertical="center"/>
    </xf>
    <xf numFmtId="10" fontId="5" fillId="0" borderId="0" xfId="0" applyNumberFormat="1" applyFont="1">
      <alignment vertical="center"/>
    </xf>
    <xf numFmtId="4" fontId="1" fillId="2" borderId="0" xfId="0" applyNumberFormat="1" applyFont="1" applyFill="1">
      <alignment vertical="center"/>
    </xf>
    <xf numFmtId="4" fontId="0" fillId="2" borderId="0" xfId="0" applyNumberFormat="1" applyFill="1">
      <alignment vertical="center"/>
    </xf>
    <xf numFmtId="4" fontId="1" fillId="0" borderId="0" xfId="0" applyNumberFormat="1" applyFont="1">
      <alignment vertical="center"/>
    </xf>
    <xf numFmtId="4" fontId="6" fillId="2" borderId="0" xfId="0" applyNumberFormat="1" applyFont="1" applyFill="1">
      <alignment vertical="center"/>
    </xf>
    <xf numFmtId="4" fontId="7" fillId="0" borderId="0" xfId="0" applyNumberFormat="1" applyFont="1">
      <alignment vertical="center"/>
    </xf>
    <xf numFmtId="4" fontId="6" fillId="0" borderId="0" xfId="0" applyNumberFormat="1" applyFont="1">
      <alignment vertical="center"/>
    </xf>
    <xf numFmtId="4" fontId="1" fillId="5" borderId="0" xfId="0" applyNumberFormat="1" applyFont="1" applyFill="1">
      <alignment vertical="center"/>
    </xf>
    <xf numFmtId="4" fontId="0" fillId="5" borderId="0" xfId="0" applyNumberFormat="1" applyFill="1">
      <alignment vertical="center"/>
    </xf>
    <xf numFmtId="177" fontId="0" fillId="6" borderId="1" xfId="0" applyNumberFormat="1" applyFont="1" applyFill="1" applyBorder="1">
      <alignment vertical="center"/>
    </xf>
    <xf numFmtId="4" fontId="0" fillId="0" borderId="0" xfId="0" applyNumberFormat="1" applyFont="1" applyFill="1" applyBorder="1">
      <alignment vertical="center"/>
    </xf>
    <xf numFmtId="4" fontId="0" fillId="0" borderId="0" xfId="0" applyNumberFormat="1" applyFill="1" applyBorder="1">
      <alignment vertical="center"/>
    </xf>
    <xf numFmtId="177" fontId="0" fillId="6" borderId="2" xfId="0" applyNumberFormat="1" applyFill="1"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M220"/>
  <sheetViews>
    <sheetView tabSelected="1" topLeftCell="D184" workbookViewId="0">
      <selection activeCell="O188" sqref="O188"/>
    </sheetView>
  </sheetViews>
  <sheetFormatPr defaultColWidth="9.14285714285714" defaultRowHeight="15"/>
  <cols>
    <col min="2" max="2" width="37.2857142857143" customWidth="1"/>
    <col min="3" max="8" width="13"/>
    <col min="9" max="9" width="16.4285714285714" customWidth="1"/>
    <col min="10" max="10" width="13" customWidth="1"/>
    <col min="11" max="14" width="14.1428571428571"/>
    <col min="15" max="15" width="14.5714285714286" customWidth="1"/>
    <col min="16" max="16" width="20.8571428571429" customWidth="1"/>
    <col min="17" max="17" width="10.8571428571429"/>
    <col min="18" max="18" width="9.71428571428571"/>
  </cols>
  <sheetData>
    <row r="2" spans="2:2">
      <c r="B2" s="1" t="s">
        <v>0</v>
      </c>
    </row>
    <row r="3" spans="2:2">
      <c r="B3" t="s">
        <v>1</v>
      </c>
    </row>
    <row r="4" spans="2:2">
      <c r="B4" s="2" t="s">
        <v>2</v>
      </c>
    </row>
    <row r="5" spans="2:2">
      <c r="B5" s="2" t="s">
        <v>3</v>
      </c>
    </row>
    <row r="6" spans="2:15">
      <c r="B6" s="3" t="s">
        <v>4</v>
      </c>
      <c r="C6" s="4" t="s">
        <v>5</v>
      </c>
      <c r="D6" s="4"/>
      <c r="E6" s="4"/>
      <c r="F6" s="4"/>
      <c r="G6" s="4"/>
      <c r="H6" s="4"/>
      <c r="I6" s="4"/>
      <c r="J6" s="11" t="s">
        <v>6</v>
      </c>
      <c r="K6" s="11"/>
      <c r="L6" s="11"/>
      <c r="M6" s="11"/>
      <c r="N6" s="11"/>
      <c r="O6" s="11"/>
    </row>
    <row r="7" spans="2:15">
      <c r="B7" s="3"/>
      <c r="C7" s="5">
        <v>2015</v>
      </c>
      <c r="D7" s="5">
        <v>2016</v>
      </c>
      <c r="E7" s="5">
        <v>2017</v>
      </c>
      <c r="F7" s="5">
        <v>2018</v>
      </c>
      <c r="G7" s="5">
        <v>2019</v>
      </c>
      <c r="H7" s="5">
        <v>2020</v>
      </c>
      <c r="I7" s="12" t="s">
        <v>7</v>
      </c>
      <c r="J7" s="13" t="s">
        <v>8</v>
      </c>
      <c r="K7" s="13" t="s">
        <v>9</v>
      </c>
      <c r="L7" s="13" t="s">
        <v>10</v>
      </c>
      <c r="M7" s="13" t="s">
        <v>11</v>
      </c>
      <c r="N7" s="13" t="s">
        <v>12</v>
      </c>
      <c r="O7" s="14" t="s">
        <v>13</v>
      </c>
    </row>
    <row r="8" spans="2:15">
      <c r="B8" s="6"/>
      <c r="I8" t="s">
        <v>14</v>
      </c>
      <c r="J8" s="15"/>
      <c r="K8" s="15">
        <v>0.1</v>
      </c>
      <c r="L8" s="15">
        <v>0.05</v>
      </c>
      <c r="M8" s="15">
        <v>0.03</v>
      </c>
      <c r="N8" s="15">
        <v>0.02</v>
      </c>
      <c r="O8" s="15">
        <v>0.02</v>
      </c>
    </row>
    <row r="9" spans="2:15">
      <c r="B9" s="2"/>
      <c r="C9" s="7">
        <f t="shared" ref="C9:H9" si="0">C40/C38</f>
        <v>0.171353915121794</v>
      </c>
      <c r="D9" s="7">
        <f t="shared" si="0"/>
        <v>0.177845273082848</v>
      </c>
      <c r="E9" s="7">
        <f t="shared" si="0"/>
        <v>0.192082723665053</v>
      </c>
      <c r="F9" s="7">
        <f t="shared" si="0"/>
        <v>0.210028583791155</v>
      </c>
      <c r="G9" s="7">
        <f t="shared" si="0"/>
        <v>0.217630974452257</v>
      </c>
      <c r="H9" s="7">
        <f t="shared" si="0"/>
        <v>0.206226868985936</v>
      </c>
      <c r="I9" t="s">
        <v>15</v>
      </c>
      <c r="J9" s="15">
        <f>I40/I38</f>
        <v>0.239614602126598</v>
      </c>
      <c r="K9" s="15">
        <v>0.28</v>
      </c>
      <c r="L9" s="15">
        <v>0.25</v>
      </c>
      <c r="M9" s="15">
        <v>0.25</v>
      </c>
      <c r="N9" s="15">
        <v>0.25</v>
      </c>
      <c r="O9" s="15">
        <v>0.2</v>
      </c>
    </row>
    <row r="10" spans="2:15">
      <c r="B10" s="2"/>
      <c r="C10" s="7">
        <f t="shared" ref="C10:H10" si="1">C45/C38</f>
        <v>0.100262948240063</v>
      </c>
      <c r="D10" s="7">
        <f t="shared" si="1"/>
        <v>0.0976776030911879</v>
      </c>
      <c r="E10" s="7">
        <f t="shared" si="1"/>
        <v>0.106864713549704</v>
      </c>
      <c r="F10" s="7">
        <f t="shared" si="1"/>
        <v>0.126981525430396</v>
      </c>
      <c r="G10" s="7">
        <f t="shared" si="1"/>
        <v>0.138498268443698</v>
      </c>
      <c r="H10" s="7">
        <f t="shared" si="1"/>
        <v>0.121081606217617</v>
      </c>
      <c r="I10" t="s">
        <v>16</v>
      </c>
      <c r="J10" s="15">
        <f>I45/I38</f>
        <v>0.138512916970558</v>
      </c>
      <c r="K10" s="15">
        <v>0.14</v>
      </c>
      <c r="L10" s="15">
        <v>0.14</v>
      </c>
      <c r="M10" s="15">
        <v>0.14</v>
      </c>
      <c r="N10" s="15">
        <v>0.14</v>
      </c>
      <c r="O10" s="15">
        <v>0.14</v>
      </c>
    </row>
    <row r="11" spans="2:15">
      <c r="B11" s="2"/>
      <c r="C11" s="7">
        <f t="shared" ref="C11:H11" si="2">C53/C38</f>
        <v>0.0156241615170916</v>
      </c>
      <c r="D11" s="7">
        <f t="shared" si="2"/>
        <v>0.0119452122642368</v>
      </c>
      <c r="E11" s="7">
        <f t="shared" si="2"/>
        <v>0.00937830173950614</v>
      </c>
      <c r="F11" s="7">
        <f t="shared" si="2"/>
        <v>0.00983387310370147</v>
      </c>
      <c r="G11" s="7">
        <f t="shared" si="2"/>
        <v>0.00361178157903942</v>
      </c>
      <c r="H11" s="7">
        <f t="shared" si="2"/>
        <v>0.0206559955588453</v>
      </c>
      <c r="I11" t="s">
        <v>17</v>
      </c>
      <c r="J11" s="15">
        <f>I53/I38</f>
        <v>0.0606093176205648</v>
      </c>
      <c r="K11" s="15">
        <v>0.04</v>
      </c>
      <c r="L11" s="15">
        <f>AVERAGE(C11:H11)</f>
        <v>0.0118415542937368</v>
      </c>
      <c r="M11" s="15">
        <f>AVERAGE(C11:H11)</f>
        <v>0.0118415542937368</v>
      </c>
      <c r="N11" s="15">
        <f>AVERAGE(C11:H11)</f>
        <v>0.0118415542937368</v>
      </c>
      <c r="O11" s="15">
        <f>AVERAGE(C11:H11)</f>
        <v>0.0118415542937368</v>
      </c>
    </row>
    <row r="12" spans="2:15">
      <c r="B12" s="2"/>
      <c r="C12" s="7">
        <f t="shared" ref="C12:H12" si="3">+(C119/C38)*365</f>
        <v>76.0787688903749</v>
      </c>
      <c r="D12" s="7">
        <f t="shared" si="3"/>
        <v>81.1279485190486</v>
      </c>
      <c r="E12" s="7">
        <f t="shared" si="3"/>
        <v>72.7341580042335</v>
      </c>
      <c r="F12" s="7">
        <f t="shared" si="3"/>
        <v>82.6702243434251</v>
      </c>
      <c r="G12" s="7">
        <f t="shared" si="3"/>
        <v>68.0717488135633</v>
      </c>
      <c r="H12" s="7">
        <f t="shared" si="3"/>
        <v>68.4788698186529</v>
      </c>
      <c r="I12" s="7" t="s">
        <v>18</v>
      </c>
      <c r="J12" s="15">
        <v>80</v>
      </c>
      <c r="K12" s="15">
        <v>70</v>
      </c>
      <c r="L12" s="15">
        <v>70</v>
      </c>
      <c r="M12" s="15">
        <f>AVERAGE(C12:H12)</f>
        <v>74.8602863982164</v>
      </c>
      <c r="N12" s="15">
        <f>AVERAGE(C12:H12)</f>
        <v>74.8602863982164</v>
      </c>
      <c r="O12" s="15">
        <f>AVERAGE(C12:H12)</f>
        <v>74.8602863982164</v>
      </c>
    </row>
    <row r="13" spans="2:15">
      <c r="B13" s="2"/>
      <c r="C13" s="7">
        <f t="shared" ref="C13:H13" si="4">+(C120/C38)*365</f>
        <v>26.2631009729498</v>
      </c>
      <c r="D13" s="7">
        <f t="shared" si="4"/>
        <v>22.955147184681</v>
      </c>
      <c r="E13" s="7">
        <f t="shared" si="4"/>
        <v>25.8288160393286</v>
      </c>
      <c r="F13" s="7">
        <f t="shared" si="4"/>
        <v>20.7907909056342</v>
      </c>
      <c r="G13" s="7">
        <f t="shared" si="4"/>
        <v>41.7312793694103</v>
      </c>
      <c r="H13" s="7">
        <f t="shared" si="4"/>
        <v>71.0311343449297</v>
      </c>
      <c r="I13" t="s">
        <v>19</v>
      </c>
      <c r="J13" s="15">
        <f>+(I120/I38)*365</f>
        <v>78.770654997249</v>
      </c>
      <c r="K13" s="15">
        <v>70</v>
      </c>
      <c r="L13" s="15">
        <v>60</v>
      </c>
      <c r="M13" s="15">
        <v>40</v>
      </c>
      <c r="N13" s="15">
        <v>30</v>
      </c>
      <c r="O13" s="15">
        <f>AVERAGE(C13:F13)</f>
        <v>23.9594637756484</v>
      </c>
    </row>
    <row r="14" spans="2:15">
      <c r="B14" s="2"/>
      <c r="C14" s="7">
        <f>+C121/C38*365</f>
        <v>0</v>
      </c>
      <c r="D14" s="7">
        <f>+D121/D38*365</f>
        <v>0</v>
      </c>
      <c r="E14" s="7">
        <f t="shared" ref="E14:J14" si="5">+E121/E38*365</f>
        <v>0</v>
      </c>
      <c r="F14" s="7">
        <f t="shared" si="5"/>
        <v>1.79228893230362</v>
      </c>
      <c r="G14" s="7">
        <f t="shared" si="5"/>
        <v>3.34841886172036</v>
      </c>
      <c r="H14" s="7">
        <f t="shared" si="5"/>
        <v>5.14589887120651</v>
      </c>
      <c r="I14" t="s">
        <v>20</v>
      </c>
      <c r="J14" s="15">
        <f>+I121/I38*365</f>
        <v>5.7183473443118</v>
      </c>
      <c r="K14" s="15">
        <v>6</v>
      </c>
      <c r="L14" s="15">
        <v>5</v>
      </c>
      <c r="M14" s="15">
        <v>4</v>
      </c>
      <c r="N14" s="15">
        <v>3</v>
      </c>
      <c r="O14" s="15">
        <v>2</v>
      </c>
    </row>
    <row r="15" spans="2:15">
      <c r="B15" s="2"/>
      <c r="C15" s="7">
        <f t="shared" ref="C15:H15" si="6">+C122/C45</f>
        <v>0.0596566346906007</v>
      </c>
      <c r="D15" s="7">
        <f t="shared" si="6"/>
        <v>0.0389247231646844</v>
      </c>
      <c r="E15" s="7">
        <f t="shared" si="6"/>
        <v>0.0560595250229334</v>
      </c>
      <c r="F15" s="7">
        <f t="shared" si="6"/>
        <v>0.100134235117972</v>
      </c>
      <c r="G15" s="7">
        <f t="shared" si="6"/>
        <v>0.113721033023931</v>
      </c>
      <c r="H15" s="7">
        <f t="shared" si="6"/>
        <v>0.128128223742024</v>
      </c>
      <c r="I15" t="s">
        <v>21</v>
      </c>
      <c r="J15" s="15">
        <f>+I122/I45</f>
        <v>0.206684403059528</v>
      </c>
      <c r="K15" s="15">
        <v>0.2</v>
      </c>
      <c r="L15" s="15">
        <v>0.15</v>
      </c>
      <c r="M15" s="15">
        <v>0.15</v>
      </c>
      <c r="N15" s="15">
        <v>0.08</v>
      </c>
      <c r="O15" s="15">
        <v>0.06</v>
      </c>
    </row>
    <row r="16" spans="2:15">
      <c r="B16" s="2"/>
      <c r="C16" s="7"/>
      <c r="D16" s="7"/>
      <c r="E16" s="7"/>
      <c r="F16" s="7"/>
      <c r="G16" s="7"/>
      <c r="H16" s="7"/>
      <c r="I16" t="s">
        <v>22</v>
      </c>
      <c r="J16" s="15"/>
      <c r="K16" s="15">
        <f>+J123</f>
        <v>182.666666666667</v>
      </c>
      <c r="L16" s="15">
        <f>+K123</f>
        <v>182.666666666667</v>
      </c>
      <c r="M16" s="15">
        <f>+L123</f>
        <v>182.666666666667</v>
      </c>
      <c r="N16" s="15">
        <f>+M123</f>
        <v>182.666666666667</v>
      </c>
      <c r="O16" s="15">
        <f>+N123</f>
        <v>182.666666666667</v>
      </c>
    </row>
    <row r="17" spans="2:15">
      <c r="B17" s="2"/>
      <c r="C17" s="7">
        <f t="shared" ref="C17:H17" si="7">+C137/C39*365</f>
        <v>46.514580904843</v>
      </c>
      <c r="D17" s="7">
        <f t="shared" si="7"/>
        <v>43.1219740158492</v>
      </c>
      <c r="E17" s="7">
        <f t="shared" si="7"/>
        <v>53.4478404091336</v>
      </c>
      <c r="F17" s="7">
        <f t="shared" si="7"/>
        <v>51.3661071806469</v>
      </c>
      <c r="G17" s="7">
        <f t="shared" si="7"/>
        <v>61.2778189703674</v>
      </c>
      <c r="H17" s="7">
        <f t="shared" si="7"/>
        <v>76.5889050133464</v>
      </c>
      <c r="I17" t="s">
        <v>23</v>
      </c>
      <c r="J17" s="15">
        <f>+I137/I39*365</f>
        <v>91.0755657418252</v>
      </c>
      <c r="K17" s="15">
        <v>80</v>
      </c>
      <c r="L17" s="15">
        <v>60</v>
      </c>
      <c r="M17" s="15">
        <v>55</v>
      </c>
      <c r="N17" s="15">
        <f>AVERAGE(C17:H17)</f>
        <v>55.3862044156978</v>
      </c>
      <c r="O17" s="15">
        <v>55.39</v>
      </c>
    </row>
    <row r="18" spans="2:15">
      <c r="B18" s="2"/>
      <c r="C18" s="7">
        <f t="shared" ref="C18:H18" si="8">+C144/C45</f>
        <v>0.318292231051093</v>
      </c>
      <c r="D18" s="7">
        <f t="shared" si="8"/>
        <v>0.438275977778606</v>
      </c>
      <c r="E18" s="7">
        <f t="shared" si="8"/>
        <v>0.312268542112595</v>
      </c>
      <c r="F18" s="7">
        <f t="shared" si="8"/>
        <v>0.412050183282565</v>
      </c>
      <c r="G18" s="7">
        <f t="shared" si="8"/>
        <v>0.228368167371767</v>
      </c>
      <c r="H18" s="7">
        <f t="shared" si="8"/>
        <v>0.394796163985787</v>
      </c>
      <c r="I18" t="s">
        <v>24</v>
      </c>
      <c r="J18" s="15">
        <f>I144/I45</f>
        <v>0.948213427927429</v>
      </c>
      <c r="K18" s="15">
        <v>0.9</v>
      </c>
      <c r="L18" s="15">
        <v>0.6</v>
      </c>
      <c r="M18" s="15">
        <v>0.4</v>
      </c>
      <c r="N18" s="15">
        <v>0.3</v>
      </c>
      <c r="O18" s="15">
        <v>0.3</v>
      </c>
    </row>
    <row r="19" spans="2:15">
      <c r="B19" s="2"/>
      <c r="C19" s="7">
        <f t="shared" ref="C19:H19" si="9">+C80/C38*100</f>
        <v>0.0771920265177315</v>
      </c>
      <c r="D19" s="7">
        <f t="shared" si="9"/>
        <v>0.0648246275315292</v>
      </c>
      <c r="E19" s="7">
        <f t="shared" si="9"/>
        <v>0.11110183245408</v>
      </c>
      <c r="F19" s="7">
        <f t="shared" si="9"/>
        <v>0.0435968374264099</v>
      </c>
      <c r="G19" s="7">
        <f t="shared" si="9"/>
        <v>0.0504308485208894</v>
      </c>
      <c r="H19" s="7">
        <f t="shared" si="9"/>
        <v>0.0460307179866765</v>
      </c>
      <c r="I19" t="s">
        <v>25</v>
      </c>
      <c r="J19" s="15">
        <f>I80/I38*100</f>
        <v>0.090591531994933</v>
      </c>
      <c r="K19" s="15">
        <v>0.09</v>
      </c>
      <c r="L19" s="15">
        <v>0.08</v>
      </c>
      <c r="M19" s="15">
        <v>0.07</v>
      </c>
      <c r="N19" s="15">
        <v>0.06</v>
      </c>
      <c r="O19" s="15">
        <v>0.05</v>
      </c>
    </row>
    <row r="20" spans="2:15">
      <c r="B20" s="2"/>
      <c r="C20" s="7">
        <f t="shared" ref="C20:H20" si="10">+C81/C38*100</f>
        <v>0</v>
      </c>
      <c r="D20" s="7">
        <f t="shared" si="10"/>
        <v>0</v>
      </c>
      <c r="E20" s="7">
        <f t="shared" si="10"/>
        <v>0</v>
      </c>
      <c r="F20" s="7">
        <f t="shared" si="10"/>
        <v>0.236012954488835</v>
      </c>
      <c r="G20" s="7">
        <f t="shared" si="10"/>
        <v>0.344562213593592</v>
      </c>
      <c r="H20" s="7">
        <f t="shared" si="10"/>
        <v>0.269013693560326</v>
      </c>
      <c r="I20" t="s">
        <v>26</v>
      </c>
      <c r="J20" s="15">
        <f>I81/I38*100</f>
        <v>0.385653781684644</v>
      </c>
      <c r="K20" s="15">
        <v>0.4</v>
      </c>
      <c r="L20" s="15">
        <v>0.4</v>
      </c>
      <c r="M20" s="15">
        <v>0.35</v>
      </c>
      <c r="N20" s="15">
        <v>0.3</v>
      </c>
      <c r="O20" s="15">
        <v>0.3</v>
      </c>
    </row>
    <row r="21" spans="2:15">
      <c r="B21" s="2"/>
      <c r="C21" s="7"/>
      <c r="D21" s="7"/>
      <c r="E21" s="7"/>
      <c r="F21" s="7"/>
      <c r="G21" s="7"/>
      <c r="H21" s="7"/>
      <c r="J21" s="15"/>
      <c r="K21" s="15"/>
      <c r="L21" s="15"/>
      <c r="M21" s="15"/>
      <c r="N21" s="15"/>
      <c r="O21" s="15"/>
    </row>
    <row r="22" spans="2:15">
      <c r="B22" s="2"/>
      <c r="C22" s="7"/>
      <c r="D22" s="7"/>
      <c r="E22" s="7"/>
      <c r="F22" s="7"/>
      <c r="G22" s="7"/>
      <c r="H22" s="7"/>
      <c r="J22" s="15"/>
      <c r="K22" s="15"/>
      <c r="L22" s="15"/>
      <c r="M22" s="15"/>
      <c r="N22" s="15"/>
      <c r="O22" s="15"/>
    </row>
    <row r="23" spans="2:15">
      <c r="B23" s="2"/>
      <c r="C23" s="7"/>
      <c r="D23" s="7"/>
      <c r="E23" s="7"/>
      <c r="F23" s="7"/>
      <c r="G23" s="7"/>
      <c r="H23" s="7"/>
      <c r="J23" s="15"/>
      <c r="K23" s="15"/>
      <c r="L23" s="15"/>
      <c r="M23" s="15"/>
      <c r="N23" s="15"/>
      <c r="O23" s="15"/>
    </row>
    <row r="24" spans="2:15">
      <c r="B24" s="2"/>
      <c r="C24" s="7"/>
      <c r="D24" s="7"/>
      <c r="E24" s="7"/>
      <c r="F24" s="7"/>
      <c r="G24" s="7"/>
      <c r="H24" s="7"/>
      <c r="J24" s="15"/>
      <c r="K24" s="15"/>
      <c r="L24" s="15"/>
      <c r="M24" s="15"/>
      <c r="N24" s="15"/>
      <c r="O24" s="15"/>
    </row>
    <row r="25" spans="2:15">
      <c r="B25" s="2"/>
      <c r="J25" s="15"/>
      <c r="K25" s="15"/>
      <c r="L25" s="15"/>
      <c r="M25" s="15"/>
      <c r="N25" s="15"/>
      <c r="O25" s="15"/>
    </row>
    <row r="26" spans="2:15">
      <c r="B26" t="s">
        <v>27</v>
      </c>
      <c r="C26" s="7">
        <f t="shared" ref="C26:H26" si="11">-C99/C62</f>
        <v>0.845909695914815</v>
      </c>
      <c r="D26" s="7">
        <f t="shared" si="11"/>
        <v>0.612079746928566</v>
      </c>
      <c r="E26" s="7">
        <f t="shared" si="11"/>
        <v>0.553606237816764</v>
      </c>
      <c r="F26" s="7">
        <f t="shared" si="11"/>
        <v>0.532072923700203</v>
      </c>
      <c r="G26" s="7">
        <f t="shared" si="11"/>
        <v>0.440326130452181</v>
      </c>
      <c r="H26" s="7">
        <f t="shared" si="11"/>
        <v>0.48811394891945</v>
      </c>
      <c r="I26" t="s">
        <v>28</v>
      </c>
      <c r="J26" s="15">
        <v>0.6</v>
      </c>
      <c r="K26" s="15">
        <v>0.7</v>
      </c>
      <c r="L26" s="15">
        <v>0.6</v>
      </c>
      <c r="M26" s="15">
        <v>0.5</v>
      </c>
      <c r="N26" s="15">
        <v>0.5</v>
      </c>
      <c r="O26" s="15">
        <v>0.4</v>
      </c>
    </row>
    <row r="27" spans="2:15">
      <c r="B27" s="2"/>
      <c r="I27" t="s">
        <v>29</v>
      </c>
      <c r="J27" s="15">
        <f>(SUM(C47:I47)/SUM(C127:I127))</f>
        <v>0.231258932051449</v>
      </c>
      <c r="K27" s="15"/>
      <c r="L27" s="15"/>
      <c r="M27" s="15"/>
      <c r="N27" s="15"/>
      <c r="O27" s="15"/>
    </row>
    <row r="28" spans="2:15">
      <c r="B28" s="2"/>
      <c r="I28" t="s">
        <v>30</v>
      </c>
      <c r="J28" s="15">
        <f>(J64/C64)^0.2-1</f>
        <v>0.106387501078403</v>
      </c>
      <c r="K28" s="15"/>
      <c r="L28" s="15"/>
      <c r="M28" s="15"/>
      <c r="N28" s="15"/>
      <c r="O28" s="15"/>
    </row>
    <row r="29" spans="2:15">
      <c r="B29" s="2" t="s">
        <v>31</v>
      </c>
      <c r="C29" s="7">
        <f t="shared" ref="C29:H29" si="12">1-C62/C58</f>
        <v>0.277802425317953</v>
      </c>
      <c r="D29" s="7">
        <f t="shared" si="12"/>
        <v>0.275812466702184</v>
      </c>
      <c r="E29" s="7">
        <f t="shared" si="12"/>
        <v>0.268987792713627</v>
      </c>
      <c r="F29" s="7">
        <f t="shared" si="12"/>
        <v>0.277945217622551</v>
      </c>
      <c r="G29" s="7">
        <f t="shared" si="12"/>
        <v>0.227242858799428</v>
      </c>
      <c r="H29" s="7">
        <f t="shared" si="12"/>
        <v>0.252020573108009</v>
      </c>
      <c r="I29" t="s">
        <v>32</v>
      </c>
      <c r="J29" s="15">
        <f>AVERAGE(C29:H29)</f>
        <v>0.263301889043959</v>
      </c>
      <c r="K29" s="15"/>
      <c r="L29" s="15"/>
      <c r="M29" s="15"/>
      <c r="N29" s="15"/>
      <c r="O29" s="15"/>
    </row>
    <row r="30" spans="2:10">
      <c r="B30" s="2"/>
      <c r="C30" s="7"/>
      <c r="D30" s="7"/>
      <c r="E30" s="7"/>
      <c r="F30" s="7"/>
      <c r="G30" s="7"/>
      <c r="H30" s="7"/>
      <c r="J30" s="7"/>
    </row>
    <row r="31" spans="2:2">
      <c r="B31" s="1" t="s">
        <v>33</v>
      </c>
    </row>
    <row r="32" spans="3:15">
      <c r="C32" s="4" t="s">
        <v>5</v>
      </c>
      <c r="D32" s="4"/>
      <c r="E32" s="4"/>
      <c r="F32" s="4"/>
      <c r="G32" s="4"/>
      <c r="H32" s="4"/>
      <c r="I32" s="4"/>
      <c r="J32" s="11" t="s">
        <v>6</v>
      </c>
      <c r="K32" s="11"/>
      <c r="L32" s="11"/>
      <c r="M32" s="11"/>
      <c r="N32" s="11"/>
      <c r="O32" s="11"/>
    </row>
    <row r="33" spans="2:15">
      <c r="B33" t="s">
        <v>34</v>
      </c>
      <c r="C33" s="5">
        <v>2015</v>
      </c>
      <c r="D33" s="5">
        <v>2016</v>
      </c>
      <c r="E33" s="5">
        <v>2017</v>
      </c>
      <c r="F33" s="5">
        <v>2018</v>
      </c>
      <c r="G33" s="5">
        <v>2019</v>
      </c>
      <c r="H33" s="5">
        <v>2020</v>
      </c>
      <c r="I33" s="12" t="s">
        <v>7</v>
      </c>
      <c r="J33" s="13" t="s">
        <v>8</v>
      </c>
      <c r="K33" s="13" t="s">
        <v>9</v>
      </c>
      <c r="L33" s="13" t="s">
        <v>10</v>
      </c>
      <c r="M33" s="13" t="s">
        <v>11</v>
      </c>
      <c r="N33" s="13" t="s">
        <v>12</v>
      </c>
      <c r="O33" s="14" t="s">
        <v>13</v>
      </c>
    </row>
    <row r="34" spans="2:39">
      <c r="B34" t="s">
        <v>35</v>
      </c>
      <c r="C34" s="8"/>
      <c r="D34" s="8"/>
      <c r="E34" s="8"/>
      <c r="F34" s="8">
        <v>99201</v>
      </c>
      <c r="G34" s="8">
        <v>109697</v>
      </c>
      <c r="H34" s="8">
        <v>153382</v>
      </c>
      <c r="I34" s="8">
        <v>123862</v>
      </c>
      <c r="J34" s="16"/>
      <c r="K34" s="16"/>
      <c r="L34" s="16"/>
      <c r="M34" s="16"/>
      <c r="N34" s="16"/>
      <c r="O34" s="16"/>
      <c r="P34" s="7"/>
      <c r="Q34" s="7"/>
      <c r="R34" s="7"/>
      <c r="S34" s="7"/>
      <c r="T34" s="7"/>
      <c r="U34" s="7"/>
      <c r="V34" s="7"/>
      <c r="W34" s="7"/>
      <c r="X34" s="7"/>
      <c r="Y34" s="7"/>
      <c r="Z34" s="7"/>
      <c r="AA34" s="7"/>
      <c r="AB34" s="7"/>
      <c r="AC34" s="7"/>
      <c r="AD34" s="7"/>
      <c r="AE34" s="7"/>
      <c r="AF34" s="7"/>
      <c r="AG34" s="7"/>
      <c r="AH34" s="7"/>
      <c r="AI34" s="7"/>
      <c r="AJ34" s="7"/>
      <c r="AK34" s="7"/>
      <c r="AL34" s="7"/>
      <c r="AM34" s="7"/>
    </row>
    <row r="35" spans="2:39">
      <c r="B35" t="s">
        <v>36</v>
      </c>
      <c r="C35" s="8"/>
      <c r="D35" s="8"/>
      <c r="E35" s="8"/>
      <c r="F35" s="8">
        <v>99458</v>
      </c>
      <c r="G35" s="8">
        <v>115718</v>
      </c>
      <c r="H35" s="8">
        <v>163035</v>
      </c>
      <c r="I35" s="8">
        <v>150770</v>
      </c>
      <c r="J35" s="16"/>
      <c r="K35" s="16"/>
      <c r="L35" s="16"/>
      <c r="M35" s="16"/>
      <c r="N35" s="16"/>
      <c r="O35" s="16"/>
      <c r="P35" s="7"/>
      <c r="Q35" s="7"/>
      <c r="R35" s="7"/>
      <c r="S35" s="7"/>
      <c r="T35" s="7"/>
      <c r="U35" s="7"/>
      <c r="V35" s="7"/>
      <c r="W35" s="7"/>
      <c r="X35" s="7"/>
      <c r="Y35" s="7"/>
      <c r="Z35" s="7"/>
      <c r="AA35" s="7"/>
      <c r="AB35" s="7"/>
      <c r="AC35" s="7"/>
      <c r="AD35" s="7"/>
      <c r="AE35" s="7"/>
      <c r="AF35" s="7"/>
      <c r="AG35" s="7"/>
      <c r="AH35" s="7"/>
      <c r="AI35" s="7"/>
      <c r="AJ35" s="7"/>
      <c r="AK35" s="7"/>
      <c r="AL35" s="7"/>
      <c r="AM35" s="7"/>
    </row>
    <row r="36" spans="2:39">
      <c r="B36" t="s">
        <v>37</v>
      </c>
      <c r="C36" s="8"/>
      <c r="D36" s="8"/>
      <c r="E36" s="8"/>
      <c r="F36" s="8">
        <v>61552</v>
      </c>
      <c r="G36" s="8">
        <v>63098</v>
      </c>
      <c r="H36" s="8">
        <v>57834</v>
      </c>
      <c r="I36" s="8">
        <v>57061</v>
      </c>
      <c r="J36" s="16"/>
      <c r="K36" s="16"/>
      <c r="L36" s="16"/>
      <c r="M36" s="16"/>
      <c r="N36" s="16"/>
      <c r="O36" s="16"/>
      <c r="P36" s="7"/>
      <c r="Q36" s="7"/>
      <c r="R36" s="7"/>
      <c r="S36" s="7"/>
      <c r="T36" s="7"/>
      <c r="U36" s="7"/>
      <c r="V36" s="7"/>
      <c r="W36" s="7"/>
      <c r="X36" s="7"/>
      <c r="Y36" s="7"/>
      <c r="Z36" s="7"/>
      <c r="AA36" s="7"/>
      <c r="AB36" s="7"/>
      <c r="AC36" s="7"/>
      <c r="AD36" s="7"/>
      <c r="AE36" s="7"/>
      <c r="AF36" s="7"/>
      <c r="AG36" s="7"/>
      <c r="AH36" s="7"/>
      <c r="AI36" s="7"/>
      <c r="AJ36" s="7"/>
      <c r="AK36" s="7"/>
      <c r="AL36" s="7"/>
      <c r="AM36" s="7"/>
    </row>
    <row r="37" spans="2:39">
      <c r="B37" t="s">
        <v>38</v>
      </c>
      <c r="C37" s="8"/>
      <c r="D37" s="8"/>
      <c r="E37" s="8"/>
      <c r="F37" s="8">
        <v>44857</v>
      </c>
      <c r="G37" s="8">
        <v>54531</v>
      </c>
      <c r="H37" s="8">
        <v>58069</v>
      </c>
      <c r="I37" s="8">
        <v>59072</v>
      </c>
      <c r="J37" s="16"/>
      <c r="K37" s="16"/>
      <c r="L37" s="16"/>
      <c r="M37" s="16"/>
      <c r="N37" s="16"/>
      <c r="O37" s="16"/>
      <c r="P37" s="7"/>
      <c r="Q37" s="7"/>
      <c r="R37" s="7"/>
      <c r="S37" s="7"/>
      <c r="T37" s="7"/>
      <c r="U37" s="7"/>
      <c r="V37" s="7"/>
      <c r="W37" s="7"/>
      <c r="X37" s="7"/>
      <c r="Y37" s="7"/>
      <c r="Z37" s="7"/>
      <c r="AA37" s="7"/>
      <c r="AB37" s="7"/>
      <c r="AC37" s="7"/>
      <c r="AD37" s="7"/>
      <c r="AE37" s="7"/>
      <c r="AF37" s="7"/>
      <c r="AG37" s="7"/>
      <c r="AH37" s="7"/>
      <c r="AI37" s="7"/>
      <c r="AJ37" s="7"/>
      <c r="AK37" s="7"/>
      <c r="AL37" s="7"/>
      <c r="AM37" s="7"/>
    </row>
    <row r="38" spans="2:39">
      <c r="B38" s="9" t="s">
        <v>39</v>
      </c>
      <c r="C38" s="8">
        <v>242253</v>
      </c>
      <c r="D38" s="8">
        <v>274587</v>
      </c>
      <c r="E38" s="8">
        <v>275423</v>
      </c>
      <c r="F38" s="8">
        <f t="shared" ref="F38:M38" si="13">SUM(F34:F37)</f>
        <v>305068</v>
      </c>
      <c r="G38" s="8">
        <f t="shared" si="13"/>
        <v>343044</v>
      </c>
      <c r="H38" s="8">
        <f t="shared" si="13"/>
        <v>432320</v>
      </c>
      <c r="I38" s="8">
        <f t="shared" si="13"/>
        <v>390765</v>
      </c>
      <c r="J38" s="16">
        <v>512500</v>
      </c>
      <c r="K38" s="16">
        <f>J38*(1+K8)</f>
        <v>563750</v>
      </c>
      <c r="L38" s="16">
        <f>K38*(1+L8)</f>
        <v>591937.5</v>
      </c>
      <c r="M38" s="16">
        <f>L38*(1+M8)</f>
        <v>609695.625</v>
      </c>
      <c r="N38" s="16">
        <f>M38*(1+N8)</f>
        <v>621889.5375</v>
      </c>
      <c r="O38" s="16">
        <f>N38*(1+O8)</f>
        <v>634327.32825</v>
      </c>
      <c r="P38" s="7"/>
      <c r="Q38" s="7"/>
      <c r="R38" s="7"/>
      <c r="S38" s="7"/>
      <c r="T38" s="7"/>
      <c r="U38" s="7"/>
      <c r="V38" s="7"/>
      <c r="W38" s="7"/>
      <c r="X38" s="7"/>
      <c r="Y38" s="7"/>
      <c r="Z38" s="7"/>
      <c r="AA38" s="7"/>
      <c r="AB38" s="7"/>
      <c r="AC38" s="7"/>
      <c r="AD38" s="7"/>
      <c r="AE38" s="7"/>
      <c r="AF38" s="7"/>
      <c r="AG38" s="7"/>
      <c r="AH38" s="7"/>
      <c r="AI38" s="7"/>
      <c r="AJ38" s="7"/>
      <c r="AK38" s="7"/>
      <c r="AL38" s="7"/>
      <c r="AM38" s="7"/>
    </row>
    <row r="39" spans="2:39">
      <c r="B39" t="s">
        <v>40</v>
      </c>
      <c r="C39" s="8">
        <v>200742</v>
      </c>
      <c r="D39" s="8">
        <v>225753</v>
      </c>
      <c r="E39" s="8">
        <v>222519</v>
      </c>
      <c r="F39" s="8">
        <v>240995</v>
      </c>
      <c r="G39" s="8">
        <v>268387</v>
      </c>
      <c r="H39" s="8">
        <v>343164</v>
      </c>
      <c r="I39" s="8">
        <v>297132</v>
      </c>
      <c r="J39" s="16">
        <f t="shared" ref="J39:O39" si="14">J38*(1-J9)</f>
        <v>389697.516410119</v>
      </c>
      <c r="K39" s="16">
        <f t="shared" si="14"/>
        <v>405900</v>
      </c>
      <c r="L39" s="16">
        <f t="shared" si="14"/>
        <v>443953.125</v>
      </c>
      <c r="M39" s="16">
        <f t="shared" si="14"/>
        <v>457271.71875</v>
      </c>
      <c r="N39" s="16">
        <f t="shared" si="14"/>
        <v>466417.153125</v>
      </c>
      <c r="O39" s="16">
        <f t="shared" si="14"/>
        <v>507461.8626</v>
      </c>
      <c r="P39" s="7"/>
      <c r="Q39" s="7"/>
      <c r="R39" s="7"/>
      <c r="S39" s="7"/>
      <c r="T39" s="7"/>
      <c r="U39" s="7"/>
      <c r="V39" s="7"/>
      <c r="W39" s="7"/>
      <c r="X39" s="7"/>
      <c r="Y39" s="7"/>
      <c r="Z39" s="7"/>
      <c r="AA39" s="7"/>
      <c r="AB39" s="7"/>
      <c r="AC39" s="7"/>
      <c r="AD39" s="7"/>
      <c r="AE39" s="7"/>
      <c r="AF39" s="7"/>
      <c r="AG39" s="7"/>
      <c r="AH39" s="7"/>
      <c r="AI39" s="7"/>
      <c r="AJ39" s="7"/>
      <c r="AK39" s="7"/>
      <c r="AL39" s="7"/>
      <c r="AM39" s="7"/>
    </row>
    <row r="40" spans="2:39">
      <c r="B40" s="9" t="s">
        <v>41</v>
      </c>
      <c r="C40" s="8">
        <f t="shared" ref="C40:O40" si="15">C38-C39</f>
        <v>41511</v>
      </c>
      <c r="D40" s="8">
        <f t="shared" si="15"/>
        <v>48834</v>
      </c>
      <c r="E40" s="8">
        <f t="shared" si="15"/>
        <v>52904</v>
      </c>
      <c r="F40" s="8">
        <f t="shared" si="15"/>
        <v>64073</v>
      </c>
      <c r="G40" s="8">
        <f t="shared" si="15"/>
        <v>74657</v>
      </c>
      <c r="H40" s="8">
        <f t="shared" si="15"/>
        <v>89156</v>
      </c>
      <c r="I40" s="8">
        <f t="shared" si="15"/>
        <v>93633</v>
      </c>
      <c r="J40" s="16">
        <f t="shared" si="15"/>
        <v>122802.483589881</v>
      </c>
      <c r="K40" s="16">
        <f t="shared" si="15"/>
        <v>157850</v>
      </c>
      <c r="L40" s="16">
        <f t="shared" si="15"/>
        <v>147984.375</v>
      </c>
      <c r="M40" s="16">
        <f t="shared" si="15"/>
        <v>152423.90625</v>
      </c>
      <c r="N40" s="16">
        <f t="shared" si="15"/>
        <v>155472.384375</v>
      </c>
      <c r="O40" s="16">
        <f t="shared" si="15"/>
        <v>126865.46565</v>
      </c>
      <c r="P40" s="7"/>
      <c r="Q40" s="7"/>
      <c r="R40" s="7"/>
      <c r="S40" s="7"/>
      <c r="T40" s="7"/>
      <c r="U40" s="7"/>
      <c r="V40" s="7"/>
      <c r="W40" s="7"/>
      <c r="X40" s="7"/>
      <c r="Y40" s="7"/>
      <c r="Z40" s="7"/>
      <c r="AA40" s="7"/>
      <c r="AB40" s="7"/>
      <c r="AC40" s="7"/>
      <c r="AD40" s="7"/>
      <c r="AE40" s="7"/>
      <c r="AF40" s="7"/>
      <c r="AG40" s="7"/>
      <c r="AH40" s="7"/>
      <c r="AI40" s="7"/>
      <c r="AJ40" s="7"/>
      <c r="AK40" s="7"/>
      <c r="AL40" s="7"/>
      <c r="AM40" s="7"/>
    </row>
    <row r="41" spans="2:39">
      <c r="B41" t="s">
        <v>42</v>
      </c>
      <c r="C41" s="8">
        <v>3904</v>
      </c>
      <c r="D41" s="8">
        <v>4124</v>
      </c>
      <c r="E41" s="8">
        <v>4396</v>
      </c>
      <c r="F41" s="8">
        <v>9188</v>
      </c>
      <c r="G41" s="8">
        <v>10499</v>
      </c>
      <c r="H41" s="8">
        <v>12336</v>
      </c>
      <c r="I41" s="8">
        <v>11883</v>
      </c>
      <c r="J41" s="16">
        <f>(I41/9308)*I41</f>
        <v>15170.3576493339</v>
      </c>
      <c r="K41" s="16">
        <f>J41*(1+K8)</f>
        <v>16687.3934142673</v>
      </c>
      <c r="L41" s="16">
        <f>K41*(1+L8)</f>
        <v>17521.7630849807</v>
      </c>
      <c r="M41" s="16">
        <f>L41*(1+M8)</f>
        <v>18047.4159775301</v>
      </c>
      <c r="N41" s="16">
        <f>M41*(1+N8)</f>
        <v>18408.3642970807</v>
      </c>
      <c r="O41" s="16">
        <f>N41*(1+O8)</f>
        <v>18776.5315830223</v>
      </c>
      <c r="P41" s="7"/>
      <c r="Q41" s="7"/>
      <c r="R41" s="7"/>
      <c r="S41" s="7"/>
      <c r="T41" s="7"/>
      <c r="U41" s="7"/>
      <c r="V41" s="7"/>
      <c r="W41" s="7"/>
      <c r="X41" s="7"/>
      <c r="Y41" s="7"/>
      <c r="Z41" s="7"/>
      <c r="AA41" s="7"/>
      <c r="AB41" s="7"/>
      <c r="AC41" s="7"/>
      <c r="AD41" s="7"/>
      <c r="AE41" s="7"/>
      <c r="AF41" s="7"/>
      <c r="AG41" s="7"/>
      <c r="AH41" s="7"/>
      <c r="AI41" s="7"/>
      <c r="AJ41" s="7"/>
      <c r="AK41" s="7"/>
      <c r="AL41" s="7"/>
      <c r="AM41" s="7"/>
    </row>
    <row r="42" spans="2:39">
      <c r="B42" t="s">
        <v>43</v>
      </c>
      <c r="C42" s="8">
        <v>16924</v>
      </c>
      <c r="D42" s="8">
        <v>18893</v>
      </c>
      <c r="E42" s="8">
        <v>20718</v>
      </c>
      <c r="F42" s="8">
        <v>24829</v>
      </c>
      <c r="G42" s="8">
        <v>35592</v>
      </c>
      <c r="H42" s="8">
        <v>38012</v>
      </c>
      <c r="I42" s="8">
        <v>39230</v>
      </c>
      <c r="J42" s="16">
        <f>(I42/28034)*I42</f>
        <v>54897.37104944</v>
      </c>
      <c r="K42" s="16">
        <f>J42*(1+K8)</f>
        <v>60387.108154384</v>
      </c>
      <c r="L42" s="16">
        <f>K42*(1+L8)</f>
        <v>63406.4635621032</v>
      </c>
      <c r="M42" s="16">
        <f>L42*(1+M8)</f>
        <v>65308.6574689663</v>
      </c>
      <c r="N42" s="16">
        <f>M42*(1+N8)</f>
        <v>66614.8306183456</v>
      </c>
      <c r="O42" s="16">
        <f>N42*(1+O8)</f>
        <v>67947.1272307125</v>
      </c>
      <c r="P42" s="7"/>
      <c r="Q42" s="7"/>
      <c r="R42" s="7"/>
      <c r="S42" s="7"/>
      <c r="T42" s="7"/>
      <c r="U42" s="7"/>
      <c r="V42" s="7"/>
      <c r="W42" s="7"/>
      <c r="X42" s="7"/>
      <c r="Y42" s="7"/>
      <c r="Z42" s="7"/>
      <c r="AA42" s="7"/>
      <c r="AB42" s="7"/>
      <c r="AC42" s="7"/>
      <c r="AD42" s="7"/>
      <c r="AE42" s="7"/>
      <c r="AF42" s="7"/>
      <c r="AG42" s="7"/>
      <c r="AH42" s="7"/>
      <c r="AI42" s="7"/>
      <c r="AJ42" s="7"/>
      <c r="AK42" s="7"/>
      <c r="AL42" s="7"/>
      <c r="AM42" s="7"/>
    </row>
    <row r="43" spans="2:39">
      <c r="B43" t="s">
        <v>44</v>
      </c>
      <c r="C43" s="8"/>
      <c r="D43" s="8"/>
      <c r="E43" s="8"/>
      <c r="F43" s="8"/>
      <c r="G43" s="8">
        <v>1420</v>
      </c>
      <c r="H43" s="8">
        <v>1998</v>
      </c>
      <c r="I43" s="8">
        <v>3013</v>
      </c>
      <c r="J43" s="17">
        <v>4000</v>
      </c>
      <c r="K43" s="16">
        <f>J43*(1+K8)</f>
        <v>4400</v>
      </c>
      <c r="L43" s="16">
        <f>K43*(1+L8)</f>
        <v>4620</v>
      </c>
      <c r="M43" s="16">
        <f>L43*(1+M8)</f>
        <v>4758.6</v>
      </c>
      <c r="N43" s="16">
        <f>M43*(1+N8)</f>
        <v>4853.772</v>
      </c>
      <c r="O43" s="16">
        <f>N43*(1+O8)</f>
        <v>4950.84744</v>
      </c>
      <c r="P43" s="7"/>
      <c r="Q43" s="7"/>
      <c r="R43" s="7"/>
      <c r="S43" s="7"/>
      <c r="T43" s="7"/>
      <c r="U43" s="7"/>
      <c r="V43" s="7"/>
      <c r="W43" s="7"/>
      <c r="X43" s="7"/>
      <c r="Y43" s="7"/>
      <c r="Z43" s="7"/>
      <c r="AA43" s="7"/>
      <c r="AB43" s="7"/>
      <c r="AC43" s="7"/>
      <c r="AD43" s="7"/>
      <c r="AE43" s="7"/>
      <c r="AF43" s="7"/>
      <c r="AG43" s="7"/>
      <c r="AH43" s="7"/>
      <c r="AI43" s="7"/>
      <c r="AJ43" s="7"/>
      <c r="AK43" s="7"/>
      <c r="AL43" s="7"/>
      <c r="AM43" s="7"/>
    </row>
    <row r="44" spans="2:39">
      <c r="B44" t="s">
        <v>45</v>
      </c>
      <c r="C44" s="8">
        <v>3461</v>
      </c>
      <c r="D44" s="8">
        <v>3804</v>
      </c>
      <c r="E44" s="8">
        <v>4319</v>
      </c>
      <c r="F44" s="8">
        <v>4721</v>
      </c>
      <c r="G44" s="8"/>
      <c r="H44" s="8"/>
      <c r="I44" s="8"/>
      <c r="J44" s="16"/>
      <c r="K44" s="16"/>
      <c r="L44" s="16"/>
      <c r="M44" s="16"/>
      <c r="N44" s="16"/>
      <c r="O44" s="16"/>
      <c r="P44" s="7"/>
      <c r="Q44" s="7"/>
      <c r="R44" s="7"/>
      <c r="S44" s="7"/>
      <c r="T44" s="7"/>
      <c r="U44" s="7"/>
      <c r="V44" s="7"/>
      <c r="W44" s="7"/>
      <c r="X44" s="7"/>
      <c r="Y44" s="7"/>
      <c r="Z44" s="7"/>
      <c r="AA44" s="7"/>
      <c r="AB44" s="7"/>
      <c r="AC44" s="7"/>
      <c r="AD44" s="7"/>
      <c r="AE44" s="7"/>
      <c r="AF44" s="7"/>
      <c r="AG44" s="7"/>
      <c r="AH44" s="7"/>
      <c r="AI44" s="7"/>
      <c r="AJ44" s="7"/>
      <c r="AK44" s="7"/>
      <c r="AL44" s="7"/>
      <c r="AM44" s="7"/>
    </row>
    <row r="45" spans="2:39">
      <c r="B45" s="9" t="s">
        <v>46</v>
      </c>
      <c r="C45" s="8">
        <f t="shared" ref="C45:O45" si="16">SUM(C41:C44)</f>
        <v>24289</v>
      </c>
      <c r="D45" s="8">
        <f t="shared" si="16"/>
        <v>26821</v>
      </c>
      <c r="E45" s="8">
        <f t="shared" si="16"/>
        <v>29433</v>
      </c>
      <c r="F45" s="8">
        <f t="shared" si="16"/>
        <v>38738</v>
      </c>
      <c r="G45" s="8">
        <f t="shared" si="16"/>
        <v>47511</v>
      </c>
      <c r="H45" s="8">
        <f t="shared" si="16"/>
        <v>52346</v>
      </c>
      <c r="I45" s="8">
        <f t="shared" si="16"/>
        <v>54126</v>
      </c>
      <c r="J45" s="16">
        <f t="shared" ref="J45:O45" si="17">J38*J10</f>
        <v>70987.8699474109</v>
      </c>
      <c r="K45" s="16">
        <f t="shared" si="17"/>
        <v>78925</v>
      </c>
      <c r="L45" s="16">
        <f t="shared" si="17"/>
        <v>82871.25</v>
      </c>
      <c r="M45" s="16">
        <f t="shared" si="17"/>
        <v>85357.3875</v>
      </c>
      <c r="N45" s="16">
        <f t="shared" si="17"/>
        <v>87064.53525</v>
      </c>
      <c r="O45" s="16">
        <f t="shared" si="17"/>
        <v>88805.825955</v>
      </c>
      <c r="P45" s="7"/>
      <c r="Q45" s="7"/>
      <c r="R45" s="7"/>
      <c r="S45" s="7"/>
      <c r="T45" s="7"/>
      <c r="U45" s="7"/>
      <c r="V45" s="7"/>
      <c r="W45" s="7"/>
      <c r="X45" s="7"/>
      <c r="Y45" s="7"/>
      <c r="Z45" s="7"/>
      <c r="AA45" s="7"/>
      <c r="AB45" s="7"/>
      <c r="AC45" s="7"/>
      <c r="AD45" s="7"/>
      <c r="AE45" s="7"/>
      <c r="AF45" s="7"/>
      <c r="AG45" s="7"/>
      <c r="AH45" s="7"/>
      <c r="AI45" s="7"/>
      <c r="AJ45" s="7"/>
      <c r="AK45" s="7"/>
      <c r="AL45" s="7"/>
      <c r="AM45" s="7"/>
    </row>
    <row r="46" spans="2:39">
      <c r="B46" s="9" t="s">
        <v>47</v>
      </c>
      <c r="C46" s="8">
        <f t="shared" ref="C46:O46" si="18">C40-C45</f>
        <v>17222</v>
      </c>
      <c r="D46" s="8">
        <f t="shared" si="18"/>
        <v>22013</v>
      </c>
      <c r="E46" s="8">
        <f t="shared" si="18"/>
        <v>23471</v>
      </c>
      <c r="F46" s="8">
        <f t="shared" si="18"/>
        <v>25335</v>
      </c>
      <c r="G46" s="8">
        <f t="shared" si="18"/>
        <v>27146</v>
      </c>
      <c r="H46" s="8">
        <f t="shared" si="18"/>
        <v>36810</v>
      </c>
      <c r="I46" s="8">
        <f t="shared" si="18"/>
        <v>39507</v>
      </c>
      <c r="J46" s="16">
        <f t="shared" si="18"/>
        <v>51814.6136424705</v>
      </c>
      <c r="K46" s="16">
        <f t="shared" si="18"/>
        <v>78925</v>
      </c>
      <c r="L46" s="16">
        <f t="shared" si="18"/>
        <v>65113.125</v>
      </c>
      <c r="M46" s="16">
        <f t="shared" si="18"/>
        <v>67066.51875</v>
      </c>
      <c r="N46" s="16">
        <f t="shared" si="18"/>
        <v>68407.849125</v>
      </c>
      <c r="O46" s="16">
        <f t="shared" si="18"/>
        <v>38059.639695</v>
      </c>
      <c r="P46" s="7"/>
      <c r="Q46" s="7"/>
      <c r="R46" s="7"/>
      <c r="S46" s="7"/>
      <c r="T46" s="7"/>
      <c r="U46" s="7"/>
      <c r="V46" s="7"/>
      <c r="W46" s="7"/>
      <c r="X46" s="7"/>
      <c r="Y46" s="7"/>
      <c r="Z46" s="7"/>
      <c r="AA46" s="7"/>
      <c r="AB46" s="7"/>
      <c r="AC46" s="7"/>
      <c r="AD46" s="7"/>
      <c r="AE46" s="7"/>
      <c r="AF46" s="7"/>
      <c r="AG46" s="7"/>
      <c r="AH46" s="7"/>
      <c r="AI46" s="7"/>
      <c r="AJ46" s="7"/>
      <c r="AK46" s="7"/>
      <c r="AL46" s="7"/>
      <c r="AM46" s="7"/>
    </row>
    <row r="47" spans="2:39">
      <c r="B47" t="s">
        <v>48</v>
      </c>
      <c r="C47" s="8">
        <v>1285</v>
      </c>
      <c r="D47" s="8">
        <v>1290</v>
      </c>
      <c r="E47" s="8">
        <v>1490</v>
      </c>
      <c r="F47" s="8">
        <v>1807</v>
      </c>
      <c r="G47" s="8">
        <v>2220</v>
      </c>
      <c r="H47" s="8">
        <v>2976</v>
      </c>
      <c r="I47" s="8">
        <v>3172</v>
      </c>
      <c r="J47" s="16">
        <f>(I47/2007)*I47</f>
        <v>5013.24564025909</v>
      </c>
      <c r="K47" s="16">
        <f>J47*(1+K8)</f>
        <v>5514.570204285</v>
      </c>
      <c r="L47" s="16">
        <f>K47*(1+L8)</f>
        <v>5790.29871449925</v>
      </c>
      <c r="M47" s="16">
        <f>L47*(1+M8)</f>
        <v>5964.00767593423</v>
      </c>
      <c r="N47" s="16">
        <f>M47*(1+N8)</f>
        <v>6083.28782945291</v>
      </c>
      <c r="O47" s="16">
        <f>N47*(1+O8)</f>
        <v>6204.95358604197</v>
      </c>
      <c r="P47" s="7"/>
      <c r="Q47" s="7"/>
      <c r="R47" s="7"/>
      <c r="S47" s="7"/>
      <c r="T47" s="7"/>
      <c r="U47" s="7"/>
      <c r="V47" s="7"/>
      <c r="W47" s="7"/>
      <c r="X47" s="7"/>
      <c r="Y47" s="7"/>
      <c r="Z47" s="7"/>
      <c r="AA47" s="7"/>
      <c r="AB47" s="7"/>
      <c r="AC47" s="7"/>
      <c r="AD47" s="7"/>
      <c r="AE47" s="7"/>
      <c r="AF47" s="7"/>
      <c r="AG47" s="7"/>
      <c r="AH47" s="7"/>
      <c r="AI47" s="7"/>
      <c r="AJ47" s="7"/>
      <c r="AK47" s="7"/>
      <c r="AL47" s="7"/>
      <c r="AM47" s="7"/>
    </row>
    <row r="48" spans="2:39">
      <c r="B48" t="s">
        <v>49</v>
      </c>
      <c r="C48" s="8"/>
      <c r="D48" s="8"/>
      <c r="E48" s="8"/>
      <c r="F48" s="8">
        <v>0</v>
      </c>
      <c r="G48" s="8">
        <v>0</v>
      </c>
      <c r="H48" s="8">
        <v>2771</v>
      </c>
      <c r="I48" s="8">
        <v>2273</v>
      </c>
      <c r="J48" s="16">
        <f>(I48/2007)*I48</f>
        <v>2574.25460886896</v>
      </c>
      <c r="K48" s="16">
        <f>J48*(1+K8)</f>
        <v>2831.68006975586</v>
      </c>
      <c r="L48" s="16">
        <f>K48*(1+L8)</f>
        <v>2973.26407324365</v>
      </c>
      <c r="M48" s="16">
        <f>L48*(1+M8)</f>
        <v>3062.46199544096</v>
      </c>
      <c r="N48" s="16">
        <f>M48*(1+N8)</f>
        <v>3123.71123534978</v>
      </c>
      <c r="O48" s="16">
        <f>N48*(1+O8)</f>
        <v>3186.18546005678</v>
      </c>
      <c r="P48" s="7"/>
      <c r="Q48" s="7"/>
      <c r="R48" s="7"/>
      <c r="S48" s="7"/>
      <c r="T48" s="7"/>
      <c r="U48" s="7"/>
      <c r="V48" s="7"/>
      <c r="W48" s="7"/>
      <c r="X48" s="7"/>
      <c r="Y48" s="7"/>
      <c r="Z48" s="7"/>
      <c r="AA48" s="7"/>
      <c r="AB48" s="7"/>
      <c r="AC48" s="7"/>
      <c r="AD48" s="7"/>
      <c r="AE48" s="7"/>
      <c r="AF48" s="7"/>
      <c r="AG48" s="7"/>
      <c r="AH48" s="7"/>
      <c r="AI48" s="7"/>
      <c r="AJ48" s="7"/>
      <c r="AK48" s="7"/>
      <c r="AL48" s="7"/>
      <c r="AM48" s="7"/>
    </row>
    <row r="49" spans="2:39">
      <c r="B49" t="s">
        <v>50</v>
      </c>
      <c r="C49" s="8">
        <v>1431</v>
      </c>
      <c r="D49" s="8">
        <v>1348</v>
      </c>
      <c r="E49" s="8">
        <v>1093</v>
      </c>
      <c r="F49" s="8">
        <v>1193</v>
      </c>
      <c r="G49" s="8">
        <v>3168</v>
      </c>
      <c r="H49" s="8">
        <v>5166</v>
      </c>
      <c r="I49" s="8">
        <v>8359</v>
      </c>
      <c r="J49" s="16">
        <f>I49</f>
        <v>8359</v>
      </c>
      <c r="K49" s="16">
        <f>J49*(1+K8)</f>
        <v>9194.9</v>
      </c>
      <c r="L49" s="16">
        <f>K49*(1+L8)</f>
        <v>9654.645</v>
      </c>
      <c r="M49" s="16">
        <f>L49*(1+M8)</f>
        <v>9944.28435</v>
      </c>
      <c r="N49" s="16">
        <f>M49*(1+N8)</f>
        <v>10143.170037</v>
      </c>
      <c r="O49" s="16">
        <f>N49*(1+O8)</f>
        <v>10346.03343774</v>
      </c>
      <c r="P49" s="7"/>
      <c r="Q49" s="7"/>
      <c r="R49" s="7"/>
      <c r="S49" s="7"/>
      <c r="T49" s="7"/>
      <c r="U49" s="7"/>
      <c r="V49" s="7"/>
      <c r="W49" s="7"/>
      <c r="X49" s="7"/>
      <c r="Y49" s="7"/>
      <c r="Z49" s="7"/>
      <c r="AA49" s="7"/>
      <c r="AB49" s="7"/>
      <c r="AC49" s="7"/>
      <c r="AD49" s="7"/>
      <c r="AE49" s="7"/>
      <c r="AF49" s="7"/>
      <c r="AG49" s="7"/>
      <c r="AH49" s="7"/>
      <c r="AI49" s="7"/>
      <c r="AJ49" s="7"/>
      <c r="AK49" s="7"/>
      <c r="AL49" s="7"/>
      <c r="AM49" s="7"/>
    </row>
    <row r="50" spans="2:39">
      <c r="B50" t="s">
        <v>51</v>
      </c>
      <c r="C50" s="8"/>
      <c r="D50" s="8"/>
      <c r="E50" s="8"/>
      <c r="F50" s="8">
        <v>0</v>
      </c>
      <c r="G50" s="8">
        <v>0</v>
      </c>
      <c r="H50" s="8">
        <v>-101</v>
      </c>
      <c r="I50" s="8">
        <v>0</v>
      </c>
      <c r="J50" s="16">
        <f>I50</f>
        <v>0</v>
      </c>
      <c r="K50" s="16">
        <f>J50*(1+K8)</f>
        <v>0</v>
      </c>
      <c r="L50" s="16">
        <f>K50*(1+L8)</f>
        <v>0</v>
      </c>
      <c r="M50" s="16">
        <f>L50*(1+M8)</f>
        <v>0</v>
      </c>
      <c r="N50" s="16">
        <f>M50*(1+N8)</f>
        <v>0</v>
      </c>
      <c r="O50" s="16">
        <f>N50*(1+O8)</f>
        <v>0</v>
      </c>
      <c r="P50" s="7"/>
      <c r="Q50" s="7"/>
      <c r="R50" s="7"/>
      <c r="S50" s="7"/>
      <c r="T50" s="7"/>
      <c r="U50" s="7"/>
      <c r="V50" s="7"/>
      <c r="W50" s="7"/>
      <c r="X50" s="7"/>
      <c r="Y50" s="7"/>
      <c r="Z50" s="7"/>
      <c r="AA50" s="7"/>
      <c r="AB50" s="7"/>
      <c r="AC50" s="7"/>
      <c r="AD50" s="7"/>
      <c r="AE50" s="7"/>
      <c r="AF50" s="7"/>
      <c r="AG50" s="7"/>
      <c r="AH50" s="7"/>
      <c r="AI50" s="7"/>
      <c r="AJ50" s="7"/>
      <c r="AK50" s="7"/>
      <c r="AL50" s="7"/>
      <c r="AM50" s="7"/>
    </row>
    <row r="51" spans="2:39">
      <c r="B51" t="s">
        <v>52</v>
      </c>
      <c r="C51" s="8"/>
      <c r="D51" s="8"/>
      <c r="E51" s="8"/>
      <c r="F51" s="8">
        <v>0</v>
      </c>
      <c r="G51" s="8">
        <v>-4149</v>
      </c>
      <c r="H51" s="8">
        <v>-1882</v>
      </c>
      <c r="I51" s="8">
        <v>6780</v>
      </c>
      <c r="J51" s="16">
        <f>I51</f>
        <v>6780</v>
      </c>
      <c r="K51" s="17">
        <v>0</v>
      </c>
      <c r="L51" s="17">
        <v>0</v>
      </c>
      <c r="M51" s="17">
        <v>0</v>
      </c>
      <c r="N51" s="17">
        <v>0</v>
      </c>
      <c r="O51" s="17">
        <v>0</v>
      </c>
      <c r="P51" s="7"/>
      <c r="Q51" s="7"/>
      <c r="R51" s="7"/>
      <c r="S51" s="7"/>
      <c r="T51" s="7"/>
      <c r="U51" s="7"/>
      <c r="V51" s="7"/>
      <c r="W51" s="7"/>
      <c r="X51" s="7"/>
      <c r="Y51" s="7"/>
      <c r="Z51" s="7"/>
      <c r="AA51" s="7"/>
      <c r="AB51" s="7"/>
      <c r="AC51" s="7"/>
      <c r="AD51" s="7"/>
      <c r="AE51" s="7"/>
      <c r="AF51" s="7"/>
      <c r="AG51" s="7"/>
      <c r="AH51" s="7"/>
      <c r="AI51" s="7"/>
      <c r="AJ51" s="7"/>
      <c r="AK51" s="7"/>
      <c r="AL51" s="7"/>
      <c r="AM51" s="7"/>
    </row>
    <row r="52" spans="2:39">
      <c r="B52" t="s">
        <v>53</v>
      </c>
      <c r="C52" s="8">
        <v>1069</v>
      </c>
      <c r="D52" s="8">
        <v>642</v>
      </c>
      <c r="E52" s="8"/>
      <c r="F52" s="8"/>
      <c r="G52" s="8"/>
      <c r="H52" s="8"/>
      <c r="I52" s="8">
        <v>3100</v>
      </c>
      <c r="J52" s="16">
        <f>I52</f>
        <v>3100</v>
      </c>
      <c r="K52" s="17">
        <v>0</v>
      </c>
      <c r="L52" s="17">
        <v>0</v>
      </c>
      <c r="M52" s="17">
        <v>0</v>
      </c>
      <c r="N52" s="17">
        <v>0</v>
      </c>
      <c r="O52" s="17">
        <v>0</v>
      </c>
      <c r="P52" s="7"/>
      <c r="Q52" s="7"/>
      <c r="R52" s="7"/>
      <c r="S52" s="7"/>
      <c r="T52" s="7"/>
      <c r="U52" s="7"/>
      <c r="V52" s="7"/>
      <c r="W52" s="7"/>
      <c r="X52" s="7"/>
      <c r="Y52" s="7"/>
      <c r="Z52" s="7"/>
      <c r="AA52" s="7"/>
      <c r="AB52" s="7"/>
      <c r="AC52" s="7"/>
      <c r="AD52" s="7"/>
      <c r="AE52" s="7"/>
      <c r="AF52" s="7"/>
      <c r="AG52" s="7"/>
      <c r="AH52" s="7"/>
      <c r="AI52" s="7"/>
      <c r="AJ52" s="7"/>
      <c r="AK52" s="7"/>
      <c r="AL52" s="7"/>
      <c r="AM52" s="7"/>
    </row>
    <row r="53" spans="2:39">
      <c r="B53" s="9" t="s">
        <v>54</v>
      </c>
      <c r="C53" s="8">
        <f t="shared" ref="C53:O53" si="19">SUM(C47:C52)</f>
        <v>3785</v>
      </c>
      <c r="D53" s="8">
        <f t="shared" si="19"/>
        <v>3280</v>
      </c>
      <c r="E53" s="8">
        <f t="shared" si="19"/>
        <v>2583</v>
      </c>
      <c r="F53" s="8">
        <f t="shared" si="19"/>
        <v>3000</v>
      </c>
      <c r="G53" s="8">
        <f t="shared" si="19"/>
        <v>1239</v>
      </c>
      <c r="H53" s="8">
        <f t="shared" si="19"/>
        <v>8930</v>
      </c>
      <c r="I53" s="8">
        <f t="shared" si="19"/>
        <v>23684</v>
      </c>
      <c r="J53" s="16">
        <f t="shared" ref="J53:O53" si="20">J38*J11</f>
        <v>31062.2752805395</v>
      </c>
      <c r="K53" s="16">
        <f t="shared" si="20"/>
        <v>22550</v>
      </c>
      <c r="L53" s="16">
        <f t="shared" si="20"/>
        <v>7009.46004474883</v>
      </c>
      <c r="M53" s="16">
        <f t="shared" si="20"/>
        <v>7219.74384609129</v>
      </c>
      <c r="N53" s="16">
        <f t="shared" si="20"/>
        <v>7364.13872301312</v>
      </c>
      <c r="O53" s="16">
        <f t="shared" si="20"/>
        <v>7511.42149747338</v>
      </c>
      <c r="P53" s="7"/>
      <c r="Q53" s="7"/>
      <c r="R53" s="7"/>
      <c r="S53" s="7"/>
      <c r="T53" s="7"/>
      <c r="U53" s="7"/>
      <c r="V53" s="7"/>
      <c r="W53" s="7"/>
      <c r="X53" s="7"/>
      <c r="Y53" s="7"/>
      <c r="Z53" s="7"/>
      <c r="AA53" s="7"/>
      <c r="AB53" s="7"/>
      <c r="AC53" s="7"/>
      <c r="AD53" s="7"/>
      <c r="AE53" s="7"/>
      <c r="AF53" s="7"/>
      <c r="AG53" s="7"/>
      <c r="AH53" s="7"/>
      <c r="AI53" s="7"/>
      <c r="AJ53" s="7"/>
      <c r="AK53" s="7"/>
      <c r="AL53" s="7"/>
      <c r="AM53" s="7"/>
    </row>
    <row r="54" spans="2:39">
      <c r="B54" s="9" t="s">
        <v>55</v>
      </c>
      <c r="C54" s="8">
        <f t="shared" ref="C54:O54" si="21">C46-C53</f>
        <v>13437</v>
      </c>
      <c r="D54" s="8">
        <f t="shared" si="21"/>
        <v>18733</v>
      </c>
      <c r="E54" s="8">
        <f t="shared" si="21"/>
        <v>20888</v>
      </c>
      <c r="F54" s="8">
        <f t="shared" si="21"/>
        <v>22335</v>
      </c>
      <c r="G54" s="8">
        <f t="shared" si="21"/>
        <v>25907</v>
      </c>
      <c r="H54" s="8">
        <f t="shared" si="21"/>
        <v>27880</v>
      </c>
      <c r="I54" s="8">
        <f t="shared" si="21"/>
        <v>15823</v>
      </c>
      <c r="J54" s="16">
        <f t="shared" si="21"/>
        <v>20752.3383619311</v>
      </c>
      <c r="K54" s="16">
        <f t="shared" si="21"/>
        <v>56375</v>
      </c>
      <c r="L54" s="16">
        <f t="shared" si="21"/>
        <v>58103.6649552512</v>
      </c>
      <c r="M54" s="16">
        <f t="shared" si="21"/>
        <v>59846.7749039087</v>
      </c>
      <c r="N54" s="16">
        <f t="shared" si="21"/>
        <v>61043.7104019869</v>
      </c>
      <c r="O54" s="16">
        <f t="shared" si="21"/>
        <v>30548.2181975266</v>
      </c>
      <c r="P54" s="7"/>
      <c r="Q54" s="7"/>
      <c r="R54" s="7"/>
      <c r="S54" s="7"/>
      <c r="T54" s="7"/>
      <c r="U54" s="7"/>
      <c r="V54" s="7"/>
      <c r="W54" s="7"/>
      <c r="X54" s="7"/>
      <c r="Y54" s="7"/>
      <c r="Z54" s="7"/>
      <c r="AA54" s="7"/>
      <c r="AB54" s="7"/>
      <c r="AC54" s="7"/>
      <c r="AD54" s="7"/>
      <c r="AE54" s="7"/>
      <c r="AF54" s="7"/>
      <c r="AG54" s="7"/>
      <c r="AH54" s="7"/>
      <c r="AI54" s="7"/>
      <c r="AJ54" s="7"/>
      <c r="AK54" s="7"/>
      <c r="AL54" s="7"/>
      <c r="AM54" s="7"/>
    </row>
    <row r="55" spans="2:39">
      <c r="B55" s="10" t="s">
        <v>56</v>
      </c>
      <c r="C55" s="8"/>
      <c r="D55" s="8"/>
      <c r="E55" s="8"/>
      <c r="F55" s="8">
        <v>93</v>
      </c>
      <c r="G55" s="8">
        <v>0</v>
      </c>
      <c r="H55" s="8">
        <v>0</v>
      </c>
      <c r="I55" s="8"/>
      <c r="J55" s="16"/>
      <c r="K55" s="16"/>
      <c r="L55" s="16"/>
      <c r="M55" s="16"/>
      <c r="N55" s="16"/>
      <c r="O55" s="16"/>
      <c r="P55" s="7"/>
      <c r="Q55" s="7"/>
      <c r="R55" s="7"/>
      <c r="S55" s="7"/>
      <c r="T55" s="7"/>
      <c r="U55" s="7"/>
      <c r="V55" s="7"/>
      <c r="W55" s="7"/>
      <c r="X55" s="7"/>
      <c r="Y55" s="7"/>
      <c r="Z55" s="7"/>
      <c r="AA55" s="7"/>
      <c r="AB55" s="7"/>
      <c r="AC55" s="7"/>
      <c r="AD55" s="7"/>
      <c r="AE55" s="7"/>
      <c r="AF55" s="7"/>
      <c r="AG55" s="7"/>
      <c r="AH55" s="7"/>
      <c r="AI55" s="7"/>
      <c r="AJ55" s="7"/>
      <c r="AK55" s="7"/>
      <c r="AL55" s="7"/>
      <c r="AM55" s="7"/>
    </row>
    <row r="56" spans="2:39">
      <c r="B56" t="s">
        <v>57</v>
      </c>
      <c r="C56" s="8"/>
      <c r="D56" s="8"/>
      <c r="E56" s="8"/>
      <c r="F56" s="8">
        <v>0</v>
      </c>
      <c r="G56" s="8">
        <v>0</v>
      </c>
      <c r="H56" s="8">
        <v>475</v>
      </c>
      <c r="I56" s="8">
        <v>343</v>
      </c>
      <c r="J56" s="16">
        <f>H56</f>
        <v>475</v>
      </c>
      <c r="K56" s="16">
        <f>J56*(1+K8)</f>
        <v>522.5</v>
      </c>
      <c r="L56" s="16">
        <f>K56*(1+L8)</f>
        <v>548.625</v>
      </c>
      <c r="M56" s="16">
        <f>L56*(1+M8)</f>
        <v>565.08375</v>
      </c>
      <c r="N56" s="16">
        <f>M56*(1+N8)</f>
        <v>576.385425</v>
      </c>
      <c r="O56" s="16">
        <f>N56*(1+O8)</f>
        <v>587.9131335</v>
      </c>
      <c r="P56" s="7"/>
      <c r="Q56" s="7"/>
      <c r="R56" s="7"/>
      <c r="S56" s="7"/>
      <c r="T56" s="7"/>
      <c r="U56" s="7"/>
      <c r="V56" s="7"/>
      <c r="W56" s="7"/>
      <c r="X56" s="7"/>
      <c r="Y56" s="7"/>
      <c r="Z56" s="7"/>
      <c r="AA56" s="7"/>
      <c r="AB56" s="7"/>
      <c r="AC56" s="7"/>
      <c r="AD56" s="7"/>
      <c r="AE56" s="7"/>
      <c r="AF56" s="7"/>
      <c r="AG56" s="7"/>
      <c r="AH56" s="7"/>
      <c r="AI56" s="7"/>
      <c r="AJ56" s="7"/>
      <c r="AK56" s="7"/>
      <c r="AL56" s="7"/>
      <c r="AM56" s="7"/>
    </row>
    <row r="57" spans="2:39">
      <c r="B57" t="s">
        <v>58</v>
      </c>
      <c r="C57" s="8">
        <v>-87</v>
      </c>
      <c r="D57" s="8">
        <v>-37</v>
      </c>
      <c r="E57" s="8">
        <v>-165</v>
      </c>
      <c r="F57" s="8">
        <v>-320</v>
      </c>
      <c r="G57" s="8">
        <v>36</v>
      </c>
      <c r="H57" s="8">
        <v>185</v>
      </c>
      <c r="I57" s="8">
        <v>297</v>
      </c>
      <c r="J57" s="16">
        <f>(I57/166)*I57</f>
        <v>531.379518072289</v>
      </c>
      <c r="K57" s="16">
        <f>J57*(1+K8)</f>
        <v>584.517469879518</v>
      </c>
      <c r="L57" s="16">
        <f>K57*(1+L8)</f>
        <v>613.743343373494</v>
      </c>
      <c r="M57" s="16">
        <f>L57*(1+M8)</f>
        <v>632.155643674699</v>
      </c>
      <c r="N57" s="16">
        <f>M57*(1+N8)</f>
        <v>644.798756548193</v>
      </c>
      <c r="O57" s="16">
        <f>N57*(1+O8)</f>
        <v>657.694731679157</v>
      </c>
      <c r="P57" s="7"/>
      <c r="Q57" s="7"/>
      <c r="R57" s="7"/>
      <c r="S57" s="7"/>
      <c r="T57" s="7"/>
      <c r="U57" s="7"/>
      <c r="V57" s="7"/>
      <c r="W57" s="7"/>
      <c r="X57" s="7"/>
      <c r="Y57" s="7"/>
      <c r="Z57" s="7"/>
      <c r="AA57" s="7"/>
      <c r="AB57" s="7"/>
      <c r="AC57" s="7"/>
      <c r="AD57" s="7"/>
      <c r="AE57" s="7"/>
      <c r="AF57" s="7"/>
      <c r="AG57" s="7"/>
      <c r="AH57" s="7"/>
      <c r="AI57" s="7"/>
      <c r="AJ57" s="7"/>
      <c r="AK57" s="7"/>
      <c r="AL57" s="7"/>
      <c r="AM57" s="7"/>
    </row>
    <row r="58" spans="2:39">
      <c r="B58" s="9" t="s">
        <v>59</v>
      </c>
      <c r="C58" s="8">
        <f t="shared" ref="C58:O58" si="22">C54-C55-C56-C57</f>
        <v>13524</v>
      </c>
      <c r="D58" s="8">
        <f t="shared" si="22"/>
        <v>18770</v>
      </c>
      <c r="E58" s="8">
        <f t="shared" si="22"/>
        <v>21053</v>
      </c>
      <c r="F58" s="8">
        <f t="shared" si="22"/>
        <v>22562</v>
      </c>
      <c r="G58" s="8">
        <f t="shared" si="22"/>
        <v>25871</v>
      </c>
      <c r="H58" s="8">
        <f t="shared" si="22"/>
        <v>27220</v>
      </c>
      <c r="I58" s="8">
        <f t="shared" si="22"/>
        <v>15183</v>
      </c>
      <c r="J58" s="16">
        <f t="shared" si="22"/>
        <v>19745.9588438588</v>
      </c>
      <c r="K58" s="16">
        <f t="shared" si="22"/>
        <v>55267.9825301205</v>
      </c>
      <c r="L58" s="16">
        <f t="shared" si="22"/>
        <v>56941.2966118777</v>
      </c>
      <c r="M58" s="16">
        <f t="shared" si="22"/>
        <v>58649.535510234</v>
      </c>
      <c r="N58" s="16">
        <f t="shared" si="22"/>
        <v>59822.5262204387</v>
      </c>
      <c r="O58" s="16">
        <f t="shared" si="22"/>
        <v>29302.6103323474</v>
      </c>
      <c r="P58" s="7"/>
      <c r="Q58" s="7"/>
      <c r="R58" s="7"/>
      <c r="S58" s="7"/>
      <c r="T58" s="7"/>
      <c r="U58" s="7"/>
      <c r="V58" s="7"/>
      <c r="W58" s="7"/>
      <c r="X58" s="7"/>
      <c r="Y58" s="7"/>
      <c r="Z58" s="7"/>
      <c r="AA58" s="7"/>
      <c r="AB58" s="7"/>
      <c r="AC58" s="7"/>
      <c r="AD58" s="7"/>
      <c r="AE58" s="7"/>
      <c r="AF58" s="7"/>
      <c r="AG58" s="7"/>
      <c r="AH58" s="7"/>
      <c r="AI58" s="7"/>
      <c r="AJ58" s="7"/>
      <c r="AK58" s="7"/>
      <c r="AL58" s="7"/>
      <c r="AM58" s="7"/>
    </row>
    <row r="59" spans="2:39">
      <c r="B59" t="s">
        <v>60</v>
      </c>
      <c r="C59" s="8">
        <v>4068</v>
      </c>
      <c r="D59" s="8">
        <v>5343</v>
      </c>
      <c r="E59" s="8">
        <v>5613</v>
      </c>
      <c r="F59" s="8">
        <v>6645</v>
      </c>
      <c r="G59" s="8">
        <v>6318</v>
      </c>
      <c r="H59" s="8">
        <v>8171</v>
      </c>
      <c r="I59" s="8">
        <v>6647</v>
      </c>
      <c r="J59" s="16">
        <f>J58*J29</f>
        <v>5199.14826457228</v>
      </c>
      <c r="K59" s="16">
        <f>K58*J29</f>
        <v>14552.1642038292</v>
      </c>
      <c r="L59" s="16">
        <f>L58*J29</f>
        <v>14992.7509625198</v>
      </c>
      <c r="M59" s="16">
        <f>M58*J29</f>
        <v>15442.5334913954</v>
      </c>
      <c r="N59" s="16">
        <f>N58*J29</f>
        <v>15751.3841612233</v>
      </c>
      <c r="O59" s="16">
        <f>O58*J29</f>
        <v>7715.43265442611</v>
      </c>
      <c r="P59" s="7"/>
      <c r="Q59" s="7"/>
      <c r="R59" s="7"/>
      <c r="S59" s="7"/>
      <c r="T59" s="7"/>
      <c r="U59" s="7"/>
      <c r="V59" s="7"/>
      <c r="W59" s="7"/>
      <c r="X59" s="7"/>
      <c r="Y59" s="7"/>
      <c r="Z59" s="7"/>
      <c r="AA59" s="7"/>
      <c r="AB59" s="7"/>
      <c r="AC59" s="7"/>
      <c r="AD59" s="7"/>
      <c r="AE59" s="7"/>
      <c r="AF59" s="7"/>
      <c r="AG59" s="7"/>
      <c r="AH59" s="7"/>
      <c r="AI59" s="7"/>
      <c r="AJ59" s="7"/>
      <c r="AK59" s="7"/>
      <c r="AL59" s="7"/>
      <c r="AM59" s="7"/>
    </row>
    <row r="60" spans="2:39">
      <c r="B60" t="s">
        <v>61</v>
      </c>
      <c r="C60" s="8">
        <v>-311</v>
      </c>
      <c r="D60" s="8">
        <v>-166</v>
      </c>
      <c r="E60" s="8">
        <v>50</v>
      </c>
      <c r="F60" s="8">
        <v>-374</v>
      </c>
      <c r="G60" s="8">
        <v>-439</v>
      </c>
      <c r="H60" s="8">
        <v>-1311</v>
      </c>
      <c r="I60" s="8">
        <v>-1526</v>
      </c>
      <c r="J60" s="16">
        <f>I60</f>
        <v>-1526</v>
      </c>
      <c r="K60" s="16">
        <f>J60*(1+K8)</f>
        <v>-1678.6</v>
      </c>
      <c r="L60" s="16">
        <f>K60*(1+L8)</f>
        <v>-1762.53</v>
      </c>
      <c r="M60" s="16">
        <f>L60*(1+M8)</f>
        <v>-1815.4059</v>
      </c>
      <c r="N60" s="16">
        <f>M60*(1+N8)</f>
        <v>-1851.714018</v>
      </c>
      <c r="O60" s="16">
        <f>N60*(1+O8)</f>
        <v>-1888.74829836</v>
      </c>
      <c r="P60" s="7"/>
      <c r="Q60" s="7"/>
      <c r="R60" s="7"/>
      <c r="S60" s="7"/>
      <c r="T60" s="7"/>
      <c r="U60" s="7"/>
      <c r="V60" s="7"/>
      <c r="W60" s="7"/>
      <c r="X60" s="7"/>
      <c r="Y60" s="7"/>
      <c r="Z60" s="7"/>
      <c r="AA60" s="7"/>
      <c r="AB60" s="7"/>
      <c r="AC60" s="7"/>
      <c r="AD60" s="7"/>
      <c r="AE60" s="7"/>
      <c r="AF60" s="7"/>
      <c r="AG60" s="7"/>
      <c r="AH60" s="7"/>
      <c r="AI60" s="7"/>
      <c r="AJ60" s="7"/>
      <c r="AK60" s="7"/>
      <c r="AL60" s="7"/>
      <c r="AM60" s="7"/>
    </row>
    <row r="61" spans="2:39">
      <c r="B61" s="9" t="s">
        <v>62</v>
      </c>
      <c r="C61" s="8">
        <f t="shared" ref="C61:O61" si="23">SUM(C59:C60)</f>
        <v>3757</v>
      </c>
      <c r="D61" s="8">
        <f t="shared" si="23"/>
        <v>5177</v>
      </c>
      <c r="E61" s="8">
        <f t="shared" si="23"/>
        <v>5663</v>
      </c>
      <c r="F61" s="8">
        <f t="shared" si="23"/>
        <v>6271</v>
      </c>
      <c r="G61" s="8">
        <f t="shared" si="23"/>
        <v>5879</v>
      </c>
      <c r="H61" s="8">
        <f t="shared" si="23"/>
        <v>6860</v>
      </c>
      <c r="I61" s="8">
        <f t="shared" si="23"/>
        <v>5121</v>
      </c>
      <c r="J61" s="16">
        <f t="shared" si="23"/>
        <v>3673.14826457228</v>
      </c>
      <c r="K61" s="16">
        <f t="shared" si="23"/>
        <v>12873.5642038292</v>
      </c>
      <c r="L61" s="16">
        <f t="shared" si="23"/>
        <v>13230.2209625198</v>
      </c>
      <c r="M61" s="16">
        <f t="shared" si="23"/>
        <v>13627.1275913954</v>
      </c>
      <c r="N61" s="16">
        <f t="shared" si="23"/>
        <v>13899.6701432233</v>
      </c>
      <c r="O61" s="16">
        <f t="shared" si="23"/>
        <v>5826.68435606611</v>
      </c>
      <c r="P61" s="7"/>
      <c r="Q61" s="7"/>
      <c r="R61" s="7"/>
      <c r="S61" s="7"/>
      <c r="T61" s="7"/>
      <c r="U61" s="7"/>
      <c r="V61" s="7"/>
      <c r="W61" s="7"/>
      <c r="X61" s="7"/>
      <c r="Y61" s="7"/>
      <c r="Z61" s="7"/>
      <c r="AA61" s="7"/>
      <c r="AB61" s="7"/>
      <c r="AC61" s="7"/>
      <c r="AD61" s="7"/>
      <c r="AE61" s="7"/>
      <c r="AF61" s="7"/>
      <c r="AG61" s="7"/>
      <c r="AH61" s="7"/>
      <c r="AI61" s="7"/>
      <c r="AJ61" s="7"/>
      <c r="AK61" s="7"/>
      <c r="AL61" s="7"/>
      <c r="AM61" s="7"/>
    </row>
    <row r="62" spans="2:39">
      <c r="B62" s="9" t="s">
        <v>63</v>
      </c>
      <c r="C62" s="8">
        <f t="shared" ref="C62:O62" si="24">C58-C61</f>
        <v>9767</v>
      </c>
      <c r="D62" s="8">
        <f t="shared" si="24"/>
        <v>13593</v>
      </c>
      <c r="E62" s="8">
        <f t="shared" si="24"/>
        <v>15390</v>
      </c>
      <c r="F62" s="8">
        <f t="shared" si="24"/>
        <v>16291</v>
      </c>
      <c r="G62" s="8">
        <f t="shared" si="24"/>
        <v>19992</v>
      </c>
      <c r="H62" s="8">
        <f t="shared" si="24"/>
        <v>20360</v>
      </c>
      <c r="I62" s="8">
        <f t="shared" si="24"/>
        <v>10062</v>
      </c>
      <c r="J62" s="16">
        <f t="shared" si="24"/>
        <v>16072.8105792865</v>
      </c>
      <c r="K62" s="16">
        <f t="shared" si="24"/>
        <v>42394.4183262912</v>
      </c>
      <c r="L62" s="16">
        <f t="shared" si="24"/>
        <v>43711.0756493579</v>
      </c>
      <c r="M62" s="16">
        <f t="shared" si="24"/>
        <v>45022.4079188386</v>
      </c>
      <c r="N62" s="16">
        <f t="shared" si="24"/>
        <v>45922.8560772154</v>
      </c>
      <c r="O62" s="16">
        <f t="shared" si="24"/>
        <v>23475.9259762813</v>
      </c>
      <c r="P62" s="7"/>
      <c r="Q62" s="7"/>
      <c r="R62" s="7"/>
      <c r="S62" s="7"/>
      <c r="T62" s="7"/>
      <c r="U62" s="7"/>
      <c r="V62" s="7"/>
      <c r="W62" s="7"/>
      <c r="X62" s="7"/>
      <c r="Y62" s="7"/>
      <c r="Z62" s="7"/>
      <c r="AA62" s="7"/>
      <c r="AB62" s="7"/>
      <c r="AC62" s="7"/>
      <c r="AD62" s="7"/>
      <c r="AE62" s="7"/>
      <c r="AF62" s="7"/>
      <c r="AG62" s="7"/>
      <c r="AH62" s="7"/>
      <c r="AI62" s="7"/>
      <c r="AJ62" s="7"/>
      <c r="AK62" s="7"/>
      <c r="AL62" s="7"/>
      <c r="AM62" s="7"/>
    </row>
    <row r="63" spans="3:39">
      <c r="C63" s="8"/>
      <c r="D63" s="8"/>
      <c r="E63" s="8"/>
      <c r="F63" s="8"/>
      <c r="G63" s="8"/>
      <c r="H63" s="8"/>
      <c r="I63" s="8"/>
      <c r="J63" s="16"/>
      <c r="K63" s="16"/>
      <c r="L63" s="16"/>
      <c r="M63" s="16"/>
      <c r="N63" s="16"/>
      <c r="O63" s="16"/>
      <c r="P63" s="7"/>
      <c r="Q63" s="7"/>
      <c r="R63" s="7"/>
      <c r="S63" s="7"/>
      <c r="T63" s="7"/>
      <c r="U63" s="7"/>
      <c r="V63" s="7"/>
      <c r="W63" s="7"/>
      <c r="X63" s="7"/>
      <c r="Y63" s="7"/>
      <c r="Z63" s="7"/>
      <c r="AA63" s="7"/>
      <c r="AB63" s="7"/>
      <c r="AC63" s="7"/>
      <c r="AD63" s="7"/>
      <c r="AE63" s="7"/>
      <c r="AF63" s="7"/>
      <c r="AG63" s="7"/>
      <c r="AH63" s="7"/>
      <c r="AI63" s="7"/>
      <c r="AJ63" s="7"/>
      <c r="AK63" s="7"/>
      <c r="AL63" s="7"/>
      <c r="AM63" s="7"/>
    </row>
    <row r="64" spans="2:39">
      <c r="B64" t="s">
        <v>64</v>
      </c>
      <c r="C64" s="8">
        <v>7366652</v>
      </c>
      <c r="D64" s="8">
        <v>7411361</v>
      </c>
      <c r="E64" s="8">
        <v>7586899</v>
      </c>
      <c r="F64" s="8">
        <v>7722937</v>
      </c>
      <c r="G64" s="8">
        <v>7843265</v>
      </c>
      <c r="H64" s="8">
        <v>9044588</v>
      </c>
      <c r="I64" s="8">
        <v>10375745</v>
      </c>
      <c r="J64" s="16">
        <f>(I64/8815199)*I64</f>
        <v>12212552.9219505</v>
      </c>
      <c r="K64" s="16">
        <f>J64*(1+J28)</f>
        <v>13511815.9091045</v>
      </c>
      <c r="L64" s="16">
        <f>K64*(1+J28)</f>
        <v>14949304.2387056</v>
      </c>
      <c r="M64" s="16">
        <f>L64*(1+J28)</f>
        <v>16539723.3595222</v>
      </c>
      <c r="N64" s="16">
        <f>M64*(1+J28)</f>
        <v>18299343.1962699</v>
      </c>
      <c r="O64" s="16">
        <f>N64*(1+J28)</f>
        <v>20246164.5902971</v>
      </c>
      <c r="P64" s="7"/>
      <c r="Q64" s="7"/>
      <c r="R64" s="7"/>
      <c r="S64" s="7"/>
      <c r="T64" s="7"/>
      <c r="U64" s="7"/>
      <c r="V64" s="7"/>
      <c r="W64" s="7"/>
      <c r="X64" s="7"/>
      <c r="Y64" s="7"/>
      <c r="Z64" s="7"/>
      <c r="AA64" s="7"/>
      <c r="AB64" s="7"/>
      <c r="AC64" s="7"/>
      <c r="AD64" s="7"/>
      <c r="AE64" s="7"/>
      <c r="AF64" s="7"/>
      <c r="AG64" s="7"/>
      <c r="AH64" s="7"/>
      <c r="AI64" s="7"/>
      <c r="AJ64" s="7"/>
      <c r="AK64" s="7"/>
      <c r="AL64" s="7"/>
      <c r="AM64" s="7"/>
    </row>
    <row r="65" spans="2:39">
      <c r="B65" t="s">
        <v>65</v>
      </c>
      <c r="C65" s="8">
        <v>0</v>
      </c>
      <c r="D65" s="8">
        <v>7499</v>
      </c>
      <c r="E65" s="8">
        <v>76353</v>
      </c>
      <c r="F65" s="8">
        <v>44140</v>
      </c>
      <c r="G65" s="8">
        <v>20096</v>
      </c>
      <c r="H65" s="8">
        <v>59910</v>
      </c>
      <c r="I65" s="8">
        <v>50671</v>
      </c>
      <c r="J65" s="17">
        <f>I65*4/3</f>
        <v>67561.3333333333</v>
      </c>
      <c r="K65" s="16">
        <f>+J65*(1+K8)</f>
        <v>74317.4666666667</v>
      </c>
      <c r="L65" s="16">
        <f>+K65*(1+L8)</f>
        <v>78033.34</v>
      </c>
      <c r="M65" s="16">
        <f>+L65*(1+M8)</f>
        <v>80374.3402</v>
      </c>
      <c r="N65" s="16">
        <f>+M65*(1+N8)</f>
        <v>81981.827004</v>
      </c>
      <c r="O65" s="16">
        <f>+N65*(1+O8)</f>
        <v>83621.46354408</v>
      </c>
      <c r="P65" s="7"/>
      <c r="Q65" s="7"/>
      <c r="R65" s="7"/>
      <c r="S65" s="7"/>
      <c r="T65" s="7"/>
      <c r="U65" s="7"/>
      <c r="V65" s="7"/>
      <c r="W65" s="7"/>
      <c r="X65" s="7"/>
      <c r="Y65" s="7"/>
      <c r="Z65" s="7"/>
      <c r="AA65" s="7"/>
      <c r="AB65" s="7"/>
      <c r="AC65" s="7"/>
      <c r="AD65" s="7"/>
      <c r="AE65" s="7"/>
      <c r="AF65" s="7"/>
      <c r="AG65" s="7"/>
      <c r="AH65" s="7"/>
      <c r="AI65" s="7"/>
      <c r="AJ65" s="7"/>
      <c r="AK65" s="7"/>
      <c r="AL65" s="7"/>
      <c r="AM65" s="7"/>
    </row>
    <row r="66" spans="2:39">
      <c r="B66" t="s">
        <v>66</v>
      </c>
      <c r="C66" s="8">
        <f t="shared" ref="C66:O66" si="25">SUM(C64:C65)</f>
        <v>7366652</v>
      </c>
      <c r="D66" s="8">
        <f t="shared" si="25"/>
        <v>7418860</v>
      </c>
      <c r="E66" s="8">
        <f t="shared" si="25"/>
        <v>7663252</v>
      </c>
      <c r="F66" s="8">
        <f t="shared" si="25"/>
        <v>7767077</v>
      </c>
      <c r="G66" s="8">
        <f t="shared" si="25"/>
        <v>7863361</v>
      </c>
      <c r="H66" s="8">
        <f t="shared" si="25"/>
        <v>9104498</v>
      </c>
      <c r="I66" s="8">
        <f t="shared" si="25"/>
        <v>10426416</v>
      </c>
      <c r="J66" s="16">
        <f t="shared" si="25"/>
        <v>12280114.2552838</v>
      </c>
      <c r="K66" s="16">
        <f t="shared" si="25"/>
        <v>13586133.3757712</v>
      </c>
      <c r="L66" s="16">
        <f t="shared" si="25"/>
        <v>15027337.5787056</v>
      </c>
      <c r="M66" s="16">
        <f t="shared" si="25"/>
        <v>16620097.6997222</v>
      </c>
      <c r="N66" s="16">
        <f t="shared" si="25"/>
        <v>18381325.0232739</v>
      </c>
      <c r="O66" s="16">
        <f t="shared" si="25"/>
        <v>20329786.0538412</v>
      </c>
      <c r="P66" s="7"/>
      <c r="Q66" s="7"/>
      <c r="R66" s="7"/>
      <c r="S66" s="7"/>
      <c r="T66" s="7"/>
      <c r="U66" s="7"/>
      <c r="V66" s="7"/>
      <c r="W66" s="7"/>
      <c r="X66" s="7"/>
      <c r="Y66" s="7"/>
      <c r="Z66" s="7"/>
      <c r="AA66" s="7"/>
      <c r="AB66" s="7"/>
      <c r="AC66" s="7"/>
      <c r="AD66" s="7"/>
      <c r="AE66" s="7"/>
      <c r="AF66" s="7"/>
      <c r="AG66" s="7"/>
      <c r="AH66" s="7"/>
      <c r="AI66" s="7"/>
      <c r="AJ66" s="7"/>
      <c r="AK66" s="7"/>
      <c r="AL66" s="7"/>
      <c r="AM66" s="7"/>
    </row>
    <row r="67" spans="2:39">
      <c r="B67" t="s">
        <v>67</v>
      </c>
      <c r="C67" s="8">
        <f t="shared" ref="C67:O67" si="26">(C62/C64)*1000</f>
        <v>1.32583974375334</v>
      </c>
      <c r="D67" s="8">
        <f t="shared" si="26"/>
        <v>1.83407608939842</v>
      </c>
      <c r="E67" s="8">
        <f t="shared" si="26"/>
        <v>2.02849675473471</v>
      </c>
      <c r="F67" s="8">
        <f t="shared" si="26"/>
        <v>2.10943064795168</v>
      </c>
      <c r="G67" s="8">
        <f t="shared" si="26"/>
        <v>2.54893848416444</v>
      </c>
      <c r="H67" s="8">
        <f t="shared" si="26"/>
        <v>2.25106992159289</v>
      </c>
      <c r="I67" s="8">
        <f t="shared" si="26"/>
        <v>0.96976168940158</v>
      </c>
      <c r="J67" s="16">
        <f t="shared" si="26"/>
        <v>1.31608932890663</v>
      </c>
      <c r="K67" s="16">
        <f t="shared" si="26"/>
        <v>3.13758110763818</v>
      </c>
      <c r="L67" s="16">
        <f t="shared" si="26"/>
        <v>2.92395384771048</v>
      </c>
      <c r="M67" s="16">
        <f t="shared" si="26"/>
        <v>2.72207744592768</v>
      </c>
      <c r="N67" s="16">
        <f t="shared" si="26"/>
        <v>2.50953575681209</v>
      </c>
      <c r="O67" s="16">
        <f t="shared" si="26"/>
        <v>1.15952460386162</v>
      </c>
      <c r="P67" s="7"/>
      <c r="Q67" s="7"/>
      <c r="R67" s="7"/>
      <c r="S67" s="7"/>
      <c r="T67" s="7"/>
      <c r="U67" s="7"/>
      <c r="V67" s="7"/>
      <c r="W67" s="7"/>
      <c r="X67" s="7"/>
      <c r="Y67" s="7"/>
      <c r="Z67" s="7"/>
      <c r="AA67" s="7"/>
      <c r="AB67" s="7"/>
      <c r="AC67" s="7"/>
      <c r="AD67" s="7"/>
      <c r="AE67" s="7"/>
      <c r="AF67" s="7"/>
      <c r="AG67" s="7"/>
      <c r="AH67" s="7"/>
      <c r="AI67" s="7"/>
      <c r="AJ67" s="7"/>
      <c r="AK67" s="7"/>
      <c r="AL67" s="7"/>
      <c r="AM67" s="7"/>
    </row>
    <row r="68" spans="2:39">
      <c r="B68" t="s">
        <v>68</v>
      </c>
      <c r="C68" s="8">
        <f t="shared" ref="C68:O68" si="27">(C62/C66)*1000</f>
        <v>1.32583974375334</v>
      </c>
      <c r="D68" s="8">
        <f t="shared" si="27"/>
        <v>1.83222220125464</v>
      </c>
      <c r="E68" s="8">
        <f t="shared" si="27"/>
        <v>2.00828577736971</v>
      </c>
      <c r="F68" s="8">
        <f t="shared" si="27"/>
        <v>2.09744283467255</v>
      </c>
      <c r="G68" s="8">
        <f t="shared" si="27"/>
        <v>2.54242428905401</v>
      </c>
      <c r="H68" s="8">
        <f t="shared" si="27"/>
        <v>2.23625728733204</v>
      </c>
      <c r="I68" s="8">
        <f t="shared" si="27"/>
        <v>0.965048776108684</v>
      </c>
      <c r="J68" s="16">
        <f t="shared" si="27"/>
        <v>1.30884861860066</v>
      </c>
      <c r="K68" s="16">
        <f t="shared" si="27"/>
        <v>3.12041823480809</v>
      </c>
      <c r="L68" s="16">
        <f t="shared" si="27"/>
        <v>2.90877046053044</v>
      </c>
      <c r="M68" s="16">
        <f t="shared" si="27"/>
        <v>2.70891355347394</v>
      </c>
      <c r="N68" s="16">
        <f t="shared" si="27"/>
        <v>2.49834307478211</v>
      </c>
      <c r="O68" s="16">
        <f t="shared" si="27"/>
        <v>1.1547551909355</v>
      </c>
      <c r="P68" s="7"/>
      <c r="Q68" s="7"/>
      <c r="R68" s="7"/>
      <c r="S68" s="7"/>
      <c r="T68" s="7"/>
      <c r="U68" s="7"/>
      <c r="V68" s="7"/>
      <c r="W68" s="7"/>
      <c r="X68" s="7"/>
      <c r="Y68" s="7"/>
      <c r="Z68" s="7"/>
      <c r="AA68" s="7"/>
      <c r="AB68" s="7"/>
      <c r="AC68" s="7"/>
      <c r="AD68" s="7"/>
      <c r="AE68" s="7"/>
      <c r="AF68" s="7"/>
      <c r="AG68" s="7"/>
      <c r="AH68" s="7"/>
      <c r="AI68" s="7"/>
      <c r="AJ68" s="7"/>
      <c r="AK68" s="7"/>
      <c r="AL68" s="7"/>
      <c r="AM68" s="7"/>
    </row>
    <row r="69" spans="3:39">
      <c r="C69" s="8"/>
      <c r="D69" s="8"/>
      <c r="E69" s="8"/>
      <c r="F69" s="8"/>
      <c r="G69" s="8"/>
      <c r="H69" s="8"/>
      <c r="I69" s="8"/>
      <c r="J69" s="16"/>
      <c r="K69" s="16"/>
      <c r="L69" s="16"/>
      <c r="M69" s="16"/>
      <c r="N69" s="16"/>
      <c r="O69" s="16"/>
      <c r="P69" s="7"/>
      <c r="Q69" s="7"/>
      <c r="R69" s="7"/>
      <c r="S69" s="7"/>
      <c r="T69" s="7"/>
      <c r="U69" s="7"/>
      <c r="V69" s="7"/>
      <c r="W69" s="7"/>
      <c r="X69" s="7"/>
      <c r="Y69" s="7"/>
      <c r="Z69" s="7"/>
      <c r="AA69" s="7"/>
      <c r="AB69" s="7"/>
      <c r="AC69" s="7"/>
      <c r="AD69" s="7"/>
      <c r="AE69" s="7"/>
      <c r="AF69" s="7"/>
      <c r="AG69" s="7"/>
      <c r="AH69" s="7"/>
      <c r="AI69" s="7"/>
      <c r="AJ69" s="7"/>
      <c r="AK69" s="7"/>
      <c r="AL69" s="7"/>
      <c r="AM69" s="7"/>
    </row>
    <row r="70" spans="3:39">
      <c r="C70" s="8"/>
      <c r="D70" s="8"/>
      <c r="E70" s="8"/>
      <c r="F70" s="8"/>
      <c r="G70" s="8"/>
      <c r="H70" s="8"/>
      <c r="I70" s="8"/>
      <c r="J70" s="16"/>
      <c r="K70" s="16"/>
      <c r="L70" s="16"/>
      <c r="M70" s="16"/>
      <c r="N70" s="16"/>
      <c r="O70" s="16"/>
      <c r="P70" s="7"/>
      <c r="Q70" s="7"/>
      <c r="R70" s="7"/>
      <c r="S70" s="7"/>
      <c r="T70" s="7"/>
      <c r="U70" s="7"/>
      <c r="V70" s="7"/>
      <c r="W70" s="7"/>
      <c r="X70" s="7"/>
      <c r="Y70" s="7"/>
      <c r="Z70" s="7"/>
      <c r="AA70" s="7"/>
      <c r="AB70" s="7"/>
      <c r="AC70" s="7"/>
      <c r="AD70" s="7"/>
      <c r="AE70" s="7"/>
      <c r="AF70" s="7"/>
      <c r="AG70" s="7"/>
      <c r="AH70" s="7"/>
      <c r="AI70" s="7"/>
      <c r="AJ70" s="7"/>
      <c r="AK70" s="7"/>
      <c r="AL70" s="7"/>
      <c r="AM70" s="7"/>
    </row>
    <row r="71" spans="2:39">
      <c r="B71" s="1" t="s">
        <v>69</v>
      </c>
      <c r="C71" s="8"/>
      <c r="D71" s="8"/>
      <c r="E71" s="8"/>
      <c r="F71" s="8"/>
      <c r="G71" s="8"/>
      <c r="H71" s="8"/>
      <c r="I71" s="8"/>
      <c r="J71" s="16"/>
      <c r="K71" s="16"/>
      <c r="L71" s="16"/>
      <c r="M71" s="16"/>
      <c r="N71" s="16"/>
      <c r="O71" s="16"/>
      <c r="P71" s="7"/>
      <c r="Q71" s="7"/>
      <c r="R71" s="7"/>
      <c r="S71" s="7"/>
      <c r="T71" s="7"/>
      <c r="U71" s="7"/>
      <c r="V71" s="7"/>
      <c r="W71" s="7"/>
      <c r="X71" s="7"/>
      <c r="Y71" s="7"/>
      <c r="Z71" s="7"/>
      <c r="AA71" s="7"/>
      <c r="AB71" s="7"/>
      <c r="AC71" s="7"/>
      <c r="AD71" s="7"/>
      <c r="AE71" s="7"/>
      <c r="AF71" s="7"/>
      <c r="AG71" s="7"/>
      <c r="AH71" s="7"/>
      <c r="AI71" s="7"/>
      <c r="AJ71" s="7"/>
      <c r="AK71" s="7"/>
      <c r="AL71" s="7"/>
      <c r="AM71" s="7"/>
    </row>
    <row r="72" spans="3:39">
      <c r="C72" s="8"/>
      <c r="D72" s="8"/>
      <c r="E72" s="8"/>
      <c r="F72" s="8"/>
      <c r="G72" s="8"/>
      <c r="H72" s="8"/>
      <c r="I72" s="8"/>
      <c r="J72" s="16"/>
      <c r="K72" s="16"/>
      <c r="L72" s="16"/>
      <c r="M72" s="16"/>
      <c r="N72" s="16"/>
      <c r="O72" s="16"/>
      <c r="P72" s="7"/>
      <c r="Q72" s="7"/>
      <c r="R72" s="7"/>
      <c r="S72" s="7"/>
      <c r="T72" s="7"/>
      <c r="U72" s="7"/>
      <c r="V72" s="7"/>
      <c r="W72" s="7"/>
      <c r="X72" s="7"/>
      <c r="Y72" s="7"/>
      <c r="Z72" s="7"/>
      <c r="AA72" s="7"/>
      <c r="AB72" s="7"/>
      <c r="AC72" s="7"/>
      <c r="AD72" s="7"/>
      <c r="AE72" s="7"/>
      <c r="AF72" s="7"/>
      <c r="AG72" s="7"/>
      <c r="AH72" s="7"/>
      <c r="AI72" s="7"/>
      <c r="AJ72" s="7"/>
      <c r="AK72" s="7"/>
      <c r="AL72" s="7"/>
      <c r="AM72" s="7"/>
    </row>
    <row r="73" spans="2:39">
      <c r="B73" t="s">
        <v>63</v>
      </c>
      <c r="C73" s="8">
        <f t="shared" ref="C73:O73" si="28">C62</f>
        <v>9767</v>
      </c>
      <c r="D73" s="8">
        <f t="shared" si="28"/>
        <v>13593</v>
      </c>
      <c r="E73" s="8">
        <f t="shared" si="28"/>
        <v>15390</v>
      </c>
      <c r="F73" s="8">
        <f t="shared" si="28"/>
        <v>16291</v>
      </c>
      <c r="G73" s="8">
        <f t="shared" si="28"/>
        <v>19992</v>
      </c>
      <c r="H73" s="8">
        <f t="shared" si="28"/>
        <v>20360</v>
      </c>
      <c r="I73" s="8">
        <f t="shared" si="28"/>
        <v>10062</v>
      </c>
      <c r="J73" s="16">
        <f t="shared" si="28"/>
        <v>16072.8105792865</v>
      </c>
      <c r="K73" s="16">
        <f t="shared" si="28"/>
        <v>42394.4183262912</v>
      </c>
      <c r="L73" s="16">
        <f t="shared" si="28"/>
        <v>43711.0756493579</v>
      </c>
      <c r="M73" s="16">
        <f t="shared" si="28"/>
        <v>45022.4079188386</v>
      </c>
      <c r="N73" s="16">
        <f t="shared" si="28"/>
        <v>45922.8560772154</v>
      </c>
      <c r="O73" s="16">
        <f t="shared" si="28"/>
        <v>23475.9259762813</v>
      </c>
      <c r="P73" s="7"/>
      <c r="Q73" s="7"/>
      <c r="R73" s="7"/>
      <c r="S73" s="7"/>
      <c r="T73" s="7"/>
      <c r="U73" s="7"/>
      <c r="V73" s="7"/>
      <c r="W73" s="7"/>
      <c r="X73" s="7"/>
      <c r="Y73" s="7"/>
      <c r="Z73" s="7"/>
      <c r="AA73" s="7"/>
      <c r="AB73" s="7"/>
      <c r="AC73" s="7"/>
      <c r="AD73" s="7"/>
      <c r="AE73" s="7"/>
      <c r="AF73" s="7"/>
      <c r="AG73" s="7"/>
      <c r="AH73" s="7"/>
      <c r="AI73" s="7"/>
      <c r="AJ73" s="7"/>
      <c r="AK73" s="7"/>
      <c r="AL73" s="7"/>
      <c r="AM73" s="7"/>
    </row>
    <row r="74" spans="2:39">
      <c r="B74" t="s">
        <v>70</v>
      </c>
      <c r="C74" s="8"/>
      <c r="D74" s="8"/>
      <c r="E74" s="8"/>
      <c r="F74" s="8"/>
      <c r="G74" s="8"/>
      <c r="H74" s="8"/>
      <c r="I74" s="8"/>
      <c r="J74" s="16"/>
      <c r="K74" s="16"/>
      <c r="L74" s="16"/>
      <c r="M74" s="16"/>
      <c r="N74" s="16"/>
      <c r="O74" s="16"/>
      <c r="P74" s="7"/>
      <c r="Q74" s="7"/>
      <c r="R74" s="7"/>
      <c r="S74" s="7"/>
      <c r="T74" s="7"/>
      <c r="U74" s="7"/>
      <c r="V74" s="7"/>
      <c r="W74" s="7"/>
      <c r="X74" s="7"/>
      <c r="Y74" s="7"/>
      <c r="Z74" s="7"/>
      <c r="AA74" s="7"/>
      <c r="AB74" s="7"/>
      <c r="AC74" s="7"/>
      <c r="AD74" s="7"/>
      <c r="AE74" s="7"/>
      <c r="AF74" s="7"/>
      <c r="AG74" s="7"/>
      <c r="AH74" s="7"/>
      <c r="AI74" s="7"/>
      <c r="AJ74" s="7"/>
      <c r="AK74" s="7"/>
      <c r="AL74" s="7"/>
      <c r="AM74" s="7"/>
    </row>
    <row r="75" spans="2:39">
      <c r="B75" t="s">
        <v>58</v>
      </c>
      <c r="C75" s="8">
        <f t="shared" ref="C75:O75" si="29">C57</f>
        <v>-87</v>
      </c>
      <c r="D75" s="8">
        <f t="shared" si="29"/>
        <v>-37</v>
      </c>
      <c r="E75" s="8">
        <f t="shared" si="29"/>
        <v>-165</v>
      </c>
      <c r="F75" s="8">
        <f t="shared" si="29"/>
        <v>-320</v>
      </c>
      <c r="G75" s="8">
        <f t="shared" si="29"/>
        <v>36</v>
      </c>
      <c r="H75" s="8">
        <f t="shared" si="29"/>
        <v>185</v>
      </c>
      <c r="I75" s="8">
        <f t="shared" si="29"/>
        <v>297</v>
      </c>
      <c r="J75" s="16">
        <f t="shared" si="29"/>
        <v>531.379518072289</v>
      </c>
      <c r="K75" s="16">
        <f t="shared" si="29"/>
        <v>584.517469879518</v>
      </c>
      <c r="L75" s="16">
        <f t="shared" si="29"/>
        <v>613.743343373494</v>
      </c>
      <c r="M75" s="16">
        <f t="shared" si="29"/>
        <v>632.155643674699</v>
      </c>
      <c r="N75" s="16">
        <f t="shared" si="29"/>
        <v>644.798756548193</v>
      </c>
      <c r="O75" s="16">
        <f t="shared" si="29"/>
        <v>657.694731679157</v>
      </c>
      <c r="P75" s="7"/>
      <c r="Q75" s="7"/>
      <c r="R75" s="7"/>
      <c r="S75" s="7"/>
      <c r="T75" s="7"/>
      <c r="U75" s="7"/>
      <c r="V75" s="7"/>
      <c r="W75" s="7"/>
      <c r="X75" s="7"/>
      <c r="Y75" s="7"/>
      <c r="Z75" s="7"/>
      <c r="AA75" s="7"/>
      <c r="AB75" s="7"/>
      <c r="AC75" s="7"/>
      <c r="AD75" s="7"/>
      <c r="AE75" s="7"/>
      <c r="AF75" s="7"/>
      <c r="AG75" s="7"/>
      <c r="AH75" s="7"/>
      <c r="AI75" s="7"/>
      <c r="AJ75" s="7"/>
      <c r="AK75" s="7"/>
      <c r="AL75" s="7"/>
      <c r="AM75" s="7"/>
    </row>
    <row r="76" spans="2:39">
      <c r="B76" t="s">
        <v>56</v>
      </c>
      <c r="C76" s="8"/>
      <c r="D76" s="8"/>
      <c r="E76" s="8"/>
      <c r="F76" s="8">
        <f t="shared" ref="F76:O76" si="30">F55</f>
        <v>93</v>
      </c>
      <c r="G76" s="8">
        <f t="shared" si="30"/>
        <v>0</v>
      </c>
      <c r="H76" s="8">
        <f t="shared" si="30"/>
        <v>0</v>
      </c>
      <c r="I76" s="8">
        <f t="shared" si="30"/>
        <v>0</v>
      </c>
      <c r="J76" s="16">
        <f t="shared" si="30"/>
        <v>0</v>
      </c>
      <c r="K76" s="16">
        <f t="shared" si="30"/>
        <v>0</v>
      </c>
      <c r="L76" s="16">
        <f t="shared" si="30"/>
        <v>0</v>
      </c>
      <c r="M76" s="16">
        <f t="shared" si="30"/>
        <v>0</v>
      </c>
      <c r="N76" s="16">
        <f t="shared" si="30"/>
        <v>0</v>
      </c>
      <c r="O76" s="16">
        <f t="shared" si="30"/>
        <v>0</v>
      </c>
      <c r="P76" s="7"/>
      <c r="Q76" s="7"/>
      <c r="R76" s="7"/>
      <c r="S76" s="7"/>
      <c r="T76" s="7"/>
      <c r="U76" s="7"/>
      <c r="V76" s="7"/>
      <c r="W76" s="7"/>
      <c r="X76" s="7"/>
      <c r="Y76" s="7"/>
      <c r="Z76" s="7"/>
      <c r="AA76" s="7"/>
      <c r="AB76" s="7"/>
      <c r="AC76" s="7"/>
      <c r="AD76" s="7"/>
      <c r="AE76" s="7"/>
      <c r="AF76" s="7"/>
      <c r="AG76" s="7"/>
      <c r="AH76" s="7"/>
      <c r="AI76" s="7"/>
      <c r="AJ76" s="7"/>
      <c r="AK76" s="7"/>
      <c r="AL76" s="7"/>
      <c r="AM76" s="7"/>
    </row>
    <row r="77" spans="2:39">
      <c r="B77" t="s">
        <v>52</v>
      </c>
      <c r="C77" s="8"/>
      <c r="D77" s="8"/>
      <c r="E77" s="8"/>
      <c r="F77" s="8"/>
      <c r="G77" s="8">
        <f t="shared" ref="G77:O77" si="31">G51</f>
        <v>-4149</v>
      </c>
      <c r="H77" s="8">
        <f t="shared" si="31"/>
        <v>-1882</v>
      </c>
      <c r="I77" s="8">
        <f t="shared" si="31"/>
        <v>6780</v>
      </c>
      <c r="J77" s="16">
        <f t="shared" si="31"/>
        <v>6780</v>
      </c>
      <c r="K77" s="16">
        <f t="shared" si="31"/>
        <v>0</v>
      </c>
      <c r="L77" s="16">
        <f t="shared" si="31"/>
        <v>0</v>
      </c>
      <c r="M77" s="16">
        <f t="shared" si="31"/>
        <v>0</v>
      </c>
      <c r="N77" s="16">
        <f t="shared" si="31"/>
        <v>0</v>
      </c>
      <c r="O77" s="16">
        <f t="shared" si="31"/>
        <v>0</v>
      </c>
      <c r="P77" s="7"/>
      <c r="Q77" s="7"/>
      <c r="R77" s="7"/>
      <c r="S77" s="7"/>
      <c r="T77" s="7"/>
      <c r="U77" s="7"/>
      <c r="V77" s="7"/>
      <c r="W77" s="7"/>
      <c r="X77" s="7"/>
      <c r="Y77" s="7"/>
      <c r="Z77" s="7"/>
      <c r="AA77" s="7"/>
      <c r="AB77" s="7"/>
      <c r="AC77" s="7"/>
      <c r="AD77" s="7"/>
      <c r="AE77" s="7"/>
      <c r="AF77" s="7"/>
      <c r="AG77" s="7"/>
      <c r="AH77" s="7"/>
      <c r="AI77" s="7"/>
      <c r="AJ77" s="7"/>
      <c r="AK77" s="7"/>
      <c r="AL77" s="7"/>
      <c r="AM77" s="7"/>
    </row>
    <row r="78" spans="2:39">
      <c r="B78" t="s">
        <v>57</v>
      </c>
      <c r="C78" s="8"/>
      <c r="D78" s="8"/>
      <c r="E78" s="8"/>
      <c r="F78" s="8"/>
      <c r="G78" s="8">
        <f t="shared" ref="G78:O78" si="32">G56</f>
        <v>0</v>
      </c>
      <c r="H78" s="8">
        <f t="shared" si="32"/>
        <v>475</v>
      </c>
      <c r="I78" s="8">
        <f t="shared" si="32"/>
        <v>343</v>
      </c>
      <c r="J78" s="16">
        <f t="shared" si="32"/>
        <v>475</v>
      </c>
      <c r="K78" s="16">
        <f t="shared" si="32"/>
        <v>522.5</v>
      </c>
      <c r="L78" s="16">
        <f t="shared" si="32"/>
        <v>548.625</v>
      </c>
      <c r="M78" s="16">
        <f t="shared" si="32"/>
        <v>565.08375</v>
      </c>
      <c r="N78" s="16">
        <f t="shared" si="32"/>
        <v>576.385425</v>
      </c>
      <c r="O78" s="16">
        <f t="shared" si="32"/>
        <v>587.9131335</v>
      </c>
      <c r="P78" s="7"/>
      <c r="Q78" s="7"/>
      <c r="R78" s="7"/>
      <c r="S78" s="7"/>
      <c r="T78" s="7"/>
      <c r="U78" s="7"/>
      <c r="V78" s="7"/>
      <c r="W78" s="7"/>
      <c r="X78" s="7"/>
      <c r="Y78" s="7"/>
      <c r="Z78" s="7"/>
      <c r="AA78" s="7"/>
      <c r="AB78" s="7"/>
      <c r="AC78" s="7"/>
      <c r="AD78" s="7"/>
      <c r="AE78" s="7"/>
      <c r="AF78" s="7"/>
      <c r="AG78" s="7"/>
      <c r="AH78" s="7"/>
      <c r="AI78" s="7"/>
      <c r="AJ78" s="7"/>
      <c r="AK78" s="7"/>
      <c r="AL78" s="7"/>
      <c r="AM78" s="7"/>
    </row>
    <row r="79" spans="2:39">
      <c r="B79" t="s">
        <v>71</v>
      </c>
      <c r="C79" s="8">
        <v>3757</v>
      </c>
      <c r="D79" s="8">
        <v>5177</v>
      </c>
      <c r="E79" s="8">
        <v>5663</v>
      </c>
      <c r="F79" s="8">
        <f t="shared" ref="F79:O79" si="33">F61</f>
        <v>6271</v>
      </c>
      <c r="G79" s="8">
        <f t="shared" si="33"/>
        <v>5879</v>
      </c>
      <c r="H79" s="8">
        <f t="shared" si="33"/>
        <v>6860</v>
      </c>
      <c r="I79" s="8">
        <f t="shared" si="33"/>
        <v>5121</v>
      </c>
      <c r="J79" s="16">
        <f t="shared" si="33"/>
        <v>3673.14826457228</v>
      </c>
      <c r="K79" s="16">
        <f t="shared" si="33"/>
        <v>12873.5642038292</v>
      </c>
      <c r="L79" s="16">
        <f t="shared" si="33"/>
        <v>13230.2209625198</v>
      </c>
      <c r="M79" s="16">
        <f t="shared" si="33"/>
        <v>13627.1275913954</v>
      </c>
      <c r="N79" s="16">
        <f t="shared" si="33"/>
        <v>13899.6701432233</v>
      </c>
      <c r="O79" s="16">
        <f t="shared" si="33"/>
        <v>5826.68435606611</v>
      </c>
      <c r="P79" s="7"/>
      <c r="Q79" s="7"/>
      <c r="R79" s="7"/>
      <c r="S79" s="7"/>
      <c r="T79" s="7"/>
      <c r="U79" s="7"/>
      <c r="V79" s="7"/>
      <c r="W79" s="7"/>
      <c r="X79" s="7"/>
      <c r="Y79" s="7"/>
      <c r="Z79" s="7"/>
      <c r="AA79" s="7"/>
      <c r="AB79" s="7"/>
      <c r="AC79" s="7"/>
      <c r="AD79" s="7"/>
      <c r="AE79" s="7"/>
      <c r="AF79" s="7"/>
      <c r="AG79" s="7"/>
      <c r="AH79" s="7"/>
      <c r="AI79" s="7"/>
      <c r="AJ79" s="7"/>
      <c r="AK79" s="7"/>
      <c r="AL79" s="7"/>
      <c r="AM79" s="7"/>
    </row>
    <row r="80" spans="2:39">
      <c r="B80" t="s">
        <v>72</v>
      </c>
      <c r="C80" s="8">
        <v>187</v>
      </c>
      <c r="D80" s="8">
        <v>178</v>
      </c>
      <c r="E80" s="8">
        <v>306</v>
      </c>
      <c r="F80" s="8">
        <v>133</v>
      </c>
      <c r="G80" s="8">
        <v>173</v>
      </c>
      <c r="H80" s="8">
        <v>199</v>
      </c>
      <c r="I80" s="8">
        <v>354</v>
      </c>
      <c r="J80" s="16">
        <f t="shared" ref="J80:O80" si="34">+J38*J19/100</f>
        <v>464.281601474032</v>
      </c>
      <c r="K80" s="16">
        <f t="shared" si="34"/>
        <v>507.375</v>
      </c>
      <c r="L80" s="16">
        <f t="shared" si="34"/>
        <v>473.55</v>
      </c>
      <c r="M80" s="16">
        <f t="shared" si="34"/>
        <v>426.7869375</v>
      </c>
      <c r="N80" s="16">
        <f t="shared" si="34"/>
        <v>373.1337225</v>
      </c>
      <c r="O80" s="16">
        <f t="shared" si="34"/>
        <v>317.163664125</v>
      </c>
      <c r="P80" s="7"/>
      <c r="Q80" s="7"/>
      <c r="R80" s="7"/>
      <c r="S80" s="7"/>
      <c r="T80" s="7"/>
      <c r="U80" s="7"/>
      <c r="V80" s="7"/>
      <c r="W80" s="7"/>
      <c r="X80" s="7"/>
      <c r="Y80" s="7"/>
      <c r="Z80" s="7"/>
      <c r="AA80" s="7"/>
      <c r="AB80" s="7"/>
      <c r="AC80" s="7"/>
      <c r="AD80" s="7"/>
      <c r="AE80" s="7"/>
      <c r="AF80" s="7"/>
      <c r="AG80" s="7"/>
      <c r="AH80" s="7"/>
      <c r="AI80" s="7"/>
      <c r="AJ80" s="7"/>
      <c r="AK80" s="7"/>
      <c r="AL80" s="7"/>
      <c r="AM80" s="7"/>
    </row>
    <row r="81" spans="2:39">
      <c r="B81" t="s">
        <v>73</v>
      </c>
      <c r="C81" s="8"/>
      <c r="D81" s="8"/>
      <c r="E81" s="8"/>
      <c r="F81" s="8">
        <v>720</v>
      </c>
      <c r="G81" s="8">
        <v>1182</v>
      </c>
      <c r="H81" s="8">
        <v>1163</v>
      </c>
      <c r="I81" s="8">
        <v>1507</v>
      </c>
      <c r="J81" s="16">
        <f t="shared" ref="J81:O81" si="35">+J38*J20/100</f>
        <v>1976.4756311338</v>
      </c>
      <c r="K81" s="16">
        <f t="shared" si="35"/>
        <v>2255</v>
      </c>
      <c r="L81" s="16">
        <f t="shared" si="35"/>
        <v>2367.75</v>
      </c>
      <c r="M81" s="16">
        <f t="shared" si="35"/>
        <v>2133.9346875</v>
      </c>
      <c r="N81" s="16">
        <f t="shared" si="35"/>
        <v>1865.6686125</v>
      </c>
      <c r="O81" s="16">
        <f t="shared" si="35"/>
        <v>1902.98198475</v>
      </c>
      <c r="P81" s="7"/>
      <c r="Q81" s="7"/>
      <c r="R81" s="7"/>
      <c r="S81" s="7"/>
      <c r="T81" s="7"/>
      <c r="U81" s="7"/>
      <c r="V81" s="7"/>
      <c r="W81" s="7"/>
      <c r="X81" s="7"/>
      <c r="Y81" s="7"/>
      <c r="Z81" s="7"/>
      <c r="AA81" s="7"/>
      <c r="AB81" s="7"/>
      <c r="AC81" s="7"/>
      <c r="AD81" s="7"/>
      <c r="AE81" s="7"/>
      <c r="AF81" s="7"/>
      <c r="AG81" s="7"/>
      <c r="AH81" s="7"/>
      <c r="AI81" s="7"/>
      <c r="AJ81" s="7"/>
      <c r="AK81" s="7"/>
      <c r="AL81" s="7"/>
      <c r="AM81" s="7"/>
    </row>
    <row r="82" spans="2:39">
      <c r="B82" t="s">
        <v>74</v>
      </c>
      <c r="C82" s="8">
        <v>2716</v>
      </c>
      <c r="D82" s="8">
        <v>2638</v>
      </c>
      <c r="E82" s="8">
        <v>2583</v>
      </c>
      <c r="F82" s="8">
        <v>3000</v>
      </c>
      <c r="G82" s="8">
        <f>SUM(G47:G49)</f>
        <v>5388</v>
      </c>
      <c r="H82" s="8">
        <f>SUM(H47:H49)</f>
        <v>10913</v>
      </c>
      <c r="I82" s="8">
        <f>SUM(I47:I49)</f>
        <v>13804</v>
      </c>
      <c r="J82" s="16">
        <f t="shared" ref="J82:O82" si="36">+J53</f>
        <v>31062.2752805395</v>
      </c>
      <c r="K82" s="16">
        <f t="shared" si="36"/>
        <v>22550</v>
      </c>
      <c r="L82" s="16">
        <f t="shared" si="36"/>
        <v>7009.46004474883</v>
      </c>
      <c r="M82" s="16">
        <f t="shared" si="36"/>
        <v>7219.74384609129</v>
      </c>
      <c r="N82" s="16">
        <f t="shared" si="36"/>
        <v>7364.13872301312</v>
      </c>
      <c r="O82" s="16">
        <f t="shared" si="36"/>
        <v>7511.42149747338</v>
      </c>
      <c r="P82" s="7"/>
      <c r="Q82" s="7"/>
      <c r="R82" s="7"/>
      <c r="S82" s="7"/>
      <c r="T82" s="7"/>
      <c r="U82" s="7"/>
      <c r="V82" s="7"/>
      <c r="W82" s="7"/>
      <c r="X82" s="7"/>
      <c r="Y82" s="7"/>
      <c r="Z82" s="7"/>
      <c r="AA82" s="7"/>
      <c r="AB82" s="7"/>
      <c r="AC82" s="7"/>
      <c r="AD82" s="7"/>
      <c r="AE82" s="7"/>
      <c r="AF82" s="7"/>
      <c r="AG82" s="7"/>
      <c r="AH82" s="7"/>
      <c r="AI82" s="7"/>
      <c r="AJ82" s="7"/>
      <c r="AK82" s="7"/>
      <c r="AL82" s="7"/>
      <c r="AM82" s="7"/>
    </row>
    <row r="83" spans="2:39">
      <c r="B83" t="s">
        <v>53</v>
      </c>
      <c r="C83" s="8">
        <v>1069</v>
      </c>
      <c r="D83" s="8">
        <v>642</v>
      </c>
      <c r="E83" s="8"/>
      <c r="F83" s="8"/>
      <c r="G83" s="8"/>
      <c r="H83" s="8"/>
      <c r="I83" s="8">
        <v>3100</v>
      </c>
      <c r="J83" s="16">
        <f>I83</f>
        <v>3100</v>
      </c>
      <c r="K83" s="17">
        <v>0</v>
      </c>
      <c r="L83" s="17">
        <v>0</v>
      </c>
      <c r="M83" s="17">
        <v>0</v>
      </c>
      <c r="N83" s="17">
        <v>0</v>
      </c>
      <c r="O83" s="17">
        <v>0</v>
      </c>
      <c r="P83" s="7"/>
      <c r="Q83" s="7"/>
      <c r="R83" s="7"/>
      <c r="S83" s="7"/>
      <c r="T83" s="7"/>
      <c r="U83" s="7"/>
      <c r="V83" s="7"/>
      <c r="W83" s="7"/>
      <c r="X83" s="7"/>
      <c r="Y83" s="7"/>
      <c r="Z83" s="7"/>
      <c r="AA83" s="7"/>
      <c r="AB83" s="7"/>
      <c r="AC83" s="7"/>
      <c r="AD83" s="7"/>
      <c r="AE83" s="7"/>
      <c r="AF83" s="7"/>
      <c r="AG83" s="7"/>
      <c r="AH83" s="7"/>
      <c r="AI83" s="7"/>
      <c r="AJ83" s="7"/>
      <c r="AK83" s="7"/>
      <c r="AL83" s="7"/>
      <c r="AM83" s="7"/>
    </row>
    <row r="84" spans="2:39">
      <c r="B84" t="s">
        <v>75</v>
      </c>
      <c r="C84" s="8"/>
      <c r="D84" s="8"/>
      <c r="E84" s="8"/>
      <c r="F84" s="8"/>
      <c r="G84" s="8">
        <v>0</v>
      </c>
      <c r="H84" s="8">
        <v>-101</v>
      </c>
      <c r="I84" s="8">
        <v>0</v>
      </c>
      <c r="J84" s="16">
        <v>0</v>
      </c>
      <c r="K84" s="16">
        <v>0</v>
      </c>
      <c r="L84" s="16">
        <v>0</v>
      </c>
      <c r="M84" s="16">
        <v>0</v>
      </c>
      <c r="N84" s="16">
        <v>0</v>
      </c>
      <c r="O84" s="16">
        <v>0</v>
      </c>
      <c r="P84" s="7"/>
      <c r="Q84" s="7"/>
      <c r="R84" s="7"/>
      <c r="S84" s="7"/>
      <c r="T84" s="7"/>
      <c r="U84" s="7"/>
      <c r="V84" s="7"/>
      <c r="W84" s="7"/>
      <c r="X84" s="7"/>
      <c r="Y84" s="7"/>
      <c r="Z84" s="7"/>
      <c r="AA84" s="7"/>
      <c r="AB84" s="7"/>
      <c r="AC84" s="7"/>
      <c r="AD84" s="7"/>
      <c r="AE84" s="7"/>
      <c r="AF84" s="7"/>
      <c r="AG84" s="7"/>
      <c r="AH84" s="7"/>
      <c r="AI84" s="7"/>
      <c r="AJ84" s="7"/>
      <c r="AK84" s="7"/>
      <c r="AL84" s="7"/>
      <c r="AM84" s="7"/>
    </row>
    <row r="85" spans="3:39">
      <c r="C85" s="8"/>
      <c r="D85" s="8"/>
      <c r="E85" s="8"/>
      <c r="F85" s="8"/>
      <c r="G85" s="8"/>
      <c r="H85" s="8"/>
      <c r="I85" s="8"/>
      <c r="J85" s="16"/>
      <c r="K85" s="16"/>
      <c r="L85" s="16"/>
      <c r="M85" s="16"/>
      <c r="N85" s="16"/>
      <c r="O85" s="16"/>
      <c r="P85" s="7"/>
      <c r="Q85" s="7"/>
      <c r="R85" s="7"/>
      <c r="S85" s="7"/>
      <c r="T85" s="7"/>
      <c r="U85" s="7"/>
      <c r="V85" s="7"/>
      <c r="W85" s="7"/>
      <c r="X85" s="7"/>
      <c r="Y85" s="7"/>
      <c r="Z85" s="7"/>
      <c r="AA85" s="7"/>
      <c r="AB85" s="7"/>
      <c r="AC85" s="7"/>
      <c r="AD85" s="7"/>
      <c r="AE85" s="7"/>
      <c r="AF85" s="7"/>
      <c r="AG85" s="7"/>
      <c r="AH85" s="7"/>
      <c r="AI85" s="7"/>
      <c r="AJ85" s="7"/>
      <c r="AK85" s="7"/>
      <c r="AL85" s="7"/>
      <c r="AM85" s="7"/>
    </row>
    <row r="86" spans="2:39">
      <c r="B86" t="s">
        <v>76</v>
      </c>
      <c r="C86" s="8"/>
      <c r="D86" s="8"/>
      <c r="E86" s="8"/>
      <c r="F86" s="8"/>
      <c r="G86" s="8"/>
      <c r="H86" s="8"/>
      <c r="I86" s="8"/>
      <c r="J86" s="16"/>
      <c r="K86" s="16"/>
      <c r="L86" s="16"/>
      <c r="M86" s="16"/>
      <c r="N86" s="16"/>
      <c r="O86" s="16"/>
      <c r="P86" s="7"/>
      <c r="Q86" s="7"/>
      <c r="R86" s="7"/>
      <c r="S86" s="7"/>
      <c r="T86" s="7"/>
      <c r="U86" s="7"/>
      <c r="V86" s="7"/>
      <c r="W86" s="7"/>
      <c r="X86" s="7"/>
      <c r="Y86" s="7"/>
      <c r="Z86" s="7"/>
      <c r="AA86" s="7"/>
      <c r="AB86" s="7"/>
      <c r="AC86" s="7"/>
      <c r="AD86" s="7"/>
      <c r="AE86" s="7"/>
      <c r="AF86" s="7"/>
      <c r="AG86" s="7"/>
      <c r="AH86" s="7"/>
      <c r="AI86" s="7"/>
      <c r="AJ86" s="7"/>
      <c r="AK86" s="7"/>
      <c r="AL86" s="7"/>
      <c r="AM86" s="7"/>
    </row>
    <row r="87" spans="2:39">
      <c r="B87" t="s">
        <v>77</v>
      </c>
      <c r="C87" s="8">
        <v>-10445</v>
      </c>
      <c r="D87" s="8">
        <v>-10848</v>
      </c>
      <c r="E87" s="8">
        <v>8066</v>
      </c>
      <c r="F87" s="8">
        <v>-12868</v>
      </c>
      <c r="G87" s="8">
        <v>6334</v>
      </c>
      <c r="H87" s="8">
        <v>-11676</v>
      </c>
      <c r="I87" s="8">
        <v>-23730</v>
      </c>
      <c r="J87" s="16">
        <f>+H119-J119</f>
        <v>-31219.7671232877</v>
      </c>
      <c r="K87" s="16">
        <f>I119-K119</f>
        <v>2941.56164383562</v>
      </c>
      <c r="L87" s="16">
        <f>J119-L119</f>
        <v>-1193.49315068492</v>
      </c>
      <c r="M87" s="16">
        <f>K119-M119</f>
        <v>-16930.1071321632</v>
      </c>
      <c r="N87" s="16">
        <f>L119-N119</f>
        <v>-14025.2161241215</v>
      </c>
      <c r="O87" s="16">
        <f>M119-O119</f>
        <v>-5051.88043772797</v>
      </c>
      <c r="P87" s="7"/>
      <c r="Q87" s="7"/>
      <c r="R87" s="7"/>
      <c r="S87" s="7"/>
      <c r="T87" s="7"/>
      <c r="U87" s="7"/>
      <c r="V87" s="7"/>
      <c r="W87" s="7"/>
      <c r="X87" s="7"/>
      <c r="Y87" s="7"/>
      <c r="Z87" s="7"/>
      <c r="AA87" s="7"/>
      <c r="AB87" s="7"/>
      <c r="AC87" s="7"/>
      <c r="AD87" s="7"/>
      <c r="AE87" s="7"/>
      <c r="AF87" s="7"/>
      <c r="AG87" s="7"/>
      <c r="AH87" s="7"/>
      <c r="AI87" s="7"/>
      <c r="AJ87" s="7"/>
      <c r="AK87" s="7"/>
      <c r="AL87" s="7"/>
      <c r="AM87" s="7"/>
    </row>
    <row r="88" spans="2:39">
      <c r="B88" t="s">
        <v>78</v>
      </c>
      <c r="C88" s="8">
        <v>-4840</v>
      </c>
      <c r="D88" s="8">
        <v>162</v>
      </c>
      <c r="E88" s="8">
        <v>-2011</v>
      </c>
      <c r="F88" s="8">
        <v>1544</v>
      </c>
      <c r="G88" s="8">
        <v>-20973</v>
      </c>
      <c r="H88" s="8">
        <v>-44911</v>
      </c>
      <c r="I88" s="8">
        <v>1882</v>
      </c>
      <c r="J88" s="16">
        <f t="shared" ref="J88:O88" si="37">+H120-J120</f>
        <v>-26470.6320166852</v>
      </c>
      <c r="K88" s="16">
        <f t="shared" si="37"/>
        <v>-23785.4383561644</v>
      </c>
      <c r="L88" s="16">
        <f t="shared" si="37"/>
        <v>13297.8374961373</v>
      </c>
      <c r="M88" s="16">
        <f t="shared" si="37"/>
        <v>41300.4794520548</v>
      </c>
      <c r="N88" s="16">
        <f t="shared" si="37"/>
        <v>46190.5859589041</v>
      </c>
      <c r="O88" s="16">
        <f t="shared" si="37"/>
        <v>25177.2119366858</v>
      </c>
      <c r="P88" s="7"/>
      <c r="Q88" s="7"/>
      <c r="R88" s="7"/>
      <c r="S88" s="7"/>
      <c r="T88" s="7"/>
      <c r="U88" s="7"/>
      <c r="V88" s="7"/>
      <c r="W88" s="7"/>
      <c r="X88" s="7"/>
      <c r="Y88" s="7"/>
      <c r="Z88" s="7"/>
      <c r="AA88" s="7"/>
      <c r="AB88" s="7"/>
      <c r="AC88" s="7"/>
      <c r="AD88" s="7"/>
      <c r="AE88" s="7"/>
      <c r="AF88" s="7"/>
      <c r="AG88" s="7"/>
      <c r="AH88" s="7"/>
      <c r="AI88" s="7"/>
      <c r="AJ88" s="7"/>
      <c r="AK88" s="7"/>
      <c r="AL88" s="7"/>
      <c r="AM88" s="7"/>
    </row>
    <row r="89" spans="2:39">
      <c r="B89" t="s">
        <v>79</v>
      </c>
      <c r="C89" s="8">
        <v>251</v>
      </c>
      <c r="D89" s="8">
        <v>405</v>
      </c>
      <c r="E89" s="8">
        <v>-557</v>
      </c>
      <c r="F89" s="8">
        <v>-818</v>
      </c>
      <c r="G89" s="8">
        <v>-1395</v>
      </c>
      <c r="H89" s="8">
        <v>-1271</v>
      </c>
      <c r="I89" s="8">
        <v>-4265</v>
      </c>
      <c r="J89" s="16">
        <f t="shared" ref="J89:O89" si="38">+H122-J122</f>
        <v>-7965.085524548</v>
      </c>
      <c r="K89" s="16">
        <f t="shared" si="38"/>
        <v>-4598</v>
      </c>
      <c r="L89" s="16">
        <f t="shared" si="38"/>
        <v>2241.398024548</v>
      </c>
      <c r="M89" s="16">
        <f t="shared" si="38"/>
        <v>2981.391875</v>
      </c>
      <c r="N89" s="16">
        <f t="shared" si="38"/>
        <v>5465.52468</v>
      </c>
      <c r="O89" s="16">
        <f t="shared" si="38"/>
        <v>7475.2585677</v>
      </c>
      <c r="P89" s="7"/>
      <c r="Q89" s="7"/>
      <c r="R89" s="7"/>
      <c r="S89" s="7"/>
      <c r="T89" s="7"/>
      <c r="U89" s="7"/>
      <c r="V89" s="7"/>
      <c r="W89" s="7"/>
      <c r="X89" s="7"/>
      <c r="Y89" s="7"/>
      <c r="Z89" s="7"/>
      <c r="AA89" s="7"/>
      <c r="AB89" s="7"/>
      <c r="AC89" s="7"/>
      <c r="AD89" s="7"/>
      <c r="AE89" s="7"/>
      <c r="AF89" s="7"/>
      <c r="AG89" s="7"/>
      <c r="AH89" s="7"/>
      <c r="AI89" s="7"/>
      <c r="AJ89" s="7"/>
      <c r="AK89" s="7"/>
      <c r="AL89" s="7"/>
      <c r="AM89" s="7"/>
    </row>
    <row r="90" spans="2:39">
      <c r="B90" t="s">
        <v>80</v>
      </c>
      <c r="C90" s="8"/>
      <c r="D90" s="8"/>
      <c r="E90" s="8"/>
      <c r="F90" s="8">
        <v>-929</v>
      </c>
      <c r="G90" s="8">
        <v>1216</v>
      </c>
      <c r="H90" s="8">
        <v>-328</v>
      </c>
      <c r="I90" s="8">
        <v>50</v>
      </c>
      <c r="J90" s="16">
        <f t="shared" ref="J90:O90" si="39">+H121-J121</f>
        <v>-1934.18633961588</v>
      </c>
      <c r="K90" s="16">
        <f t="shared" si="39"/>
        <v>-3145.12328767123</v>
      </c>
      <c r="L90" s="16">
        <f t="shared" si="39"/>
        <v>-79.5465370964494</v>
      </c>
      <c r="M90" s="16">
        <f t="shared" si="39"/>
        <v>2585.52739726027</v>
      </c>
      <c r="N90" s="16">
        <f t="shared" si="39"/>
        <v>2997.31202054795</v>
      </c>
      <c r="O90" s="16">
        <f t="shared" si="39"/>
        <v>3205.82970821918</v>
      </c>
      <c r="P90" s="7"/>
      <c r="Q90" s="7"/>
      <c r="R90" s="7"/>
      <c r="S90" s="7"/>
      <c r="T90" s="7"/>
      <c r="U90" s="7"/>
      <c r="V90" s="7"/>
      <c r="W90" s="7"/>
      <c r="X90" s="7"/>
      <c r="Y90" s="7"/>
      <c r="Z90" s="7"/>
      <c r="AA90" s="7"/>
      <c r="AB90" s="7"/>
      <c r="AC90" s="7"/>
      <c r="AD90" s="7"/>
      <c r="AE90" s="7"/>
      <c r="AF90" s="7"/>
      <c r="AG90" s="7"/>
      <c r="AH90" s="7"/>
      <c r="AI90" s="7"/>
      <c r="AJ90" s="7"/>
      <c r="AK90" s="7"/>
      <c r="AL90" s="7"/>
      <c r="AM90" s="7"/>
    </row>
    <row r="91" spans="2:39">
      <c r="B91" t="s">
        <v>81</v>
      </c>
      <c r="C91" s="8">
        <v>-3072</v>
      </c>
      <c r="D91" s="8">
        <v>3710</v>
      </c>
      <c r="E91" s="8">
        <v>3643</v>
      </c>
      <c r="F91" s="8">
        <v>5563</v>
      </c>
      <c r="G91" s="8">
        <v>8167</v>
      </c>
      <c r="H91" s="8">
        <v>17251</v>
      </c>
      <c r="I91" s="8">
        <v>3641</v>
      </c>
      <c r="J91" s="16">
        <f t="shared" ref="J91:O91" si="40">+J137-H137</f>
        <v>25231.141849961</v>
      </c>
      <c r="K91" s="16">
        <f t="shared" si="40"/>
        <v>14823.3835616438</v>
      </c>
      <c r="L91" s="16">
        <f t="shared" si="40"/>
        <v>-24259.54595955</v>
      </c>
      <c r="M91" s="16">
        <f t="shared" si="40"/>
        <v>-20060.4259417808</v>
      </c>
      <c r="N91" s="16">
        <f t="shared" si="40"/>
        <v>-2203.04579186557</v>
      </c>
      <c r="O91" s="16">
        <f t="shared" si="40"/>
        <v>8105.11791277811</v>
      </c>
      <c r="P91" s="7"/>
      <c r="Q91" s="7"/>
      <c r="R91" s="7"/>
      <c r="S91" s="7"/>
      <c r="T91" s="7"/>
      <c r="U91" s="7"/>
      <c r="V91" s="7"/>
      <c r="W91" s="7"/>
      <c r="X91" s="7"/>
      <c r="Y91" s="7"/>
      <c r="Z91" s="7"/>
      <c r="AA91" s="7"/>
      <c r="AB91" s="7"/>
      <c r="AC91" s="7"/>
      <c r="AD91" s="7"/>
      <c r="AE91" s="7"/>
      <c r="AF91" s="7"/>
      <c r="AG91" s="7"/>
      <c r="AH91" s="7"/>
      <c r="AI91" s="7"/>
      <c r="AJ91" s="7"/>
      <c r="AK91" s="7"/>
      <c r="AL91" s="7"/>
      <c r="AM91" s="7"/>
    </row>
    <row r="92" spans="2:39">
      <c r="B92" t="s">
        <v>82</v>
      </c>
      <c r="C92" s="8">
        <v>1838</v>
      </c>
      <c r="D92" s="8">
        <v>4291</v>
      </c>
      <c r="E92" s="8">
        <v>-2440</v>
      </c>
      <c r="F92" s="8">
        <v>-412</v>
      </c>
      <c r="G92" s="8">
        <v>-1806</v>
      </c>
      <c r="H92" s="8">
        <v>4501</v>
      </c>
      <c r="I92" s="8">
        <v>10078</v>
      </c>
      <c r="J92" s="16">
        <f>I92</f>
        <v>10078</v>
      </c>
      <c r="K92" s="17">
        <f>AVERAGE(C92:H92)</f>
        <v>995.333333333333</v>
      </c>
      <c r="L92" s="17">
        <f>AVERAGE(C92:H92)</f>
        <v>995.333333333333</v>
      </c>
      <c r="M92" s="17">
        <f>AVERAGE(C92:H92)</f>
        <v>995.333333333333</v>
      </c>
      <c r="N92" s="17">
        <f>AVERAGE(C92:H92)</f>
        <v>995.333333333333</v>
      </c>
      <c r="O92" s="17">
        <f>AVERAGE(C92:H92)</f>
        <v>995.333333333333</v>
      </c>
      <c r="P92" s="7"/>
      <c r="Q92" s="7"/>
      <c r="R92" s="7"/>
      <c r="S92" s="7"/>
      <c r="T92" s="7"/>
      <c r="U92" s="7"/>
      <c r="V92" s="7"/>
      <c r="W92" s="7"/>
      <c r="X92" s="7"/>
      <c r="Y92" s="7"/>
      <c r="Z92" s="7"/>
      <c r="AA92" s="7"/>
      <c r="AB92" s="7"/>
      <c r="AC92" s="7"/>
      <c r="AD92" s="7"/>
      <c r="AE92" s="7"/>
      <c r="AF92" s="7"/>
      <c r="AG92" s="7"/>
      <c r="AH92" s="7"/>
      <c r="AI92" s="7"/>
      <c r="AJ92" s="7"/>
      <c r="AK92" s="7"/>
      <c r="AL92" s="7"/>
      <c r="AM92" s="7"/>
    </row>
    <row r="93" spans="3:39">
      <c r="C93" s="8"/>
      <c r="D93" s="8"/>
      <c r="E93" s="8"/>
      <c r="F93" s="8"/>
      <c r="G93" s="8"/>
      <c r="H93" s="8"/>
      <c r="I93" s="8"/>
      <c r="J93" s="16"/>
      <c r="K93" s="16"/>
      <c r="L93" s="16"/>
      <c r="M93" s="16"/>
      <c r="N93" s="16"/>
      <c r="O93" s="16"/>
      <c r="P93" s="7"/>
      <c r="Q93" s="7"/>
      <c r="R93" s="7"/>
      <c r="S93" s="7"/>
      <c r="T93" s="7"/>
      <c r="U93" s="7"/>
      <c r="V93" s="7"/>
      <c r="W93" s="7"/>
      <c r="X93" s="7"/>
      <c r="Y93" s="7"/>
      <c r="Z93" s="7"/>
      <c r="AA93" s="7"/>
      <c r="AB93" s="7"/>
      <c r="AC93" s="7"/>
      <c r="AD93" s="7"/>
      <c r="AE93" s="7"/>
      <c r="AF93" s="7"/>
      <c r="AG93" s="7"/>
      <c r="AH93" s="7"/>
      <c r="AI93" s="7"/>
      <c r="AJ93" s="7"/>
      <c r="AK93" s="7"/>
      <c r="AL93" s="7"/>
      <c r="AM93" s="7"/>
    </row>
    <row r="94" spans="2:39">
      <c r="B94" t="s">
        <v>83</v>
      </c>
      <c r="C94" s="8">
        <v>87</v>
      </c>
      <c r="D94" s="8">
        <v>37</v>
      </c>
      <c r="E94" s="8">
        <v>204</v>
      </c>
      <c r="F94" s="8">
        <v>285</v>
      </c>
      <c r="G94" s="8">
        <v>-127</v>
      </c>
      <c r="H94" s="8">
        <v>-678</v>
      </c>
      <c r="I94" s="8">
        <v>-640</v>
      </c>
      <c r="J94" s="16">
        <f>I94</f>
        <v>-640</v>
      </c>
      <c r="K94" s="17">
        <v>-500</v>
      </c>
      <c r="L94" s="17">
        <f>AVERAGE(C94:I94)</f>
        <v>-118.857142857143</v>
      </c>
      <c r="M94" s="17">
        <f>AVERAGE(C94:I94)</f>
        <v>-118.857142857143</v>
      </c>
      <c r="N94" s="17">
        <f>AVERAGE(C94:I94)</f>
        <v>-118.857142857143</v>
      </c>
      <c r="O94" s="17">
        <f>AVERAGE(C94:I94)</f>
        <v>-118.857142857143</v>
      </c>
      <c r="P94" s="7"/>
      <c r="Q94" s="7"/>
      <c r="R94" s="7"/>
      <c r="S94" s="7"/>
      <c r="T94" s="7"/>
      <c r="U94" s="7"/>
      <c r="V94" s="7"/>
      <c r="W94" s="7"/>
      <c r="X94" s="7"/>
      <c r="Y94" s="7"/>
      <c r="Z94" s="7"/>
      <c r="AA94" s="7"/>
      <c r="AB94" s="7"/>
      <c r="AC94" s="7"/>
      <c r="AD94" s="7"/>
      <c r="AE94" s="7"/>
      <c r="AF94" s="7"/>
      <c r="AG94" s="7"/>
      <c r="AH94" s="7"/>
      <c r="AI94" s="7"/>
      <c r="AJ94" s="7"/>
      <c r="AK94" s="7"/>
      <c r="AL94" s="7"/>
      <c r="AM94" s="7"/>
    </row>
    <row r="95" spans="2:39">
      <c r="B95" t="s">
        <v>84</v>
      </c>
      <c r="C95" s="8">
        <v>-4083</v>
      </c>
      <c r="D95" s="8">
        <v>-4540</v>
      </c>
      <c r="E95" s="8">
        <v>-5511</v>
      </c>
      <c r="F95" s="8">
        <v>-7170</v>
      </c>
      <c r="G95" s="8">
        <v>-6384</v>
      </c>
      <c r="H95" s="8">
        <v>-3813</v>
      </c>
      <c r="I95" s="8">
        <v>-9507</v>
      </c>
      <c r="J95" s="16">
        <f>I95</f>
        <v>-9507</v>
      </c>
      <c r="K95" s="17">
        <f>AVERAGE(C95:H95)</f>
        <v>-5250.16666666667</v>
      </c>
      <c r="L95" s="17">
        <f>AVERAGE(C95:H95)</f>
        <v>-5250.16666666667</v>
      </c>
      <c r="M95" s="17">
        <f>AVERAGE(C95:H95)</f>
        <v>-5250.16666666667</v>
      </c>
      <c r="N95" s="17">
        <f>AVERAGE(C95:H95)</f>
        <v>-5250.16666666667</v>
      </c>
      <c r="O95" s="17">
        <f>N95*(1+O8)</f>
        <v>-5355.17</v>
      </c>
      <c r="P95" s="7"/>
      <c r="Q95" s="7"/>
      <c r="R95" s="7"/>
      <c r="S95" s="7"/>
      <c r="T95" s="7"/>
      <c r="U95" s="7"/>
      <c r="V95" s="7"/>
      <c r="W95" s="7"/>
      <c r="X95" s="7"/>
      <c r="Y95" s="7"/>
      <c r="Z95" s="7"/>
      <c r="AA95" s="7"/>
      <c r="AB95" s="7"/>
      <c r="AC95" s="7"/>
      <c r="AD95" s="7"/>
      <c r="AE95" s="7"/>
      <c r="AF95" s="7"/>
      <c r="AG95" s="7"/>
      <c r="AH95" s="7"/>
      <c r="AI95" s="7"/>
      <c r="AJ95" s="7"/>
      <c r="AK95" s="7"/>
      <c r="AL95" s="7"/>
      <c r="AM95" s="7"/>
    </row>
    <row r="96" spans="2:39">
      <c r="B96" s="9" t="s">
        <v>85</v>
      </c>
      <c r="C96" s="8">
        <f t="shared" ref="C96:O96" si="41">SUM(C73:C95)</f>
        <v>-2855</v>
      </c>
      <c r="D96" s="8">
        <f t="shared" si="41"/>
        <v>15408</v>
      </c>
      <c r="E96" s="8">
        <f t="shared" si="41"/>
        <v>25171</v>
      </c>
      <c r="F96" s="8">
        <f t="shared" si="41"/>
        <v>11383</v>
      </c>
      <c r="G96" s="8">
        <f t="shared" si="41"/>
        <v>13533</v>
      </c>
      <c r="H96" s="8">
        <f t="shared" si="41"/>
        <v>-2753</v>
      </c>
      <c r="I96" s="8">
        <f t="shared" si="41"/>
        <v>18877</v>
      </c>
      <c r="J96" s="16">
        <f t="shared" si="41"/>
        <v>21707.8417209026</v>
      </c>
      <c r="K96" s="16">
        <f t="shared" si="41"/>
        <v>63168.9252283104</v>
      </c>
      <c r="L96" s="16">
        <f t="shared" si="41"/>
        <v>53587.3843971635</v>
      </c>
      <c r="M96" s="16">
        <f t="shared" si="41"/>
        <v>75130.4155491806</v>
      </c>
      <c r="N96" s="16">
        <f t="shared" si="41"/>
        <v>104698.121727275</v>
      </c>
      <c r="O96" s="16">
        <f t="shared" si="41"/>
        <v>74712.6292220062</v>
      </c>
      <c r="P96" s="7"/>
      <c r="Q96" s="7"/>
      <c r="R96" s="7"/>
      <c r="S96" s="7"/>
      <c r="T96" s="7"/>
      <c r="U96" s="7"/>
      <c r="V96" s="7"/>
      <c r="W96" s="7"/>
      <c r="X96" s="7"/>
      <c r="Y96" s="7"/>
      <c r="Z96" s="7"/>
      <c r="AA96" s="7"/>
      <c r="AB96" s="7"/>
      <c r="AC96" s="7"/>
      <c r="AD96" s="7"/>
      <c r="AE96" s="7"/>
      <c r="AF96" s="7"/>
      <c r="AG96" s="7"/>
      <c r="AH96" s="7"/>
      <c r="AI96" s="7"/>
      <c r="AJ96" s="7"/>
      <c r="AK96" s="7"/>
      <c r="AL96" s="7"/>
      <c r="AM96" s="7"/>
    </row>
    <row r="97" spans="3:39">
      <c r="C97" s="8"/>
      <c r="D97" s="8"/>
      <c r="E97" s="8"/>
      <c r="F97" s="8"/>
      <c r="G97" s="8"/>
      <c r="H97" s="8"/>
      <c r="I97" s="8"/>
      <c r="J97" s="16"/>
      <c r="K97" s="16"/>
      <c r="L97" s="16"/>
      <c r="M97" s="16"/>
      <c r="N97" s="16"/>
      <c r="O97" s="16"/>
      <c r="P97" s="7"/>
      <c r="Q97" s="7"/>
      <c r="R97" s="7"/>
      <c r="S97" s="7"/>
      <c r="T97" s="7"/>
      <c r="U97" s="7"/>
      <c r="V97" s="7"/>
      <c r="W97" s="7"/>
      <c r="X97" s="7"/>
      <c r="Y97" s="7"/>
      <c r="Z97" s="7"/>
      <c r="AA97" s="7"/>
      <c r="AB97" s="7"/>
      <c r="AC97" s="7"/>
      <c r="AD97" s="7"/>
      <c r="AE97" s="7"/>
      <c r="AF97" s="7"/>
      <c r="AG97" s="7"/>
      <c r="AH97" s="7"/>
      <c r="AI97" s="7"/>
      <c r="AJ97" s="7"/>
      <c r="AK97" s="7"/>
      <c r="AL97" s="7"/>
      <c r="AM97" s="7"/>
    </row>
    <row r="98" spans="2:39">
      <c r="B98" t="s">
        <v>86</v>
      </c>
      <c r="C98" s="8">
        <v>442</v>
      </c>
      <c r="D98" s="8">
        <v>1995</v>
      </c>
      <c r="E98" s="8">
        <v>3195</v>
      </c>
      <c r="F98" s="8">
        <v>2122</v>
      </c>
      <c r="G98" s="8">
        <v>3316</v>
      </c>
      <c r="H98" s="8">
        <v>70488</v>
      </c>
      <c r="I98" s="8">
        <v>78294</v>
      </c>
      <c r="J98" s="16">
        <f>I98</f>
        <v>78294</v>
      </c>
      <c r="K98" s="17">
        <f>J98</f>
        <v>78294</v>
      </c>
      <c r="L98" s="17">
        <f>AVERAGE(C98:H98)</f>
        <v>13593</v>
      </c>
      <c r="M98" s="17">
        <f>AVERAGE(C98:H98)</f>
        <v>13593</v>
      </c>
      <c r="N98" s="17">
        <f>AVERAGE(C98:H98)</f>
        <v>13593</v>
      </c>
      <c r="O98" s="17">
        <f>AVERAGE(C98:H98)</f>
        <v>13593</v>
      </c>
      <c r="P98" s="7"/>
      <c r="Q98" s="7"/>
      <c r="R98" s="7"/>
      <c r="S98" s="7"/>
      <c r="T98" s="7"/>
      <c r="U98" s="7"/>
      <c r="V98" s="7"/>
      <c r="W98" s="7"/>
      <c r="X98" s="7"/>
      <c r="Y98" s="7"/>
      <c r="Z98" s="7"/>
      <c r="AA98" s="7"/>
      <c r="AB98" s="7"/>
      <c r="AC98" s="7"/>
      <c r="AD98" s="7"/>
      <c r="AE98" s="7"/>
      <c r="AF98" s="7"/>
      <c r="AG98" s="7"/>
      <c r="AH98" s="7"/>
      <c r="AI98" s="7"/>
      <c r="AJ98" s="7"/>
      <c r="AK98" s="7"/>
      <c r="AL98" s="7"/>
      <c r="AM98" s="7"/>
    </row>
    <row r="99" spans="2:39">
      <c r="B99" t="s">
        <v>87</v>
      </c>
      <c r="C99" s="8">
        <v>-8262</v>
      </c>
      <c r="D99" s="8">
        <v>-8320</v>
      </c>
      <c r="E99" s="8">
        <v>-8520</v>
      </c>
      <c r="F99" s="8">
        <v>-8668</v>
      </c>
      <c r="G99" s="8">
        <v>-8803</v>
      </c>
      <c r="H99" s="8">
        <v>-9938</v>
      </c>
      <c r="I99" s="8">
        <v>-8670</v>
      </c>
      <c r="J99" s="16">
        <f t="shared" ref="J99:O99" si="42">-J62*J26</f>
        <v>-9643.6863475719</v>
      </c>
      <c r="K99" s="16">
        <f t="shared" si="42"/>
        <v>-29676.0928284038</v>
      </c>
      <c r="L99" s="16">
        <f t="shared" si="42"/>
        <v>-26226.6453896147</v>
      </c>
      <c r="M99" s="16">
        <f t="shared" si="42"/>
        <v>-22511.2039594193</v>
      </c>
      <c r="N99" s="16">
        <f t="shared" si="42"/>
        <v>-22961.4280386077</v>
      </c>
      <c r="O99" s="16">
        <f t="shared" si="42"/>
        <v>-9390.37039051253</v>
      </c>
      <c r="P99" s="7"/>
      <c r="Q99" s="7"/>
      <c r="R99" s="7"/>
      <c r="S99" s="7"/>
      <c r="T99" s="7"/>
      <c r="U99" s="7"/>
      <c r="V99" s="7"/>
      <c r="W99" s="7"/>
      <c r="X99" s="7"/>
      <c r="Y99" s="7"/>
      <c r="Z99" s="7"/>
      <c r="AA99" s="7"/>
      <c r="AB99" s="7"/>
      <c r="AC99" s="7"/>
      <c r="AD99" s="7"/>
      <c r="AE99" s="7"/>
      <c r="AF99" s="7"/>
      <c r="AG99" s="7"/>
      <c r="AH99" s="7"/>
      <c r="AI99" s="7"/>
      <c r="AJ99" s="7"/>
      <c r="AK99" s="7"/>
      <c r="AL99" s="7"/>
      <c r="AM99" s="7"/>
    </row>
    <row r="100" spans="2:39">
      <c r="B100" t="s">
        <v>88</v>
      </c>
      <c r="C100" s="8"/>
      <c r="D100" s="8"/>
      <c r="E100" s="8"/>
      <c r="F100" s="8"/>
      <c r="G100" s="8">
        <v>13000</v>
      </c>
      <c r="H100" s="8">
        <v>-13000</v>
      </c>
      <c r="I100" s="8"/>
      <c r="J100" s="16"/>
      <c r="K100" s="16"/>
      <c r="L100" s="16"/>
      <c r="M100" s="16"/>
      <c r="N100" s="16"/>
      <c r="O100" s="16"/>
      <c r="P100" s="7"/>
      <c r="Q100" s="7"/>
      <c r="R100" s="7"/>
      <c r="S100" s="7"/>
      <c r="T100" s="7"/>
      <c r="U100" s="7"/>
      <c r="V100" s="7"/>
      <c r="W100" s="7"/>
      <c r="X100" s="7"/>
      <c r="Y100" s="7"/>
      <c r="Z100" s="7"/>
      <c r="AA100" s="7"/>
      <c r="AB100" s="7"/>
      <c r="AC100" s="7"/>
      <c r="AD100" s="7"/>
      <c r="AE100" s="7"/>
      <c r="AF100" s="7"/>
      <c r="AG100" s="7"/>
      <c r="AH100" s="7"/>
      <c r="AI100" s="7"/>
      <c r="AJ100" s="7"/>
      <c r="AK100" s="7"/>
      <c r="AL100" s="7"/>
      <c r="AM100" s="7"/>
    </row>
    <row r="101" spans="2:39">
      <c r="B101" t="s">
        <v>89</v>
      </c>
      <c r="C101" s="8"/>
      <c r="D101" s="8"/>
      <c r="E101" s="8"/>
      <c r="F101" s="8"/>
      <c r="G101" s="8">
        <v>-118</v>
      </c>
      <c r="H101" s="8">
        <v>0</v>
      </c>
      <c r="I101" s="8"/>
      <c r="J101" s="16"/>
      <c r="K101" s="16"/>
      <c r="L101" s="16"/>
      <c r="M101" s="16"/>
      <c r="N101" s="16"/>
      <c r="O101" s="16"/>
      <c r="P101" s="7"/>
      <c r="Q101" s="7"/>
      <c r="R101" s="7"/>
      <c r="S101" s="7"/>
      <c r="T101" s="7"/>
      <c r="U101" s="7"/>
      <c r="V101" s="7"/>
      <c r="W101" s="7"/>
      <c r="X101" s="7"/>
      <c r="Y101" s="7"/>
      <c r="Z101" s="7"/>
      <c r="AA101" s="7"/>
      <c r="AB101" s="7"/>
      <c r="AC101" s="7"/>
      <c r="AD101" s="7"/>
      <c r="AE101" s="7"/>
      <c r="AF101" s="7"/>
      <c r="AG101" s="7"/>
      <c r="AH101" s="7"/>
      <c r="AI101" s="7"/>
      <c r="AJ101" s="7"/>
      <c r="AK101" s="7"/>
      <c r="AL101" s="7"/>
      <c r="AM101" s="7"/>
    </row>
    <row r="102" spans="2:39">
      <c r="B102" t="s">
        <v>90</v>
      </c>
      <c r="C102" s="8"/>
      <c r="D102" s="8"/>
      <c r="E102" s="8"/>
      <c r="F102" s="8"/>
      <c r="G102" s="8">
        <v>0</v>
      </c>
      <c r="H102" s="8">
        <v>-2508</v>
      </c>
      <c r="I102" s="8">
        <v>-2251</v>
      </c>
      <c r="J102" s="16">
        <f>I102*4/3</f>
        <v>-3001.33333333333</v>
      </c>
      <c r="K102" s="17">
        <f>J102*(1+K8)</f>
        <v>-3301.46666666666</v>
      </c>
      <c r="L102" s="17">
        <f>K102*(1+L8)</f>
        <v>-3466.54</v>
      </c>
      <c r="M102" s="17">
        <f>L102*(1+M8)</f>
        <v>-3570.5362</v>
      </c>
      <c r="N102" s="17">
        <f>M102*(1+N8)</f>
        <v>-3641.946924</v>
      </c>
      <c r="O102" s="17">
        <f>N102*(1+O8)</f>
        <v>-3714.78586248</v>
      </c>
      <c r="P102" s="7"/>
      <c r="Q102" s="7"/>
      <c r="R102" s="7"/>
      <c r="S102" s="7"/>
      <c r="T102" s="7"/>
      <c r="U102" s="7"/>
      <c r="V102" s="7"/>
      <c r="W102" s="7"/>
      <c r="X102" s="7"/>
      <c r="Y102" s="7"/>
      <c r="Z102" s="7"/>
      <c r="AA102" s="7"/>
      <c r="AB102" s="7"/>
      <c r="AC102" s="7"/>
      <c r="AD102" s="7"/>
      <c r="AE102" s="7"/>
      <c r="AF102" s="7"/>
      <c r="AG102" s="7"/>
      <c r="AH102" s="7"/>
      <c r="AI102" s="7"/>
      <c r="AJ102" s="7"/>
      <c r="AK102" s="7"/>
      <c r="AL102" s="7"/>
      <c r="AM102" s="7"/>
    </row>
    <row r="103" spans="2:39">
      <c r="B103" s="9" t="s">
        <v>91</v>
      </c>
      <c r="C103" s="8">
        <f t="shared" ref="C103:O103" si="43">SUM(C98:C102)</f>
        <v>-7820</v>
      </c>
      <c r="D103" s="8">
        <f t="shared" si="43"/>
        <v>-6325</v>
      </c>
      <c r="E103" s="8">
        <f t="shared" si="43"/>
        <v>-5325</v>
      </c>
      <c r="F103" s="8">
        <f t="shared" si="43"/>
        <v>-6546</v>
      </c>
      <c r="G103" s="8">
        <f t="shared" si="43"/>
        <v>7395</v>
      </c>
      <c r="H103" s="8">
        <f t="shared" si="43"/>
        <v>45042</v>
      </c>
      <c r="I103" s="8">
        <f t="shared" si="43"/>
        <v>67373</v>
      </c>
      <c r="J103" s="16">
        <f t="shared" si="43"/>
        <v>65648.9803190948</v>
      </c>
      <c r="K103" s="16">
        <f t="shared" si="43"/>
        <v>45316.4405049295</v>
      </c>
      <c r="L103" s="16">
        <f t="shared" si="43"/>
        <v>-16100.1853896147</v>
      </c>
      <c r="M103" s="16">
        <f t="shared" si="43"/>
        <v>-12488.7401594193</v>
      </c>
      <c r="N103" s="16">
        <f t="shared" si="43"/>
        <v>-13010.3749626077</v>
      </c>
      <c r="O103" s="16">
        <f t="shared" si="43"/>
        <v>487.843747007472</v>
      </c>
      <c r="P103" s="7"/>
      <c r="Q103" s="7"/>
      <c r="R103" s="7"/>
      <c r="S103" s="7"/>
      <c r="T103" s="7"/>
      <c r="U103" s="7"/>
      <c r="V103" s="7"/>
      <c r="W103" s="7"/>
      <c r="X103" s="7"/>
      <c r="Y103" s="7"/>
      <c r="Z103" s="7"/>
      <c r="AA103" s="7"/>
      <c r="AB103" s="7"/>
      <c r="AC103" s="7"/>
      <c r="AD103" s="7"/>
      <c r="AE103" s="7"/>
      <c r="AF103" s="7"/>
      <c r="AG103" s="7"/>
      <c r="AH103" s="7"/>
      <c r="AI103" s="7"/>
      <c r="AJ103" s="7"/>
      <c r="AK103" s="7"/>
      <c r="AL103" s="7"/>
      <c r="AM103" s="7"/>
    </row>
    <row r="104" spans="3:39">
      <c r="C104" s="8"/>
      <c r="D104" s="8"/>
      <c r="E104" s="8"/>
      <c r="F104" s="8"/>
      <c r="G104" s="8"/>
      <c r="H104" s="8"/>
      <c r="I104" s="8"/>
      <c r="J104" s="16"/>
      <c r="K104" s="16"/>
      <c r="L104" s="16"/>
      <c r="M104" s="16"/>
      <c r="N104" s="16"/>
      <c r="O104" s="16"/>
      <c r="P104" s="7"/>
      <c r="Q104" s="7"/>
      <c r="R104" s="7"/>
      <c r="S104" s="7"/>
      <c r="T104" s="7"/>
      <c r="U104" s="7"/>
      <c r="V104" s="7"/>
      <c r="W104" s="7"/>
      <c r="X104" s="7"/>
      <c r="Y104" s="7"/>
      <c r="Z104" s="7"/>
      <c r="AA104" s="7"/>
      <c r="AB104" s="7"/>
      <c r="AC104" s="7"/>
      <c r="AD104" s="7"/>
      <c r="AE104" s="7"/>
      <c r="AF104" s="7"/>
      <c r="AG104" s="7"/>
      <c r="AH104" s="7"/>
      <c r="AI104" s="7"/>
      <c r="AJ104" s="7"/>
      <c r="AK104" s="7"/>
      <c r="AL104" s="7"/>
      <c r="AM104" s="7"/>
    </row>
    <row r="105" spans="2:39">
      <c r="B105" t="s">
        <v>92</v>
      </c>
      <c r="C105" s="8"/>
      <c r="D105" s="8">
        <v>0</v>
      </c>
      <c r="E105" s="8">
        <v>-250</v>
      </c>
      <c r="F105" s="8">
        <v>-150</v>
      </c>
      <c r="G105" s="8">
        <v>0</v>
      </c>
      <c r="H105" s="8">
        <v>-100</v>
      </c>
      <c r="I105" s="8"/>
      <c r="J105" s="16"/>
      <c r="K105" s="16"/>
      <c r="L105" s="16"/>
      <c r="M105" s="16"/>
      <c r="N105" s="16"/>
      <c r="O105" s="16"/>
      <c r="P105" s="7"/>
      <c r="Q105" s="7"/>
      <c r="R105" s="7"/>
      <c r="S105" s="7"/>
      <c r="T105" s="7"/>
      <c r="U105" s="7"/>
      <c r="V105" s="7"/>
      <c r="W105" s="7"/>
      <c r="X105" s="7"/>
      <c r="Y105" s="7"/>
      <c r="Z105" s="7"/>
      <c r="AA105" s="7"/>
      <c r="AB105" s="7"/>
      <c r="AC105" s="7"/>
      <c r="AD105" s="7"/>
      <c r="AE105" s="7"/>
      <c r="AF105" s="7"/>
      <c r="AG105" s="7"/>
      <c r="AH105" s="7"/>
      <c r="AI105" s="7"/>
      <c r="AJ105" s="7"/>
      <c r="AK105" s="7"/>
      <c r="AL105" s="7"/>
      <c r="AM105" s="7"/>
    </row>
    <row r="106" spans="2:39">
      <c r="B106" t="s">
        <v>93</v>
      </c>
      <c r="C106" s="8">
        <v>-1200</v>
      </c>
      <c r="D106" s="8">
        <v>-1195</v>
      </c>
      <c r="E106" s="8">
        <v>-5344</v>
      </c>
      <c r="F106" s="8">
        <v>-4975</v>
      </c>
      <c r="G106" s="8">
        <v>-20849</v>
      </c>
      <c r="H106" s="8">
        <v>-29288</v>
      </c>
      <c r="I106" s="8">
        <v>-49108</v>
      </c>
      <c r="J106" s="16">
        <f>I106*4/3</f>
        <v>-65477.3333333333</v>
      </c>
      <c r="K106" s="17">
        <f>J106</f>
        <v>-65477.3333333333</v>
      </c>
      <c r="L106" s="17">
        <f t="shared" ref="L106:O106" si="44">-50000</f>
        <v>-50000</v>
      </c>
      <c r="M106" s="17">
        <f t="shared" si="44"/>
        <v>-50000</v>
      </c>
      <c r="N106" s="17">
        <f t="shared" si="44"/>
        <v>-50000</v>
      </c>
      <c r="O106" s="17">
        <f t="shared" si="44"/>
        <v>-50000</v>
      </c>
      <c r="P106" s="7"/>
      <c r="Q106" s="7"/>
      <c r="R106" s="7"/>
      <c r="S106" s="7"/>
      <c r="T106" s="7"/>
      <c r="U106" s="7"/>
      <c r="V106" s="7"/>
      <c r="W106" s="7"/>
      <c r="X106" s="7"/>
      <c r="Y106" s="7"/>
      <c r="Z106" s="7"/>
      <c r="AA106" s="7"/>
      <c r="AB106" s="7"/>
      <c r="AC106" s="7"/>
      <c r="AD106" s="7"/>
      <c r="AE106" s="7"/>
      <c r="AF106" s="7"/>
      <c r="AG106" s="7"/>
      <c r="AH106" s="7"/>
      <c r="AI106" s="7"/>
      <c r="AJ106" s="7"/>
      <c r="AK106" s="7"/>
      <c r="AL106" s="7"/>
      <c r="AM106" s="7"/>
    </row>
    <row r="107" spans="2:39">
      <c r="B107" t="s">
        <v>94</v>
      </c>
      <c r="C107" s="8"/>
      <c r="D107" s="8"/>
      <c r="E107" s="8">
        <v>-300</v>
      </c>
      <c r="F107" s="8">
        <v>-1149</v>
      </c>
      <c r="G107" s="8">
        <v>-1768</v>
      </c>
      <c r="H107" s="8">
        <v>-1227</v>
      </c>
      <c r="I107" s="8">
        <v>-337</v>
      </c>
      <c r="J107" s="16">
        <f>I107*4/3</f>
        <v>-449.333333333333</v>
      </c>
      <c r="K107" s="17">
        <f>J107*(1+K8)</f>
        <v>-494.266666666666</v>
      </c>
      <c r="L107" s="17">
        <f>K107*(1+L8)</f>
        <v>-518.98</v>
      </c>
      <c r="M107" s="17">
        <f>L107*(1+M8)</f>
        <v>-534.5494</v>
      </c>
      <c r="N107" s="17">
        <f>M107*(1+N8)</f>
        <v>-545.240388</v>
      </c>
      <c r="O107" s="17">
        <f>N107*(1+O8)</f>
        <v>-556.14519576</v>
      </c>
      <c r="P107" s="7"/>
      <c r="Q107" s="7"/>
      <c r="R107" s="7"/>
      <c r="S107" s="7"/>
      <c r="T107" s="7"/>
      <c r="U107" s="7"/>
      <c r="V107" s="7"/>
      <c r="W107" s="7"/>
      <c r="X107" s="7"/>
      <c r="Y107" s="7"/>
      <c r="Z107" s="7"/>
      <c r="AA107" s="7"/>
      <c r="AB107" s="7"/>
      <c r="AC107" s="7"/>
      <c r="AD107" s="7"/>
      <c r="AE107" s="7"/>
      <c r="AF107" s="7"/>
      <c r="AG107" s="7"/>
      <c r="AH107" s="7"/>
      <c r="AI107" s="7"/>
      <c r="AJ107" s="7"/>
      <c r="AK107" s="7"/>
      <c r="AL107" s="7"/>
      <c r="AM107" s="7"/>
    </row>
    <row r="108" spans="2:39">
      <c r="B108" t="s">
        <v>95</v>
      </c>
      <c r="C108" s="8">
        <v>-2701</v>
      </c>
      <c r="D108" s="8">
        <v>-1751</v>
      </c>
      <c r="E108" s="8">
        <v>-2074</v>
      </c>
      <c r="F108" s="8">
        <v>-5360</v>
      </c>
      <c r="G108" s="8">
        <v>-3018</v>
      </c>
      <c r="H108" s="8">
        <v>-4574</v>
      </c>
      <c r="I108" s="8">
        <v>-4989</v>
      </c>
      <c r="J108" s="16">
        <f>I108*4/3</f>
        <v>-6652</v>
      </c>
      <c r="K108" s="17">
        <f>J108*(1+K8)</f>
        <v>-7317.2</v>
      </c>
      <c r="L108" s="17">
        <f>K108*(1+L8)</f>
        <v>-7683.06</v>
      </c>
      <c r="M108" s="17">
        <f>L108*(1+M8)</f>
        <v>-7913.5518</v>
      </c>
      <c r="N108" s="17">
        <f>M108*(1+N8)</f>
        <v>-8071.822836</v>
      </c>
      <c r="O108" s="17">
        <f>N108*(1+O8)</f>
        <v>-8233.25929272</v>
      </c>
      <c r="P108" s="7"/>
      <c r="Q108" s="7"/>
      <c r="R108" s="7"/>
      <c r="S108" s="7"/>
      <c r="T108" s="7"/>
      <c r="U108" s="7"/>
      <c r="V108" s="7"/>
      <c r="W108" s="7"/>
      <c r="X108" s="7"/>
      <c r="Y108" s="7"/>
      <c r="Z108" s="7"/>
      <c r="AA108" s="7"/>
      <c r="AB108" s="7"/>
      <c r="AC108" s="7"/>
      <c r="AD108" s="7"/>
      <c r="AE108" s="7"/>
      <c r="AF108" s="7"/>
      <c r="AG108" s="7"/>
      <c r="AH108" s="7"/>
      <c r="AI108" s="7"/>
      <c r="AJ108" s="7"/>
      <c r="AK108" s="7"/>
      <c r="AL108" s="7"/>
      <c r="AM108" s="7"/>
    </row>
    <row r="109" spans="2:39">
      <c r="B109" s="9" t="s">
        <v>96</v>
      </c>
      <c r="C109" s="8">
        <f t="shared" ref="C109:O109" si="45">SUM(C105:C108)</f>
        <v>-3901</v>
      </c>
      <c r="D109" s="8">
        <f t="shared" si="45"/>
        <v>-2946</v>
      </c>
      <c r="E109" s="8">
        <f t="shared" si="45"/>
        <v>-7968</v>
      </c>
      <c r="F109" s="8">
        <f t="shared" si="45"/>
        <v>-11634</v>
      </c>
      <c r="G109" s="8">
        <f t="shared" si="45"/>
        <v>-25635</v>
      </c>
      <c r="H109" s="8">
        <f t="shared" si="45"/>
        <v>-35189</v>
      </c>
      <c r="I109" s="8">
        <f t="shared" si="45"/>
        <v>-54434</v>
      </c>
      <c r="J109" s="16">
        <f t="shared" si="45"/>
        <v>-72578.6666666666</v>
      </c>
      <c r="K109" s="16">
        <f t="shared" si="45"/>
        <v>-73288.8</v>
      </c>
      <c r="L109" s="16">
        <f t="shared" si="45"/>
        <v>-58202.04</v>
      </c>
      <c r="M109" s="16">
        <f t="shared" si="45"/>
        <v>-58448.1012</v>
      </c>
      <c r="N109" s="16">
        <f t="shared" si="45"/>
        <v>-58617.063224</v>
      </c>
      <c r="O109" s="16">
        <f t="shared" si="45"/>
        <v>-58789.40448848</v>
      </c>
      <c r="P109" s="7"/>
      <c r="Q109" s="7"/>
      <c r="R109" s="7"/>
      <c r="S109" s="7"/>
      <c r="T109" s="7"/>
      <c r="U109" s="7"/>
      <c r="V109" s="7"/>
      <c r="W109" s="7"/>
      <c r="X109" s="7"/>
      <c r="Y109" s="7"/>
      <c r="Z109" s="7"/>
      <c r="AA109" s="7"/>
      <c r="AB109" s="7"/>
      <c r="AC109" s="7"/>
      <c r="AD109" s="7"/>
      <c r="AE109" s="7"/>
      <c r="AF109" s="7"/>
      <c r="AG109" s="7"/>
      <c r="AH109" s="7"/>
      <c r="AI109" s="7"/>
      <c r="AJ109" s="7"/>
      <c r="AK109" s="7"/>
      <c r="AL109" s="7"/>
      <c r="AM109" s="7"/>
    </row>
    <row r="110" spans="3:39">
      <c r="C110" s="8"/>
      <c r="D110" s="8"/>
      <c r="E110" s="8"/>
      <c r="F110" s="8"/>
      <c r="G110" s="8"/>
      <c r="H110" s="8"/>
      <c r="I110" s="8"/>
      <c r="J110" s="16"/>
      <c r="K110" s="16"/>
      <c r="L110" s="16"/>
      <c r="M110" s="16"/>
      <c r="N110" s="16"/>
      <c r="O110" s="16"/>
      <c r="P110" s="7"/>
      <c r="Q110" s="7"/>
      <c r="R110" s="7"/>
      <c r="S110" s="7"/>
      <c r="T110" s="7"/>
      <c r="U110" s="7"/>
      <c r="V110" s="7"/>
      <c r="W110" s="7"/>
      <c r="X110" s="7"/>
      <c r="Y110" s="7"/>
      <c r="Z110" s="7"/>
      <c r="AA110" s="7"/>
      <c r="AB110" s="7"/>
      <c r="AC110" s="7"/>
      <c r="AD110" s="7"/>
      <c r="AE110" s="7"/>
      <c r="AF110" s="7"/>
      <c r="AG110" s="7"/>
      <c r="AH110" s="7"/>
      <c r="AI110" s="7"/>
      <c r="AJ110" s="7"/>
      <c r="AK110" s="7"/>
      <c r="AL110" s="7"/>
      <c r="AM110" s="7"/>
    </row>
    <row r="111" spans="2:39">
      <c r="B111" s="9" t="s">
        <v>97</v>
      </c>
      <c r="C111" s="8">
        <f t="shared" ref="C111:O111" si="46">C96+C103+C109</f>
        <v>-14576</v>
      </c>
      <c r="D111" s="8">
        <f t="shared" si="46"/>
        <v>6137</v>
      </c>
      <c r="E111" s="8">
        <f t="shared" si="46"/>
        <v>11878</v>
      </c>
      <c r="F111" s="8">
        <f t="shared" si="46"/>
        <v>-6797</v>
      </c>
      <c r="G111" s="8">
        <f t="shared" si="46"/>
        <v>-4707</v>
      </c>
      <c r="H111" s="8">
        <f t="shared" si="46"/>
        <v>7100</v>
      </c>
      <c r="I111" s="8">
        <f t="shared" si="46"/>
        <v>31816</v>
      </c>
      <c r="J111" s="16">
        <f t="shared" si="46"/>
        <v>14778.1553733308</v>
      </c>
      <c r="K111" s="16">
        <f t="shared" si="46"/>
        <v>35196.5657332399</v>
      </c>
      <c r="L111" s="16">
        <f t="shared" si="46"/>
        <v>-20714.8409924513</v>
      </c>
      <c r="M111" s="16">
        <f t="shared" si="46"/>
        <v>4193.5741897613</v>
      </c>
      <c r="N111" s="16">
        <f t="shared" si="46"/>
        <v>33070.6835406669</v>
      </c>
      <c r="O111" s="16">
        <f t="shared" si="46"/>
        <v>16411.0684805337</v>
      </c>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2:39">
      <c r="B112" t="s">
        <v>98</v>
      </c>
      <c r="C112" s="8">
        <v>25200</v>
      </c>
      <c r="D112" s="8">
        <v>10624</v>
      </c>
      <c r="E112" s="8">
        <v>16761</v>
      </c>
      <c r="F112" s="8">
        <v>28639</v>
      </c>
      <c r="G112" s="8">
        <v>21842</v>
      </c>
      <c r="H112" s="8">
        <f t="shared" ref="H112:O112" si="47">G113</f>
        <v>17135</v>
      </c>
      <c r="I112" s="8">
        <f t="shared" si="47"/>
        <v>24235</v>
      </c>
      <c r="J112" s="16">
        <f t="shared" si="47"/>
        <v>56051</v>
      </c>
      <c r="K112" s="16">
        <f t="shared" si="47"/>
        <v>70829.1553733308</v>
      </c>
      <c r="L112" s="16">
        <f t="shared" si="47"/>
        <v>106025.721106571</v>
      </c>
      <c r="M112" s="16">
        <f t="shared" si="47"/>
        <v>85310.8801141194</v>
      </c>
      <c r="N112" s="16">
        <f t="shared" si="47"/>
        <v>89504.4543038807</v>
      </c>
      <c r="O112" s="16">
        <f t="shared" si="47"/>
        <v>122575.137844548</v>
      </c>
      <c r="P112" s="7"/>
      <c r="Q112" s="7"/>
      <c r="R112" s="7"/>
      <c r="S112" s="7"/>
      <c r="T112" s="7"/>
      <c r="U112" s="7"/>
      <c r="V112" s="7"/>
      <c r="W112" s="7"/>
      <c r="X112" s="7"/>
      <c r="Y112" s="7"/>
      <c r="Z112" s="7"/>
      <c r="AA112" s="7"/>
      <c r="AB112" s="7"/>
      <c r="AC112" s="7"/>
      <c r="AD112" s="7"/>
      <c r="AE112" s="7"/>
      <c r="AF112" s="7"/>
      <c r="AG112" s="7"/>
      <c r="AH112" s="7"/>
      <c r="AI112" s="7"/>
      <c r="AJ112" s="7"/>
      <c r="AK112" s="7"/>
      <c r="AL112" s="7"/>
      <c r="AM112" s="7"/>
    </row>
    <row r="113" spans="2:39">
      <c r="B113" t="s">
        <v>99</v>
      </c>
      <c r="C113" s="8">
        <v>10624</v>
      </c>
      <c r="D113" s="8">
        <v>16761</v>
      </c>
      <c r="E113" s="8">
        <v>28639</v>
      </c>
      <c r="F113" s="8">
        <v>21842</v>
      </c>
      <c r="G113" s="8">
        <v>17135</v>
      </c>
      <c r="H113" s="8">
        <v>24235</v>
      </c>
      <c r="I113" s="8">
        <f>I112+I111</f>
        <v>56051</v>
      </c>
      <c r="J113" s="16">
        <f>J111+J112</f>
        <v>70829.1553733308</v>
      </c>
      <c r="K113" s="16">
        <f>K111+K112</f>
        <v>106025.721106571</v>
      </c>
      <c r="L113" s="16">
        <f>L112+L111</f>
        <v>85310.8801141194</v>
      </c>
      <c r="M113" s="16">
        <f>M111+M112</f>
        <v>89504.4543038807</v>
      </c>
      <c r="N113" s="16">
        <f>N111+N112</f>
        <v>122575.137844548</v>
      </c>
      <c r="O113" s="16">
        <f>O112+O111</f>
        <v>138986.206325082</v>
      </c>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3:39">
      <c r="C114" s="8"/>
      <c r="D114" s="8"/>
      <c r="E114" s="8"/>
      <c r="F114" s="8"/>
      <c r="G114" s="8"/>
      <c r="H114" s="8"/>
      <c r="I114" s="8"/>
      <c r="J114" s="16"/>
      <c r="K114" s="16"/>
      <c r="L114" s="16"/>
      <c r="M114" s="16"/>
      <c r="N114" s="16"/>
      <c r="O114" s="16"/>
      <c r="P114" s="7"/>
      <c r="Q114" s="7"/>
      <c r="R114" s="7"/>
      <c r="S114" s="7"/>
      <c r="T114" s="7"/>
      <c r="U114" s="7"/>
      <c r="V114" s="7"/>
      <c r="W114" s="7"/>
      <c r="X114" s="7"/>
      <c r="Y114" s="7"/>
      <c r="Z114" s="7"/>
      <c r="AA114" s="7"/>
      <c r="AB114" s="7"/>
      <c r="AC114" s="7"/>
      <c r="AD114" s="7"/>
      <c r="AE114" s="7"/>
      <c r="AF114" s="7"/>
      <c r="AG114" s="7"/>
      <c r="AH114" s="7"/>
      <c r="AI114" s="7"/>
      <c r="AJ114" s="7"/>
      <c r="AK114" s="7"/>
      <c r="AL114" s="7"/>
      <c r="AM114" s="7"/>
    </row>
    <row r="115" spans="3:39">
      <c r="C115" s="8"/>
      <c r="D115" s="8"/>
      <c r="E115" s="8"/>
      <c r="F115" s="8"/>
      <c r="G115" s="8"/>
      <c r="H115" s="8"/>
      <c r="I115" s="8"/>
      <c r="J115" s="16"/>
      <c r="K115" s="16"/>
      <c r="L115" s="16"/>
      <c r="M115" s="16"/>
      <c r="N115" s="16"/>
      <c r="O115" s="16"/>
      <c r="P115" s="7"/>
      <c r="Q115" s="7"/>
      <c r="R115" s="7"/>
      <c r="S115" s="7"/>
      <c r="T115" s="7"/>
      <c r="U115" s="7"/>
      <c r="V115" s="7"/>
      <c r="W115" s="7"/>
      <c r="X115" s="7"/>
      <c r="Y115" s="7"/>
      <c r="Z115" s="7"/>
      <c r="AA115" s="7"/>
      <c r="AB115" s="7"/>
      <c r="AC115" s="7"/>
      <c r="AD115" s="7"/>
      <c r="AE115" s="7"/>
      <c r="AF115" s="7"/>
      <c r="AG115" s="7"/>
      <c r="AH115" s="7"/>
      <c r="AI115" s="7"/>
      <c r="AJ115" s="7"/>
      <c r="AK115" s="7"/>
      <c r="AL115" s="7"/>
      <c r="AM115" s="7"/>
    </row>
    <row r="116" spans="2:39">
      <c r="B116" s="1" t="s">
        <v>100</v>
      </c>
      <c r="C116" s="8"/>
      <c r="D116" s="8"/>
      <c r="E116" s="8"/>
      <c r="F116" s="8"/>
      <c r="G116" s="8"/>
      <c r="H116" s="8"/>
      <c r="I116" s="8"/>
      <c r="J116" s="16"/>
      <c r="K116" s="16"/>
      <c r="L116" s="16"/>
      <c r="M116" s="16"/>
      <c r="N116" s="16"/>
      <c r="O116" s="16"/>
      <c r="P116" s="7"/>
      <c r="Q116" s="7"/>
      <c r="R116" s="7"/>
      <c r="S116" s="7"/>
      <c r="T116" s="7"/>
      <c r="U116" s="7"/>
      <c r="V116" s="7"/>
      <c r="W116" s="7"/>
      <c r="X116" s="7"/>
      <c r="Y116" s="7"/>
      <c r="Z116" s="7"/>
      <c r="AA116" s="7"/>
      <c r="AB116" s="7"/>
      <c r="AC116" s="7"/>
      <c r="AD116" s="7"/>
      <c r="AE116" s="7"/>
      <c r="AF116" s="7"/>
      <c r="AG116" s="7"/>
      <c r="AH116" s="7"/>
      <c r="AI116" s="7"/>
      <c r="AJ116" s="7"/>
      <c r="AK116" s="7"/>
      <c r="AL116" s="7"/>
      <c r="AM116" s="7"/>
    </row>
    <row r="117" spans="2:39">
      <c r="B117" s="9"/>
      <c r="C117" s="8"/>
      <c r="D117" s="8"/>
      <c r="E117" s="8"/>
      <c r="F117" s="8"/>
      <c r="G117" s="8"/>
      <c r="H117" s="8"/>
      <c r="I117" s="8"/>
      <c r="J117" s="16"/>
      <c r="K117" s="16"/>
      <c r="L117" s="16"/>
      <c r="M117" s="16"/>
      <c r="N117" s="16"/>
      <c r="O117" s="16"/>
      <c r="P117" s="7"/>
      <c r="Q117" s="7"/>
      <c r="R117" s="7"/>
      <c r="S117" s="7"/>
      <c r="T117" s="7"/>
      <c r="U117" s="7"/>
      <c r="V117" s="7"/>
      <c r="W117" s="7"/>
      <c r="X117" s="7"/>
      <c r="Y117" s="7"/>
      <c r="Z117" s="7"/>
      <c r="AA117" s="7"/>
      <c r="AB117" s="7"/>
      <c r="AC117" s="7"/>
      <c r="AD117" s="7"/>
      <c r="AE117" s="7"/>
      <c r="AF117" s="7"/>
      <c r="AG117" s="7"/>
      <c r="AH117" s="7"/>
      <c r="AI117" s="7"/>
      <c r="AJ117" s="7"/>
      <c r="AK117" s="7"/>
      <c r="AL117" s="7"/>
      <c r="AM117" s="7"/>
    </row>
    <row r="118" spans="2:39">
      <c r="B118" t="s">
        <v>101</v>
      </c>
      <c r="C118" s="8">
        <v>10624</v>
      </c>
      <c r="D118" s="8">
        <v>16761</v>
      </c>
      <c r="E118" s="8">
        <v>28639</v>
      </c>
      <c r="F118" s="8">
        <v>21842</v>
      </c>
      <c r="G118" s="8">
        <v>17135</v>
      </c>
      <c r="H118" s="8">
        <v>24235</v>
      </c>
      <c r="I118" s="8">
        <f t="shared" ref="I118:O118" si="48">I113</f>
        <v>56051</v>
      </c>
      <c r="J118" s="16">
        <f t="shared" si="48"/>
        <v>70829.1553733308</v>
      </c>
      <c r="K118" s="16">
        <f t="shared" si="48"/>
        <v>106025.721106571</v>
      </c>
      <c r="L118" s="16">
        <f t="shared" si="48"/>
        <v>85310.8801141194</v>
      </c>
      <c r="M118" s="16">
        <f t="shared" si="48"/>
        <v>89504.4543038807</v>
      </c>
      <c r="N118" s="16">
        <f t="shared" si="48"/>
        <v>122575.137844548</v>
      </c>
      <c r="O118" s="16">
        <f t="shared" si="48"/>
        <v>138986.206325082</v>
      </c>
      <c r="P118" s="7"/>
      <c r="Q118" s="7"/>
      <c r="R118" s="7"/>
      <c r="S118" s="7"/>
      <c r="T118" s="7"/>
      <c r="U118" s="7"/>
      <c r="V118" s="7"/>
      <c r="W118" s="7"/>
      <c r="X118" s="7"/>
      <c r="Y118" s="7"/>
      <c r="Z118" s="7"/>
      <c r="AA118" s="7"/>
      <c r="AB118" s="7"/>
      <c r="AC118" s="7"/>
      <c r="AD118" s="7"/>
      <c r="AE118" s="7"/>
      <c r="AF118" s="7"/>
      <c r="AG118" s="7"/>
      <c r="AH118" s="7"/>
      <c r="AI118" s="7"/>
      <c r="AJ118" s="7"/>
      <c r="AK118" s="7"/>
      <c r="AL118" s="7"/>
      <c r="AM118" s="7"/>
    </row>
    <row r="119" spans="2:39">
      <c r="B119" t="s">
        <v>102</v>
      </c>
      <c r="C119" s="8">
        <v>50494</v>
      </c>
      <c r="D119" s="8">
        <v>61032</v>
      </c>
      <c r="E119" s="8">
        <v>54884</v>
      </c>
      <c r="F119" s="8">
        <v>69096</v>
      </c>
      <c r="G119" s="8">
        <v>63977</v>
      </c>
      <c r="H119" s="8">
        <v>81109</v>
      </c>
      <c r="I119" s="8">
        <v>111058</v>
      </c>
      <c r="J119" s="16">
        <f t="shared" ref="J119:O119" si="49">+J12*J38/365</f>
        <v>112328.767123288</v>
      </c>
      <c r="K119" s="16">
        <f t="shared" si="49"/>
        <v>108116.438356164</v>
      </c>
      <c r="L119" s="16">
        <f t="shared" si="49"/>
        <v>113522.260273973</v>
      </c>
      <c r="M119" s="16">
        <f t="shared" si="49"/>
        <v>125046.545488328</v>
      </c>
      <c r="N119" s="16">
        <f t="shared" si="49"/>
        <v>127547.476398094</v>
      </c>
      <c r="O119" s="16">
        <f t="shared" si="49"/>
        <v>130098.425926056</v>
      </c>
      <c r="P119" s="7"/>
      <c r="Q119" s="7"/>
      <c r="R119" s="7"/>
      <c r="S119" s="7"/>
      <c r="T119" s="7"/>
      <c r="U119" s="7"/>
      <c r="V119" s="7"/>
      <c r="W119" s="7"/>
      <c r="X119" s="7"/>
      <c r="Y119" s="7"/>
      <c r="Z119" s="7"/>
      <c r="AA119" s="7"/>
      <c r="AB119" s="7"/>
      <c r="AC119" s="7"/>
      <c r="AD119" s="7"/>
      <c r="AE119" s="7"/>
      <c r="AF119" s="7"/>
      <c r="AG119" s="7"/>
      <c r="AH119" s="7"/>
      <c r="AI119" s="7"/>
      <c r="AJ119" s="7"/>
      <c r="AK119" s="7"/>
      <c r="AL119" s="7"/>
      <c r="AM119" s="7"/>
    </row>
    <row r="120" spans="2:39">
      <c r="B120" t="s">
        <v>78</v>
      </c>
      <c r="C120" s="8">
        <v>17431</v>
      </c>
      <c r="D120" s="8">
        <v>17269</v>
      </c>
      <c r="E120" s="8">
        <v>19490</v>
      </c>
      <c r="F120" s="8">
        <v>17377</v>
      </c>
      <c r="G120" s="8">
        <v>39221</v>
      </c>
      <c r="H120" s="8">
        <v>84132</v>
      </c>
      <c r="I120" s="8">
        <v>84331</v>
      </c>
      <c r="J120" s="18">
        <f>+J13*J38/365</f>
        <v>110602.632016685</v>
      </c>
      <c r="K120" s="18">
        <f t="shared" ref="J120:O120" si="50">+K13*K38/365</f>
        <v>108116.438356164</v>
      </c>
      <c r="L120" s="18">
        <f t="shared" si="50"/>
        <v>97304.7945205479</v>
      </c>
      <c r="M120" s="18">
        <f t="shared" si="50"/>
        <v>66815.9589041096</v>
      </c>
      <c r="N120" s="18">
        <f t="shared" si="50"/>
        <v>51114.2085616438</v>
      </c>
      <c r="O120" s="18">
        <f t="shared" si="50"/>
        <v>41638.7469674239</v>
      </c>
      <c r="P120" s="7"/>
      <c r="Q120" s="7"/>
      <c r="R120" s="7"/>
      <c r="S120" s="7"/>
      <c r="T120" s="7"/>
      <c r="U120" s="7"/>
      <c r="V120" s="7"/>
      <c r="W120" s="7"/>
      <c r="X120" s="7"/>
      <c r="Y120" s="7"/>
      <c r="Z120" s="7"/>
      <c r="AA120" s="7"/>
      <c r="AB120" s="7"/>
      <c r="AC120" s="7"/>
      <c r="AD120" s="7"/>
      <c r="AE120" s="7"/>
      <c r="AF120" s="7"/>
      <c r="AG120" s="7"/>
      <c r="AH120" s="7"/>
      <c r="AI120" s="7"/>
      <c r="AJ120" s="7"/>
      <c r="AK120" s="7"/>
      <c r="AL120" s="7"/>
      <c r="AM120" s="7"/>
    </row>
    <row r="121" spans="2:39">
      <c r="B121" t="s">
        <v>80</v>
      </c>
      <c r="C121" s="8"/>
      <c r="D121" s="8"/>
      <c r="E121" s="8"/>
      <c r="F121" s="8">
        <v>1498</v>
      </c>
      <c r="G121" s="8">
        <v>3147</v>
      </c>
      <c r="H121" s="8">
        <v>6095</v>
      </c>
      <c r="I121" s="8">
        <v>6122</v>
      </c>
      <c r="J121" s="18">
        <f t="shared" ref="J121:O121" si="51">+J14*J38/365</f>
        <v>8029.18633961588</v>
      </c>
      <c r="K121" s="18">
        <f t="shared" si="51"/>
        <v>9267.12328767123</v>
      </c>
      <c r="L121" s="18">
        <f t="shared" si="51"/>
        <v>8108.73287671233</v>
      </c>
      <c r="M121" s="18">
        <f t="shared" si="51"/>
        <v>6681.59589041096</v>
      </c>
      <c r="N121" s="18">
        <f t="shared" si="51"/>
        <v>5111.42085616438</v>
      </c>
      <c r="O121" s="18">
        <f t="shared" si="51"/>
        <v>3475.76618219178</v>
      </c>
      <c r="P121" s="7"/>
      <c r="Q121" s="7"/>
      <c r="R121" s="7"/>
      <c r="S121" s="7"/>
      <c r="T121" s="7"/>
      <c r="U121" s="7"/>
      <c r="V121" s="7"/>
      <c r="W121" s="7"/>
      <c r="X121" s="7"/>
      <c r="Y121" s="7"/>
      <c r="Z121" s="7"/>
      <c r="AA121" s="7"/>
      <c r="AB121" s="7"/>
      <c r="AC121" s="7"/>
      <c r="AD121" s="7"/>
      <c r="AE121" s="7"/>
      <c r="AF121" s="7"/>
      <c r="AG121" s="7"/>
      <c r="AH121" s="7"/>
      <c r="AI121" s="7"/>
      <c r="AJ121" s="7"/>
      <c r="AK121" s="7"/>
      <c r="AL121" s="7"/>
      <c r="AM121" s="7"/>
    </row>
    <row r="122" spans="2:39">
      <c r="B122" t="s">
        <v>79</v>
      </c>
      <c r="C122" s="8">
        <v>1449</v>
      </c>
      <c r="D122" s="8">
        <v>1044</v>
      </c>
      <c r="E122" s="8">
        <v>1650</v>
      </c>
      <c r="F122" s="8">
        <v>3879</v>
      </c>
      <c r="G122" s="8">
        <v>5403</v>
      </c>
      <c r="H122" s="8">
        <v>6707</v>
      </c>
      <c r="I122" s="8">
        <v>11187</v>
      </c>
      <c r="J122" s="16">
        <f t="shared" ref="J122:O122" si="52">+J45*J15</f>
        <v>14672.085524548</v>
      </c>
      <c r="K122" s="16">
        <f t="shared" si="52"/>
        <v>15785</v>
      </c>
      <c r="L122" s="16">
        <f t="shared" si="52"/>
        <v>12430.6875</v>
      </c>
      <c r="M122" s="16">
        <f t="shared" si="52"/>
        <v>12803.608125</v>
      </c>
      <c r="N122" s="16">
        <f t="shared" si="52"/>
        <v>6965.16282</v>
      </c>
      <c r="O122" s="16">
        <f t="shared" si="52"/>
        <v>5328.3495573</v>
      </c>
      <c r="P122" s="7"/>
      <c r="Q122" s="7"/>
      <c r="R122" s="7"/>
      <c r="S122" s="7"/>
      <c r="T122" s="7"/>
      <c r="U122" s="7"/>
      <c r="V122" s="7"/>
      <c r="W122" s="7"/>
      <c r="X122" s="7"/>
      <c r="Y122" s="7"/>
      <c r="Z122" s="7"/>
      <c r="AA122" s="7"/>
      <c r="AB122" s="7"/>
      <c r="AC122" s="7"/>
      <c r="AD122" s="7"/>
      <c r="AE122" s="7"/>
      <c r="AF122" s="7"/>
      <c r="AG122" s="7"/>
      <c r="AH122" s="7"/>
      <c r="AI122" s="7"/>
      <c r="AJ122" s="7"/>
      <c r="AK122" s="7"/>
      <c r="AL122" s="7"/>
      <c r="AM122" s="7"/>
    </row>
    <row r="123" spans="2:39">
      <c r="B123" t="s">
        <v>103</v>
      </c>
      <c r="C123" s="8">
        <v>424</v>
      </c>
      <c r="D123" s="8">
        <v>534</v>
      </c>
      <c r="E123" s="8">
        <v>123</v>
      </c>
      <c r="F123" s="8">
        <v>1021</v>
      </c>
      <c r="G123" s="8">
        <v>96</v>
      </c>
      <c r="H123" s="8">
        <v>358</v>
      </c>
      <c r="I123" s="8">
        <v>137</v>
      </c>
      <c r="J123" s="16">
        <f>I123*4/3</f>
        <v>182.666666666667</v>
      </c>
      <c r="K123" s="18">
        <f>+K16</f>
        <v>182.666666666667</v>
      </c>
      <c r="L123" s="18">
        <f>+L16</f>
        <v>182.666666666667</v>
      </c>
      <c r="M123" s="18">
        <f>+M16</f>
        <v>182.666666666667</v>
      </c>
      <c r="N123" s="18">
        <f>+N16</f>
        <v>182.666666666667</v>
      </c>
      <c r="O123" s="18">
        <f>+O16</f>
        <v>182.666666666667</v>
      </c>
      <c r="P123" s="7"/>
      <c r="Q123" s="7"/>
      <c r="R123" s="7"/>
      <c r="S123" s="7"/>
      <c r="T123" s="7"/>
      <c r="U123" s="7"/>
      <c r="V123" s="7"/>
      <c r="W123" s="7"/>
      <c r="X123" s="7"/>
      <c r="Y123" s="7"/>
      <c r="Z123" s="7"/>
      <c r="AA123" s="7"/>
      <c r="AB123" s="7"/>
      <c r="AC123" s="7"/>
      <c r="AD123" s="7"/>
      <c r="AE123" s="7"/>
      <c r="AF123" s="7"/>
      <c r="AG123" s="7"/>
      <c r="AH123" s="7"/>
      <c r="AI123" s="7"/>
      <c r="AJ123" s="7"/>
      <c r="AK123" s="7"/>
      <c r="AL123" s="7"/>
      <c r="AM123" s="7"/>
    </row>
    <row r="124" spans="2:39">
      <c r="B124" t="s">
        <v>104</v>
      </c>
      <c r="C124" s="8">
        <f t="shared" ref="C124:O124" si="53">SUM(C118:C123)</f>
        <v>80422</v>
      </c>
      <c r="D124" s="8">
        <f t="shared" si="53"/>
        <v>96640</v>
      </c>
      <c r="E124" s="8">
        <f t="shared" si="53"/>
        <v>104786</v>
      </c>
      <c r="F124" s="8">
        <f t="shared" si="53"/>
        <v>114713</v>
      </c>
      <c r="G124" s="8">
        <f t="shared" si="53"/>
        <v>128979</v>
      </c>
      <c r="H124" s="8">
        <f t="shared" si="53"/>
        <v>202636</v>
      </c>
      <c r="I124" s="8">
        <f t="shared" si="53"/>
        <v>268886</v>
      </c>
      <c r="J124" s="16">
        <f t="shared" si="53"/>
        <v>316644.493044134</v>
      </c>
      <c r="K124" s="16">
        <f t="shared" si="53"/>
        <v>347493.387773237</v>
      </c>
      <c r="L124" s="16">
        <f t="shared" si="53"/>
        <v>316860.021952019</v>
      </c>
      <c r="M124" s="16">
        <f t="shared" si="53"/>
        <v>301034.829378395</v>
      </c>
      <c r="N124" s="16">
        <f t="shared" si="53"/>
        <v>313496.073147117</v>
      </c>
      <c r="O124" s="16">
        <f t="shared" si="53"/>
        <v>319710.16162472</v>
      </c>
      <c r="P124" s="7"/>
      <c r="Q124" s="7"/>
      <c r="R124" s="7"/>
      <c r="S124" s="7"/>
      <c r="T124" s="7"/>
      <c r="U124" s="7"/>
      <c r="V124" s="7"/>
      <c r="W124" s="7"/>
      <c r="X124" s="7"/>
      <c r="Y124" s="7"/>
      <c r="Z124" s="7"/>
      <c r="AA124" s="7"/>
      <c r="AB124" s="7"/>
      <c r="AC124" s="7"/>
      <c r="AD124" s="7"/>
      <c r="AE124" s="7"/>
      <c r="AF124" s="7"/>
      <c r="AG124" s="7"/>
      <c r="AH124" s="7"/>
      <c r="AI124" s="7"/>
      <c r="AJ124" s="7"/>
      <c r="AK124" s="7"/>
      <c r="AL124" s="7"/>
      <c r="AM124" s="7"/>
    </row>
    <row r="125" spans="3:39">
      <c r="C125" s="8"/>
      <c r="D125" s="8"/>
      <c r="E125" s="8"/>
      <c r="F125" s="8"/>
      <c r="G125" s="8"/>
      <c r="H125" s="8"/>
      <c r="I125" s="8"/>
      <c r="J125" s="16"/>
      <c r="K125" s="16"/>
      <c r="L125" s="16"/>
      <c r="M125" s="16"/>
      <c r="N125" s="16"/>
      <c r="O125" s="16"/>
      <c r="P125" s="7"/>
      <c r="Q125" s="7"/>
      <c r="R125" s="7"/>
      <c r="S125" s="7"/>
      <c r="T125" s="7"/>
      <c r="U125" s="7"/>
      <c r="V125" s="7"/>
      <c r="W125" s="7"/>
      <c r="X125" s="7"/>
      <c r="Y125" s="7"/>
      <c r="Z125" s="7"/>
      <c r="AA125" s="7"/>
      <c r="AB125" s="7"/>
      <c r="AC125" s="7"/>
      <c r="AD125" s="7"/>
      <c r="AE125" s="7"/>
      <c r="AF125" s="7"/>
      <c r="AG125" s="7"/>
      <c r="AH125" s="7"/>
      <c r="AI125" s="7"/>
      <c r="AJ125" s="7"/>
      <c r="AK125" s="7"/>
      <c r="AL125" s="7"/>
      <c r="AM125" s="7"/>
    </row>
    <row r="126" spans="2:39">
      <c r="B126" t="s">
        <v>94</v>
      </c>
      <c r="C126" s="8"/>
      <c r="D126" s="8"/>
      <c r="E126" s="8">
        <v>300</v>
      </c>
      <c r="F126" s="8">
        <v>1449</v>
      </c>
      <c r="G126" s="8">
        <v>3216</v>
      </c>
      <c r="H126" s="8">
        <v>3924</v>
      </c>
      <c r="I126" s="8">
        <v>3415</v>
      </c>
      <c r="J126" s="16">
        <f>I126*4/3</f>
        <v>4553.33333333333</v>
      </c>
      <c r="K126" s="17">
        <f>J126*(1+K8)</f>
        <v>5008.66666666666</v>
      </c>
      <c r="L126" s="17">
        <f>K126*(1+L8)</f>
        <v>5259.1</v>
      </c>
      <c r="M126" s="17">
        <f>L126*(1+M8)</f>
        <v>5416.873</v>
      </c>
      <c r="N126" s="17">
        <f>M126*(1+N8)</f>
        <v>5525.21046</v>
      </c>
      <c r="O126" s="17">
        <f>N126*(1+O8)</f>
        <v>5635.7146692</v>
      </c>
      <c r="P126" s="7"/>
      <c r="Q126" s="7"/>
      <c r="R126" s="7"/>
      <c r="S126" s="7"/>
      <c r="T126" s="7"/>
      <c r="U126" s="7"/>
      <c r="V126" s="7"/>
      <c r="W126" s="7"/>
      <c r="X126" s="7"/>
      <c r="Y126" s="7"/>
      <c r="Z126" s="7"/>
      <c r="AA126" s="7"/>
      <c r="AB126" s="7"/>
      <c r="AC126" s="7"/>
      <c r="AD126" s="7"/>
      <c r="AE126" s="7"/>
      <c r="AF126" s="7"/>
      <c r="AG126" s="7"/>
      <c r="AH126" s="7"/>
      <c r="AI126" s="7"/>
      <c r="AJ126" s="7"/>
      <c r="AK126" s="7"/>
      <c r="AL126" s="7"/>
      <c r="AM126" s="7"/>
    </row>
    <row r="127" spans="2:39">
      <c r="B127" t="s">
        <v>105</v>
      </c>
      <c r="C127" s="8">
        <v>5245</v>
      </c>
      <c r="D127" s="8">
        <v>5472</v>
      </c>
      <c r="E127" s="8">
        <v>6203</v>
      </c>
      <c r="F127" s="8">
        <v>9795</v>
      </c>
      <c r="G127" s="8">
        <v>10965</v>
      </c>
      <c r="H127" s="8">
        <v>11655</v>
      </c>
      <c r="I127" s="8">
        <v>12241</v>
      </c>
      <c r="J127" s="16">
        <f t="shared" ref="J127:J132" si="54">I127*4/3</f>
        <v>16321.3333333333</v>
      </c>
      <c r="K127" s="17">
        <f>J127*(1+K8)</f>
        <v>17953.4666666666</v>
      </c>
      <c r="L127" s="17">
        <f>K127*(1+L8)</f>
        <v>18851.14</v>
      </c>
      <c r="M127" s="17">
        <f>L127*(1+M8)</f>
        <v>19416.6742</v>
      </c>
      <c r="N127" s="17">
        <f>M127*(1+N8)</f>
        <v>19805.007684</v>
      </c>
      <c r="O127" s="17">
        <f>N127*(1+O8)</f>
        <v>20201.10783768</v>
      </c>
      <c r="P127" s="7"/>
      <c r="Q127" s="7"/>
      <c r="R127" s="7"/>
      <c r="S127" s="7"/>
      <c r="T127" s="7"/>
      <c r="U127" s="7"/>
      <c r="V127" s="7"/>
      <c r="W127" s="7"/>
      <c r="X127" s="7"/>
      <c r="Y127" s="7"/>
      <c r="Z127" s="7"/>
      <c r="AA127" s="7"/>
      <c r="AB127" s="7"/>
      <c r="AC127" s="7"/>
      <c r="AD127" s="7"/>
      <c r="AE127" s="7"/>
      <c r="AF127" s="7"/>
      <c r="AG127" s="7"/>
      <c r="AH127" s="7"/>
      <c r="AI127" s="7"/>
      <c r="AJ127" s="7"/>
      <c r="AK127" s="7"/>
      <c r="AL127" s="7"/>
      <c r="AM127" s="7"/>
    </row>
    <row r="128" spans="2:39">
      <c r="B128" t="s">
        <v>106</v>
      </c>
      <c r="C128" s="8">
        <v>377</v>
      </c>
      <c r="D128" s="8">
        <v>612</v>
      </c>
      <c r="E128" s="8">
        <v>766</v>
      </c>
      <c r="F128" s="8">
        <v>788</v>
      </c>
      <c r="G128" s="8">
        <v>1013</v>
      </c>
      <c r="H128" s="8">
        <v>3092</v>
      </c>
      <c r="I128" s="8">
        <v>6577</v>
      </c>
      <c r="J128" s="16">
        <f t="shared" si="54"/>
        <v>8769.33333333333</v>
      </c>
      <c r="K128" s="17">
        <f>J128*(1+K8)</f>
        <v>9646.26666666666</v>
      </c>
      <c r="L128" s="17">
        <f>K128*(1+L8)</f>
        <v>10128.58</v>
      </c>
      <c r="M128" s="17">
        <f>L128*(1+M8)</f>
        <v>10432.4374</v>
      </c>
      <c r="N128" s="17">
        <f>M128*(1+N8)</f>
        <v>10641.086148</v>
      </c>
      <c r="O128" s="17">
        <f>N128*(1+O8)</f>
        <v>10853.90787096</v>
      </c>
      <c r="P128" s="7"/>
      <c r="Q128" s="7"/>
      <c r="R128" s="7"/>
      <c r="S128" s="7"/>
      <c r="T128" s="7"/>
      <c r="U128" s="7"/>
      <c r="V128" s="7"/>
      <c r="W128" s="7"/>
      <c r="X128" s="7"/>
      <c r="Y128" s="7"/>
      <c r="Z128" s="7"/>
      <c r="AA128" s="7"/>
      <c r="AB128" s="7"/>
      <c r="AC128" s="7"/>
      <c r="AD128" s="7"/>
      <c r="AE128" s="7"/>
      <c r="AF128" s="7"/>
      <c r="AG128" s="7"/>
      <c r="AH128" s="7"/>
      <c r="AI128" s="7"/>
      <c r="AJ128" s="7"/>
      <c r="AK128" s="7"/>
      <c r="AL128" s="7"/>
      <c r="AM128" s="7"/>
    </row>
    <row r="129" spans="2:39">
      <c r="B129" t="s">
        <v>107</v>
      </c>
      <c r="C129" s="8"/>
      <c r="D129" s="8"/>
      <c r="E129" s="8"/>
      <c r="F129" s="8">
        <v>0</v>
      </c>
      <c r="G129" s="8">
        <v>0</v>
      </c>
      <c r="H129" s="8">
        <v>17595</v>
      </c>
      <c r="I129" s="8">
        <v>16164</v>
      </c>
      <c r="J129" s="16">
        <f t="shared" si="54"/>
        <v>21552</v>
      </c>
      <c r="K129" s="17">
        <f>J129*(1+K8)</f>
        <v>23707.2</v>
      </c>
      <c r="L129" s="17">
        <f>K129*(1+L8)</f>
        <v>24892.56</v>
      </c>
      <c r="M129" s="17">
        <f>L129*(1+M8)</f>
        <v>25639.3368</v>
      </c>
      <c r="N129" s="17">
        <f>M129*(1+N8)</f>
        <v>26152.123536</v>
      </c>
      <c r="O129" s="17">
        <f>N129*(1+O8)</f>
        <v>26675.16600672</v>
      </c>
      <c r="P129" s="7"/>
      <c r="Q129" s="7"/>
      <c r="R129" s="7"/>
      <c r="S129" s="7"/>
      <c r="T129" s="7"/>
      <c r="U129" s="7"/>
      <c r="V129" s="7"/>
      <c r="W129" s="7"/>
      <c r="X129" s="7"/>
      <c r="Y129" s="7"/>
      <c r="Z129" s="7"/>
      <c r="AA129" s="7"/>
      <c r="AB129" s="7"/>
      <c r="AC129" s="7"/>
      <c r="AD129" s="7"/>
      <c r="AE129" s="7"/>
      <c r="AF129" s="7"/>
      <c r="AG129" s="7"/>
      <c r="AH129" s="7"/>
      <c r="AI129" s="7"/>
      <c r="AJ129" s="7"/>
      <c r="AK129" s="7"/>
      <c r="AL129" s="7"/>
      <c r="AM129" s="7"/>
    </row>
    <row r="130" spans="2:39">
      <c r="B130" t="s">
        <v>108</v>
      </c>
      <c r="C130" s="8"/>
      <c r="D130" s="8">
        <v>0</v>
      </c>
      <c r="E130" s="8">
        <v>530</v>
      </c>
      <c r="F130" s="8">
        <v>435</v>
      </c>
      <c r="G130" s="8">
        <v>452</v>
      </c>
      <c r="H130" s="8">
        <v>670</v>
      </c>
      <c r="I130" s="8">
        <v>670</v>
      </c>
      <c r="J130" s="16">
        <f t="shared" si="54"/>
        <v>893.333333333333</v>
      </c>
      <c r="K130" s="17">
        <f>J130*(1+K8)</f>
        <v>982.666666666666</v>
      </c>
      <c r="L130" s="17">
        <f>K130*(1+L8)</f>
        <v>1031.8</v>
      </c>
      <c r="M130" s="17">
        <f>L130*(1+M8)</f>
        <v>1062.754</v>
      </c>
      <c r="N130" s="17">
        <f>M130*(1+N8)</f>
        <v>1084.00908</v>
      </c>
      <c r="O130" s="17">
        <f>N130*(1+O8)</f>
        <v>1105.6892616</v>
      </c>
      <c r="P130" s="7"/>
      <c r="Q130" s="7"/>
      <c r="R130" s="7"/>
      <c r="S130" s="7"/>
      <c r="T130" s="7"/>
      <c r="U130" s="7"/>
      <c r="V130" s="7"/>
      <c r="W130" s="7"/>
      <c r="X130" s="7"/>
      <c r="Y130" s="7"/>
      <c r="Z130" s="7"/>
      <c r="AA130" s="7"/>
      <c r="AB130" s="7"/>
      <c r="AC130" s="7"/>
      <c r="AD130" s="7"/>
      <c r="AE130" s="7"/>
      <c r="AF130" s="7"/>
      <c r="AG130" s="7"/>
      <c r="AH130" s="7"/>
      <c r="AI130" s="7"/>
      <c r="AJ130" s="7"/>
      <c r="AK130" s="7"/>
      <c r="AL130" s="7"/>
      <c r="AM130" s="7"/>
    </row>
    <row r="131" spans="2:39">
      <c r="B131" t="s">
        <v>109</v>
      </c>
      <c r="C131" s="8">
        <v>4246</v>
      </c>
      <c r="D131" s="8">
        <v>2898</v>
      </c>
      <c r="E131" s="8">
        <v>5586</v>
      </c>
      <c r="F131" s="8">
        <v>6702</v>
      </c>
      <c r="G131" s="8">
        <v>16699</v>
      </c>
      <c r="H131" s="8">
        <v>36191</v>
      </c>
      <c r="I131" s="8">
        <v>57191</v>
      </c>
      <c r="J131" s="16">
        <f>I131</f>
        <v>57191</v>
      </c>
      <c r="K131" s="17">
        <f>J131*(1+K8)</f>
        <v>62910.1</v>
      </c>
      <c r="L131" s="17">
        <f>K131*(1+L8)</f>
        <v>66055.605</v>
      </c>
      <c r="M131" s="17">
        <f>L131*(1+M8)</f>
        <v>68037.27315</v>
      </c>
      <c r="N131" s="17">
        <f>M131*(1+N8)</f>
        <v>69398.018613</v>
      </c>
      <c r="O131" s="17">
        <f>N131*(1+O8)</f>
        <v>70785.97898526</v>
      </c>
      <c r="P131" s="7"/>
      <c r="Q131" s="7"/>
      <c r="R131" s="7"/>
      <c r="S131" s="7"/>
      <c r="T131" s="7"/>
      <c r="U131" s="7"/>
      <c r="V131" s="7"/>
      <c r="W131" s="7"/>
      <c r="X131" s="7"/>
      <c r="Y131" s="7"/>
      <c r="Z131" s="7"/>
      <c r="AA131" s="7"/>
      <c r="AB131" s="7"/>
      <c r="AC131" s="7"/>
      <c r="AD131" s="7"/>
      <c r="AE131" s="7"/>
      <c r="AF131" s="7"/>
      <c r="AG131" s="7"/>
      <c r="AH131" s="7"/>
      <c r="AI131" s="7"/>
      <c r="AJ131" s="7"/>
      <c r="AK131" s="7"/>
      <c r="AL131" s="7"/>
      <c r="AM131" s="7"/>
    </row>
    <row r="132" spans="2:39">
      <c r="B132" t="s">
        <v>110</v>
      </c>
      <c r="C132" s="8">
        <v>12037</v>
      </c>
      <c r="D132" s="8">
        <v>12037</v>
      </c>
      <c r="E132" s="8">
        <v>15383</v>
      </c>
      <c r="F132" s="8">
        <v>18236</v>
      </c>
      <c r="G132" s="8">
        <v>33702</v>
      </c>
      <c r="H132" s="8">
        <v>55290</v>
      </c>
      <c r="I132" s="8">
        <v>100257</v>
      </c>
      <c r="J132" s="16">
        <f>I132</f>
        <v>100257</v>
      </c>
      <c r="K132" s="17">
        <f>J132*(1+K8)</f>
        <v>110282.7</v>
      </c>
      <c r="L132" s="17">
        <f>K132*(1+L8)</f>
        <v>115796.835</v>
      </c>
      <c r="M132" s="17">
        <f>L132*(1+M8)</f>
        <v>119270.74005</v>
      </c>
      <c r="N132" s="17">
        <f>M132*(1+N8)</f>
        <v>121656.154851</v>
      </c>
      <c r="O132" s="17">
        <f>N132*(1+O8)</f>
        <v>124089.27794802</v>
      </c>
      <c r="P132" s="7"/>
      <c r="Q132" s="7"/>
      <c r="R132" s="7"/>
      <c r="S132" s="7"/>
      <c r="T132" s="7"/>
      <c r="U132" s="7"/>
      <c r="V132" s="7"/>
      <c r="W132" s="7"/>
      <c r="X132" s="7"/>
      <c r="Y132" s="7"/>
      <c r="Z132" s="7"/>
      <c r="AA132" s="7"/>
      <c r="AB132" s="7"/>
      <c r="AC132" s="7"/>
      <c r="AD132" s="7"/>
      <c r="AE132" s="7"/>
      <c r="AF132" s="7"/>
      <c r="AG132" s="7"/>
      <c r="AH132" s="7"/>
      <c r="AI132" s="7"/>
      <c r="AJ132" s="7"/>
      <c r="AK132" s="7"/>
      <c r="AL132" s="7"/>
      <c r="AM132" s="7"/>
    </row>
    <row r="133" spans="2:39">
      <c r="B133" t="s">
        <v>111</v>
      </c>
      <c r="C133" s="8">
        <f t="shared" ref="C133:O133" si="55">SUM(C126:C132)</f>
        <v>21905</v>
      </c>
      <c r="D133" s="8">
        <f t="shared" si="55"/>
        <v>21019</v>
      </c>
      <c r="E133" s="8">
        <f t="shared" si="55"/>
        <v>28768</v>
      </c>
      <c r="F133" s="8">
        <f t="shared" si="55"/>
        <v>37405</v>
      </c>
      <c r="G133" s="8">
        <f t="shared" si="55"/>
        <v>66047</v>
      </c>
      <c r="H133" s="8">
        <f t="shared" si="55"/>
        <v>128417</v>
      </c>
      <c r="I133" s="8">
        <f t="shared" si="55"/>
        <v>196515</v>
      </c>
      <c r="J133" s="16">
        <f t="shared" si="55"/>
        <v>209537.333333333</v>
      </c>
      <c r="K133" s="16">
        <f t="shared" si="55"/>
        <v>230491.066666667</v>
      </c>
      <c r="L133" s="16">
        <f t="shared" si="55"/>
        <v>242015.62</v>
      </c>
      <c r="M133" s="16">
        <f t="shared" si="55"/>
        <v>249276.0886</v>
      </c>
      <c r="N133" s="16">
        <f t="shared" si="55"/>
        <v>254261.610372</v>
      </c>
      <c r="O133" s="16">
        <f t="shared" si="55"/>
        <v>259346.84257944</v>
      </c>
      <c r="P133" s="7"/>
      <c r="Q133" s="7"/>
      <c r="R133" s="7"/>
      <c r="S133" s="7"/>
      <c r="T133" s="7"/>
      <c r="U133" s="7"/>
      <c r="V133" s="7"/>
      <c r="W133" s="7"/>
      <c r="X133" s="7"/>
      <c r="Y133" s="7"/>
      <c r="Z133" s="7"/>
      <c r="AA133" s="7"/>
      <c r="AB133" s="7"/>
      <c r="AC133" s="7"/>
      <c r="AD133" s="7"/>
      <c r="AE133" s="7"/>
      <c r="AF133" s="7"/>
      <c r="AG133" s="7"/>
      <c r="AH133" s="7"/>
      <c r="AI133" s="7"/>
      <c r="AJ133" s="7"/>
      <c r="AK133" s="7"/>
      <c r="AL133" s="7"/>
      <c r="AM133" s="7"/>
    </row>
    <row r="134" spans="2:39">
      <c r="B134" s="9" t="s">
        <v>112</v>
      </c>
      <c r="C134" s="8">
        <f t="shared" ref="C134:O134" si="56">C124+C133</f>
        <v>102327</v>
      </c>
      <c r="D134" s="8">
        <f t="shared" si="56"/>
        <v>117659</v>
      </c>
      <c r="E134" s="8">
        <f t="shared" si="56"/>
        <v>133554</v>
      </c>
      <c r="F134" s="8">
        <f t="shared" si="56"/>
        <v>152118</v>
      </c>
      <c r="G134" s="8">
        <f t="shared" si="56"/>
        <v>195026</v>
      </c>
      <c r="H134" s="8">
        <f t="shared" si="56"/>
        <v>331053</v>
      </c>
      <c r="I134" s="8">
        <f t="shared" si="56"/>
        <v>465401</v>
      </c>
      <c r="J134" s="16">
        <f t="shared" si="56"/>
        <v>526181.826377467</v>
      </c>
      <c r="K134" s="16">
        <f t="shared" si="56"/>
        <v>577984.454439904</v>
      </c>
      <c r="L134" s="16">
        <f t="shared" si="56"/>
        <v>558875.641952019</v>
      </c>
      <c r="M134" s="16">
        <f t="shared" si="56"/>
        <v>550310.917978395</v>
      </c>
      <c r="N134" s="16">
        <f t="shared" si="56"/>
        <v>567757.683519116</v>
      </c>
      <c r="O134" s="16">
        <f t="shared" si="56"/>
        <v>579057.00420416</v>
      </c>
      <c r="P134" s="7"/>
      <c r="Q134" s="7"/>
      <c r="R134" s="7"/>
      <c r="S134" s="7"/>
      <c r="T134" s="7"/>
      <c r="U134" s="7"/>
      <c r="V134" s="7"/>
      <c r="W134" s="7"/>
      <c r="X134" s="7"/>
      <c r="Y134" s="7"/>
      <c r="Z134" s="7"/>
      <c r="AA134" s="7"/>
      <c r="AB134" s="7"/>
      <c r="AC134" s="7"/>
      <c r="AD134" s="7"/>
      <c r="AE134" s="7"/>
      <c r="AF134" s="7"/>
      <c r="AG134" s="7"/>
      <c r="AH134" s="7"/>
      <c r="AI134" s="7"/>
      <c r="AJ134" s="7"/>
      <c r="AK134" s="7"/>
      <c r="AL134" s="7"/>
      <c r="AM134" s="7"/>
    </row>
    <row r="135" spans="3:39">
      <c r="C135" s="8"/>
      <c r="D135" s="8"/>
      <c r="E135" s="8"/>
      <c r="F135" s="8"/>
      <c r="G135" s="8"/>
      <c r="H135" s="8"/>
      <c r="I135" s="8"/>
      <c r="J135" s="16"/>
      <c r="K135" s="16"/>
      <c r="L135" s="16"/>
      <c r="M135" s="16"/>
      <c r="N135" s="16"/>
      <c r="O135" s="16"/>
      <c r="P135" s="7"/>
      <c r="Q135" s="7"/>
      <c r="R135" s="7"/>
      <c r="S135" s="7"/>
      <c r="T135" s="7"/>
      <c r="U135" s="7"/>
      <c r="V135" s="7"/>
      <c r="W135" s="7"/>
      <c r="X135" s="7"/>
      <c r="Y135" s="7"/>
      <c r="Z135" s="7"/>
      <c r="AA135" s="7"/>
      <c r="AB135" s="7"/>
      <c r="AC135" s="7"/>
      <c r="AD135" s="7"/>
      <c r="AE135" s="7"/>
      <c r="AF135" s="7"/>
      <c r="AG135" s="7"/>
      <c r="AH135" s="7"/>
      <c r="AI135" s="7"/>
      <c r="AJ135" s="7"/>
      <c r="AK135" s="7"/>
      <c r="AL135" s="7"/>
      <c r="AM135" s="7"/>
    </row>
    <row r="136" spans="2:39">
      <c r="B136" t="s">
        <v>113</v>
      </c>
      <c r="C136" s="8"/>
      <c r="D136" s="8"/>
      <c r="E136" s="8"/>
      <c r="F136" s="8">
        <v>0</v>
      </c>
      <c r="G136" s="8">
        <v>13000</v>
      </c>
      <c r="H136" s="8">
        <v>0</v>
      </c>
      <c r="I136" s="8"/>
      <c r="J136" s="16"/>
      <c r="K136" s="16"/>
      <c r="L136" s="16"/>
      <c r="M136" s="16"/>
      <c r="N136" s="16"/>
      <c r="O136" s="16"/>
      <c r="P136" s="7"/>
      <c r="Q136" s="7"/>
      <c r="R136" s="7"/>
      <c r="S136" s="7"/>
      <c r="T136" s="7"/>
      <c r="U136" s="7"/>
      <c r="V136" s="7"/>
      <c r="W136" s="7"/>
      <c r="X136" s="7"/>
      <c r="Y136" s="7"/>
      <c r="Z136" s="7"/>
      <c r="AA136" s="7"/>
      <c r="AB136" s="7"/>
      <c r="AC136" s="7"/>
      <c r="AD136" s="7"/>
      <c r="AE136" s="7"/>
      <c r="AF136" s="7"/>
      <c r="AG136" s="7"/>
      <c r="AH136" s="7"/>
      <c r="AI136" s="7"/>
      <c r="AJ136" s="7"/>
      <c r="AK136" s="7"/>
      <c r="AL136" s="7"/>
      <c r="AM136" s="7"/>
    </row>
    <row r="137" spans="2:39">
      <c r="B137" t="s">
        <v>114</v>
      </c>
      <c r="C137" s="8">
        <v>25582</v>
      </c>
      <c r="D137" s="8">
        <v>26671</v>
      </c>
      <c r="E137" s="8">
        <v>32584</v>
      </c>
      <c r="F137" s="8">
        <v>33915</v>
      </c>
      <c r="G137" s="8">
        <v>45058</v>
      </c>
      <c r="H137" s="8">
        <v>72007</v>
      </c>
      <c r="I137" s="8">
        <v>74141</v>
      </c>
      <c r="J137" s="16">
        <f t="shared" ref="J137:O137" si="57">+J39*J17/365</f>
        <v>97238.141849961</v>
      </c>
      <c r="K137" s="16">
        <f t="shared" si="57"/>
        <v>88964.3835616438</v>
      </c>
      <c r="L137" s="16">
        <f t="shared" si="57"/>
        <v>72978.595890411</v>
      </c>
      <c r="M137" s="16">
        <f t="shared" si="57"/>
        <v>68903.957619863</v>
      </c>
      <c r="N137" s="16">
        <f t="shared" si="57"/>
        <v>70775.5500985454</v>
      </c>
      <c r="O137" s="16">
        <f t="shared" si="57"/>
        <v>77009.0755326411</v>
      </c>
      <c r="P137" s="7"/>
      <c r="Q137" s="7"/>
      <c r="R137" s="7"/>
      <c r="S137" s="7"/>
      <c r="T137" s="7"/>
      <c r="U137" s="7"/>
      <c r="V137" s="7"/>
      <c r="W137" s="7"/>
      <c r="X137" s="7"/>
      <c r="Y137" s="7"/>
      <c r="Z137" s="7"/>
      <c r="AA137" s="7"/>
      <c r="AB137" s="7"/>
      <c r="AC137" s="7"/>
      <c r="AD137" s="7"/>
      <c r="AE137" s="7"/>
      <c r="AF137" s="7"/>
      <c r="AG137" s="7"/>
      <c r="AH137" s="7"/>
      <c r="AI137" s="7"/>
      <c r="AJ137" s="7"/>
      <c r="AK137" s="7"/>
      <c r="AL137" s="7"/>
      <c r="AM137" s="7"/>
    </row>
    <row r="138" spans="2:39">
      <c r="B138" t="s">
        <v>115</v>
      </c>
      <c r="C138" s="8"/>
      <c r="D138" s="8"/>
      <c r="E138" s="8"/>
      <c r="F138" s="8">
        <v>3166</v>
      </c>
      <c r="G138" s="8">
        <v>800</v>
      </c>
      <c r="H138" s="8">
        <v>3251</v>
      </c>
      <c r="I138" s="8">
        <v>20235</v>
      </c>
      <c r="J138" s="16">
        <f>I138*4/3</f>
        <v>26980</v>
      </c>
      <c r="K138" s="17">
        <f>J138*(1+K9)</f>
        <v>34534.4</v>
      </c>
      <c r="L138" s="17">
        <f>K138*(1+L9)</f>
        <v>43168</v>
      </c>
      <c r="M138" s="17">
        <f>L138*(1+M9)</f>
        <v>53960</v>
      </c>
      <c r="N138" s="17">
        <f>M138*(1+N9)</f>
        <v>67450</v>
      </c>
      <c r="O138" s="17">
        <f>N138*(1+O9)</f>
        <v>80940</v>
      </c>
      <c r="P138" s="7"/>
      <c r="Q138" s="7"/>
      <c r="R138" s="7"/>
      <c r="S138" s="7"/>
      <c r="T138" s="7"/>
      <c r="U138" s="7"/>
      <c r="V138" s="7"/>
      <c r="W138" s="7"/>
      <c r="X138" s="7"/>
      <c r="Y138" s="7"/>
      <c r="Z138" s="7"/>
      <c r="AA138" s="7"/>
      <c r="AB138" s="7"/>
      <c r="AC138" s="7"/>
      <c r="AD138" s="7"/>
      <c r="AE138" s="7"/>
      <c r="AF138" s="7"/>
      <c r="AG138" s="7"/>
      <c r="AH138" s="7"/>
      <c r="AI138" s="7"/>
      <c r="AJ138" s="7"/>
      <c r="AK138" s="7"/>
      <c r="AL138" s="7"/>
      <c r="AM138" s="7"/>
    </row>
    <row r="139" spans="2:39">
      <c r="B139" t="s">
        <v>116</v>
      </c>
      <c r="C139" s="8"/>
      <c r="D139" s="8"/>
      <c r="E139" s="8"/>
      <c r="F139" s="8">
        <v>1932</v>
      </c>
      <c r="G139" s="8">
        <v>1129</v>
      </c>
      <c r="H139" s="8">
        <v>1038</v>
      </c>
      <c r="I139" s="8">
        <v>1155</v>
      </c>
      <c r="J139" s="16">
        <f>I139*4/3</f>
        <v>1540</v>
      </c>
      <c r="K139" s="17">
        <f>J139*(1+K10)</f>
        <v>1755.6</v>
      </c>
      <c r="L139" s="17">
        <f>K139*(1+L10)</f>
        <v>2001.384</v>
      </c>
      <c r="M139" s="17">
        <f>L139*(1+M10)</f>
        <v>2281.57776</v>
      </c>
      <c r="N139" s="17">
        <f>M139*(1+N10)</f>
        <v>2600.9986464</v>
      </c>
      <c r="O139" s="17">
        <f>N139*(1+O10)</f>
        <v>2965.138456896</v>
      </c>
      <c r="P139" s="7"/>
      <c r="Q139" s="7"/>
      <c r="R139" s="7"/>
      <c r="S139" s="7"/>
      <c r="T139" s="7"/>
      <c r="U139" s="7"/>
      <c r="V139" s="7"/>
      <c r="W139" s="7"/>
      <c r="X139" s="7"/>
      <c r="Y139" s="7"/>
      <c r="Z139" s="7"/>
      <c r="AA139" s="7"/>
      <c r="AB139" s="7"/>
      <c r="AC139" s="7"/>
      <c r="AD139" s="7"/>
      <c r="AE139" s="7"/>
      <c r="AF139" s="7"/>
      <c r="AG139" s="7"/>
      <c r="AH139" s="7"/>
      <c r="AI139" s="7"/>
      <c r="AJ139" s="7"/>
      <c r="AK139" s="7"/>
      <c r="AL139" s="7"/>
      <c r="AM139" s="7"/>
    </row>
    <row r="140" spans="2:39">
      <c r="B140" t="s">
        <v>82</v>
      </c>
      <c r="C140" s="8">
        <v>6980</v>
      </c>
      <c r="D140" s="8">
        <v>11271</v>
      </c>
      <c r="E140" s="8">
        <v>8831</v>
      </c>
      <c r="F140" s="8">
        <v>10042</v>
      </c>
      <c r="G140" s="8">
        <v>8778</v>
      </c>
      <c r="H140" s="8">
        <v>13435</v>
      </c>
      <c r="I140" s="8">
        <v>26384</v>
      </c>
      <c r="J140" s="16">
        <f>I140*4/3</f>
        <v>35178.6666666667</v>
      </c>
      <c r="K140" s="17">
        <f>J140*(1+K11)</f>
        <v>36585.8133333334</v>
      </c>
      <c r="L140" s="17">
        <f>K140*(1+L11)</f>
        <v>37019.0462283006</v>
      </c>
      <c r="M140" s="17">
        <f>L140*(1+M11)</f>
        <v>37457.4092741153</v>
      </c>
      <c r="N140" s="17">
        <f>M140*(1+N11)</f>
        <v>37900.9632197375</v>
      </c>
      <c r="O140" s="17">
        <f>N140*(1+O11)</f>
        <v>38349.7695334889</v>
      </c>
      <c r="P140" s="7"/>
      <c r="Q140" s="7"/>
      <c r="R140" s="7"/>
      <c r="S140" s="7"/>
      <c r="T140" s="7"/>
      <c r="U140" s="7"/>
      <c r="V140" s="7"/>
      <c r="W140" s="7"/>
      <c r="X140" s="7"/>
      <c r="Y140" s="7"/>
      <c r="Z140" s="7"/>
      <c r="AA140" s="7"/>
      <c r="AB140" s="7"/>
      <c r="AC140" s="7"/>
      <c r="AD140" s="7"/>
      <c r="AE140" s="7"/>
      <c r="AF140" s="7"/>
      <c r="AG140" s="7"/>
      <c r="AH140" s="7"/>
      <c r="AI140" s="7"/>
      <c r="AJ140" s="7"/>
      <c r="AK140" s="7"/>
      <c r="AL140" s="7"/>
      <c r="AM140" s="7"/>
    </row>
    <row r="141" spans="2:39">
      <c r="B141" t="s">
        <v>117</v>
      </c>
      <c r="C141" s="8">
        <v>751</v>
      </c>
      <c r="D141" s="8">
        <v>484</v>
      </c>
      <c r="E141" s="8">
        <v>360</v>
      </c>
      <c r="F141" s="8">
        <v>525</v>
      </c>
      <c r="G141" s="8">
        <v>143</v>
      </c>
      <c r="H141" s="8">
        <v>152</v>
      </c>
      <c r="I141" s="8">
        <v>513</v>
      </c>
      <c r="J141" s="16">
        <f>I141*4/3</f>
        <v>684</v>
      </c>
      <c r="K141" s="17">
        <f>J141*(1+K15)</f>
        <v>820.8</v>
      </c>
      <c r="L141" s="17">
        <f>K141*(1+L15)</f>
        <v>943.92</v>
      </c>
      <c r="M141" s="17">
        <f>L141*(1+M15)</f>
        <v>1085.508</v>
      </c>
      <c r="N141" s="17">
        <f>M141*(1+N15)</f>
        <v>1172.34864</v>
      </c>
      <c r="O141" s="17">
        <f>N141*(1+O15)</f>
        <v>1242.6895584</v>
      </c>
      <c r="P141" s="7"/>
      <c r="Q141" s="7"/>
      <c r="R141" s="7"/>
      <c r="S141" s="7"/>
      <c r="T141" s="7"/>
      <c r="U141" s="7"/>
      <c r="V141" s="7"/>
      <c r="W141" s="7"/>
      <c r="X141" s="7"/>
      <c r="Y141" s="7"/>
      <c r="Z141" s="7"/>
      <c r="AA141" s="7"/>
      <c r="AB141" s="7"/>
      <c r="AC141" s="7"/>
      <c r="AD141" s="7"/>
      <c r="AE141" s="7"/>
      <c r="AF141" s="7"/>
      <c r="AG141" s="7"/>
      <c r="AH141" s="7"/>
      <c r="AI141" s="7"/>
      <c r="AJ141" s="7"/>
      <c r="AK141" s="7"/>
      <c r="AL141" s="7"/>
      <c r="AM141" s="7"/>
    </row>
    <row r="142" spans="2:39">
      <c r="B142" t="s">
        <v>118</v>
      </c>
      <c r="C142" s="8"/>
      <c r="D142" s="8"/>
      <c r="E142" s="8"/>
      <c r="F142" s="8">
        <v>297</v>
      </c>
      <c r="G142" s="8"/>
      <c r="H142" s="8"/>
      <c r="I142" s="8"/>
      <c r="J142" s="16"/>
      <c r="K142" s="16"/>
      <c r="L142" s="16"/>
      <c r="M142" s="16"/>
      <c r="N142" s="16"/>
      <c r="O142" s="16"/>
      <c r="P142" s="7"/>
      <c r="Q142" s="7"/>
      <c r="R142" s="7"/>
      <c r="S142" s="7"/>
      <c r="T142" s="7"/>
      <c r="U142" s="7"/>
      <c r="V142" s="7"/>
      <c r="W142" s="7"/>
      <c r="X142" s="7"/>
      <c r="Y142" s="7"/>
      <c r="Z142" s="7"/>
      <c r="AA142" s="7"/>
      <c r="AB142" s="7"/>
      <c r="AC142" s="7"/>
      <c r="AD142" s="7"/>
      <c r="AE142" s="7"/>
      <c r="AF142" s="7"/>
      <c r="AG142" s="7"/>
      <c r="AH142" s="7"/>
      <c r="AI142" s="7"/>
      <c r="AJ142" s="7"/>
      <c r="AK142" s="7"/>
      <c r="AL142" s="7"/>
      <c r="AM142" s="7"/>
    </row>
    <row r="143" spans="2:39">
      <c r="B143" t="s">
        <v>119</v>
      </c>
      <c r="C143" s="8"/>
      <c r="D143" s="8"/>
      <c r="E143" s="8"/>
      <c r="F143" s="8">
        <v>0</v>
      </c>
      <c r="G143" s="8">
        <v>0</v>
      </c>
      <c r="H143" s="8">
        <v>2790</v>
      </c>
      <c r="I143" s="8">
        <v>3036</v>
      </c>
      <c r="J143" s="16">
        <f>I143*4/3</f>
        <v>4048</v>
      </c>
      <c r="K143" s="17">
        <f>J143*(1+K8)</f>
        <v>4452.8</v>
      </c>
      <c r="L143" s="17">
        <f>K143*(1+L8)</f>
        <v>4675.44</v>
      </c>
      <c r="M143" s="17">
        <f>L143*(1+M8)</f>
        <v>4815.7032</v>
      </c>
      <c r="N143" s="17">
        <f>M143*(1+N8)</f>
        <v>4912.017264</v>
      </c>
      <c r="O143" s="17">
        <f>N143*(1+O8)</f>
        <v>5010.25760928</v>
      </c>
      <c r="P143" s="7"/>
      <c r="Q143" s="7"/>
      <c r="R143" s="7"/>
      <c r="S143" s="7"/>
      <c r="T143" s="7"/>
      <c r="U143" s="7"/>
      <c r="V143" s="7"/>
      <c r="W143" s="7"/>
      <c r="X143" s="7"/>
      <c r="Y143" s="7"/>
      <c r="Z143" s="7"/>
      <c r="AA143" s="7"/>
      <c r="AB143" s="7"/>
      <c r="AC143" s="7"/>
      <c r="AD143" s="7"/>
      <c r="AE143" s="7"/>
      <c r="AF143" s="7"/>
      <c r="AG143" s="7"/>
      <c r="AH143" s="7"/>
      <c r="AI143" s="7"/>
      <c r="AJ143" s="7"/>
      <c r="AK143" s="7"/>
      <c r="AL143" s="7"/>
      <c r="AM143" s="7"/>
    </row>
    <row r="144" spans="2:39">
      <c r="B144" t="s">
        <v>120</v>
      </c>
      <c r="C144" s="8">
        <f t="shared" ref="C144:I144" si="58">SUM(C138:C143)</f>
        <v>7731</v>
      </c>
      <c r="D144" s="8">
        <f t="shared" si="58"/>
        <v>11755</v>
      </c>
      <c r="E144" s="8">
        <f t="shared" si="58"/>
        <v>9191</v>
      </c>
      <c r="F144" s="8">
        <f t="shared" si="58"/>
        <v>15962</v>
      </c>
      <c r="G144" s="8">
        <f t="shared" si="58"/>
        <v>10850</v>
      </c>
      <c r="H144" s="8">
        <f t="shared" si="58"/>
        <v>20666</v>
      </c>
      <c r="I144" s="8">
        <f t="shared" si="58"/>
        <v>51323</v>
      </c>
      <c r="J144" s="18">
        <f t="shared" ref="J144:O144" si="59">+J45*J18</f>
        <v>67311.6515041009</v>
      </c>
      <c r="K144" s="18">
        <f t="shared" si="59"/>
        <v>71032.5</v>
      </c>
      <c r="L144" s="18">
        <f t="shared" si="59"/>
        <v>49722.75</v>
      </c>
      <c r="M144" s="18">
        <f t="shared" si="59"/>
        <v>34142.955</v>
      </c>
      <c r="N144" s="18">
        <f t="shared" si="59"/>
        <v>26119.360575</v>
      </c>
      <c r="O144" s="18">
        <f t="shared" si="59"/>
        <v>26641.7477865</v>
      </c>
      <c r="P144" s="7"/>
      <c r="Q144" s="7"/>
      <c r="R144" s="7"/>
      <c r="S144" s="7"/>
      <c r="T144" s="7"/>
      <c r="U144" s="7"/>
      <c r="V144" s="7"/>
      <c r="W144" s="7"/>
      <c r="X144" s="7"/>
      <c r="Y144" s="7"/>
      <c r="Z144" s="7"/>
      <c r="AA144" s="7"/>
      <c r="AB144" s="7"/>
      <c r="AC144" s="7"/>
      <c r="AD144" s="7"/>
      <c r="AE144" s="7"/>
      <c r="AF144" s="7"/>
      <c r="AG144" s="7"/>
      <c r="AH144" s="7"/>
      <c r="AI144" s="7"/>
      <c r="AJ144" s="7"/>
      <c r="AK144" s="7"/>
      <c r="AL144" s="7"/>
      <c r="AM144" s="7"/>
    </row>
    <row r="145" spans="2:39">
      <c r="B145" t="s">
        <v>121</v>
      </c>
      <c r="C145" s="8">
        <f t="shared" ref="C145:O145" si="60">SUM(C136:C143)</f>
        <v>33313</v>
      </c>
      <c r="D145" s="8">
        <f t="shared" si="60"/>
        <v>38426</v>
      </c>
      <c r="E145" s="8">
        <f t="shared" si="60"/>
        <v>41775</v>
      </c>
      <c r="F145" s="8">
        <f t="shared" si="60"/>
        <v>49877</v>
      </c>
      <c r="G145" s="8">
        <f t="shared" si="60"/>
        <v>68908</v>
      </c>
      <c r="H145" s="8">
        <f t="shared" si="60"/>
        <v>92673</v>
      </c>
      <c r="I145" s="8">
        <f t="shared" si="60"/>
        <v>125464</v>
      </c>
      <c r="J145" s="16">
        <f t="shared" ref="J145:O145" si="61">J137+J144</f>
        <v>164549.793354062</v>
      </c>
      <c r="K145" s="16">
        <f t="shared" si="61"/>
        <v>159996.883561644</v>
      </c>
      <c r="L145" s="16">
        <f t="shared" si="61"/>
        <v>122701.345890411</v>
      </c>
      <c r="M145" s="16">
        <f t="shared" si="61"/>
        <v>103046.912619863</v>
      </c>
      <c r="N145" s="16">
        <f t="shared" si="61"/>
        <v>96894.9106735454</v>
      </c>
      <c r="O145" s="16">
        <f t="shared" si="61"/>
        <v>103650.823319141</v>
      </c>
      <c r="P145" s="7"/>
      <c r="Q145" s="7"/>
      <c r="R145" s="7"/>
      <c r="S145" s="7"/>
      <c r="T145" s="7"/>
      <c r="U145" s="7"/>
      <c r="V145" s="7"/>
      <c r="W145" s="7"/>
      <c r="X145" s="7"/>
      <c r="Y145" s="7"/>
      <c r="Z145" s="7"/>
      <c r="AA145" s="7"/>
      <c r="AB145" s="7"/>
      <c r="AC145" s="7"/>
      <c r="AD145" s="7"/>
      <c r="AE145" s="7"/>
      <c r="AF145" s="7"/>
      <c r="AG145" s="7"/>
      <c r="AH145" s="7"/>
      <c r="AI145" s="7"/>
      <c r="AJ145" s="7"/>
      <c r="AK145" s="7"/>
      <c r="AL145" s="7"/>
      <c r="AM145" s="7"/>
    </row>
    <row r="146" spans="3:39">
      <c r="C146" s="8"/>
      <c r="D146" s="8"/>
      <c r="E146" s="8"/>
      <c r="F146" s="8"/>
      <c r="G146" s="8"/>
      <c r="H146" s="8"/>
      <c r="I146" s="8"/>
      <c r="J146" s="16"/>
      <c r="K146" s="16"/>
      <c r="L146" s="16"/>
      <c r="M146" s="16"/>
      <c r="N146" s="16"/>
      <c r="O146" s="16"/>
      <c r="P146" s="7"/>
      <c r="Q146" s="7"/>
      <c r="R146" s="7"/>
      <c r="S146" s="7"/>
      <c r="T146" s="7"/>
      <c r="U146" s="7"/>
      <c r="V146" s="7"/>
      <c r="W146" s="7"/>
      <c r="X146" s="7"/>
      <c r="Y146" s="7"/>
      <c r="Z146" s="7"/>
      <c r="AA146" s="7"/>
      <c r="AB146" s="7"/>
      <c r="AC146" s="7"/>
      <c r="AD146" s="7"/>
      <c r="AE146" s="7"/>
      <c r="AF146" s="7"/>
      <c r="AG146" s="7"/>
      <c r="AH146" s="7"/>
      <c r="AI146" s="7"/>
      <c r="AJ146" s="7"/>
      <c r="AK146" s="7"/>
      <c r="AL146" s="7"/>
      <c r="AM146" s="7"/>
    </row>
    <row r="147" spans="2:39">
      <c r="B147" t="s">
        <v>119</v>
      </c>
      <c r="C147" s="8"/>
      <c r="D147" s="8"/>
      <c r="E147" s="8"/>
      <c r="F147" s="8"/>
      <c r="G147" s="8">
        <v>0</v>
      </c>
      <c r="H147" s="8">
        <v>16800</v>
      </c>
      <c r="I147" s="8">
        <v>15224</v>
      </c>
      <c r="J147" s="16">
        <f>I147*4/3</f>
        <v>20298.6666666667</v>
      </c>
      <c r="K147" s="17">
        <f>J147*(1+K8)</f>
        <v>22328.5333333334</v>
      </c>
      <c r="L147" s="17">
        <f>K147*(1+L8)</f>
        <v>23444.96</v>
      </c>
      <c r="M147" s="17">
        <f>L147*(1+M8)</f>
        <v>24148.3088</v>
      </c>
      <c r="N147" s="17">
        <f>M147*(1+N8)</f>
        <v>24631.274976</v>
      </c>
      <c r="O147" s="17">
        <f>N147*(1+O8)</f>
        <v>25123.90047552</v>
      </c>
      <c r="P147" s="7"/>
      <c r="Q147" s="7"/>
      <c r="R147" s="7"/>
      <c r="S147" s="7"/>
      <c r="T147" s="7"/>
      <c r="U147" s="7"/>
      <c r="V147" s="7"/>
      <c r="W147" s="7"/>
      <c r="X147" s="7"/>
      <c r="Y147" s="7"/>
      <c r="Z147" s="7"/>
      <c r="AA147" s="7"/>
      <c r="AB147" s="7"/>
      <c r="AC147" s="7"/>
      <c r="AD147" s="7"/>
      <c r="AE147" s="7"/>
      <c r="AF147" s="7"/>
      <c r="AG147" s="7"/>
      <c r="AH147" s="7"/>
      <c r="AI147" s="7"/>
      <c r="AJ147" s="7"/>
      <c r="AK147" s="7"/>
      <c r="AL147" s="7"/>
      <c r="AM147" s="7"/>
    </row>
    <row r="148" spans="2:39">
      <c r="B148" t="s">
        <v>115</v>
      </c>
      <c r="C148" s="8"/>
      <c r="D148" s="8"/>
      <c r="E148" s="8"/>
      <c r="F148" s="8">
        <v>0</v>
      </c>
      <c r="G148" s="8">
        <v>5519</v>
      </c>
      <c r="H148" s="8">
        <v>11913</v>
      </c>
      <c r="I148" s="8">
        <v>13721</v>
      </c>
      <c r="J148" s="16">
        <f>I148*4/3</f>
        <v>18294.6666666667</v>
      </c>
      <c r="K148" s="17">
        <f>J148*(1+K8)</f>
        <v>20124.1333333334</v>
      </c>
      <c r="L148" s="17">
        <f>K148*(1+L8)</f>
        <v>21130.34</v>
      </c>
      <c r="M148" s="17">
        <f>L148*(1+M8)</f>
        <v>21764.2502</v>
      </c>
      <c r="N148" s="17">
        <f>M148*(1+N8)</f>
        <v>22199.535204</v>
      </c>
      <c r="O148" s="17">
        <f>N148*(1+O8)</f>
        <v>22643.52590808</v>
      </c>
      <c r="P148" s="7"/>
      <c r="Q148" s="7"/>
      <c r="R148" s="7"/>
      <c r="S148" s="7"/>
      <c r="T148" s="7"/>
      <c r="U148" s="7"/>
      <c r="V148" s="7"/>
      <c r="W148" s="7"/>
      <c r="X148" s="7"/>
      <c r="Y148" s="7"/>
      <c r="Z148" s="7"/>
      <c r="AA148" s="7"/>
      <c r="AB148" s="7"/>
      <c r="AC148" s="7"/>
      <c r="AD148" s="7"/>
      <c r="AE148" s="7"/>
      <c r="AF148" s="7"/>
      <c r="AG148" s="7"/>
      <c r="AH148" s="7"/>
      <c r="AI148" s="7"/>
      <c r="AJ148" s="7"/>
      <c r="AK148" s="7"/>
      <c r="AL148" s="7"/>
      <c r="AM148" s="7"/>
    </row>
    <row r="149" spans="2:39">
      <c r="B149" t="s">
        <v>118</v>
      </c>
      <c r="C149" s="8">
        <v>299</v>
      </c>
      <c r="D149" s="8">
        <v>912</v>
      </c>
      <c r="E149" s="8">
        <v>2292</v>
      </c>
      <c r="F149" s="8">
        <v>2191</v>
      </c>
      <c r="G149" s="8">
        <v>5525</v>
      </c>
      <c r="H149" s="8">
        <v>9261</v>
      </c>
      <c r="I149" s="8">
        <v>16148</v>
      </c>
      <c r="J149" s="16">
        <f>I149*4/3</f>
        <v>21530.6666666667</v>
      </c>
      <c r="K149" s="17">
        <f>J149*(1+K8)</f>
        <v>23683.7333333334</v>
      </c>
      <c r="L149" s="17">
        <f>K149*(1+L8)</f>
        <v>24867.92</v>
      </c>
      <c r="M149" s="17">
        <f>L149*(1+M8)</f>
        <v>25613.9576</v>
      </c>
      <c r="N149" s="17">
        <f>M149*(1+N8)</f>
        <v>26126.236752</v>
      </c>
      <c r="O149" s="17">
        <f>N149*(1+O8)</f>
        <v>26648.76148704</v>
      </c>
      <c r="P149" s="7"/>
      <c r="Q149" s="7"/>
      <c r="R149" s="7"/>
      <c r="S149" s="7"/>
      <c r="T149" s="7"/>
      <c r="U149" s="7"/>
      <c r="V149" s="7"/>
      <c r="W149" s="7"/>
      <c r="X149" s="7"/>
      <c r="Y149" s="7"/>
      <c r="Z149" s="7"/>
      <c r="AA149" s="7"/>
      <c r="AB149" s="7"/>
      <c r="AC149" s="7"/>
      <c r="AD149" s="7"/>
      <c r="AE149" s="7"/>
      <c r="AF149" s="7"/>
      <c r="AG149" s="7"/>
      <c r="AH149" s="7"/>
      <c r="AI149" s="7"/>
      <c r="AJ149" s="7"/>
      <c r="AK149" s="7"/>
      <c r="AL149" s="7"/>
      <c r="AM149" s="7"/>
    </row>
    <row r="150" spans="2:39">
      <c r="B150" t="s">
        <v>122</v>
      </c>
      <c r="C150" s="8">
        <f t="shared" ref="C150:O150" si="62">SUM(C147:C149)</f>
        <v>299</v>
      </c>
      <c r="D150" s="8">
        <f t="shared" si="62"/>
        <v>912</v>
      </c>
      <c r="E150" s="8">
        <f t="shared" si="62"/>
        <v>2292</v>
      </c>
      <c r="F150" s="8">
        <f t="shared" si="62"/>
        <v>2191</v>
      </c>
      <c r="G150" s="8">
        <f t="shared" si="62"/>
        <v>11044</v>
      </c>
      <c r="H150" s="8">
        <f t="shared" si="62"/>
        <v>37974</v>
      </c>
      <c r="I150" s="8">
        <f t="shared" si="62"/>
        <v>45093</v>
      </c>
      <c r="J150" s="16">
        <f t="shared" si="62"/>
        <v>60124</v>
      </c>
      <c r="K150" s="16">
        <f t="shared" si="62"/>
        <v>66136.4000000001</v>
      </c>
      <c r="L150" s="16">
        <f t="shared" si="62"/>
        <v>69443.2200000001</v>
      </c>
      <c r="M150" s="16">
        <f t="shared" si="62"/>
        <v>71526.5166000001</v>
      </c>
      <c r="N150" s="16">
        <f t="shared" si="62"/>
        <v>72957.0469320001</v>
      </c>
      <c r="O150" s="16">
        <f t="shared" si="62"/>
        <v>74416.18787064</v>
      </c>
      <c r="P150" s="7"/>
      <c r="Q150" s="7"/>
      <c r="R150" s="7"/>
      <c r="S150" s="7"/>
      <c r="T150" s="7"/>
      <c r="U150" s="7"/>
      <c r="V150" s="7"/>
      <c r="W150" s="7"/>
      <c r="X150" s="7"/>
      <c r="Y150" s="7"/>
      <c r="Z150" s="7"/>
      <c r="AA150" s="7"/>
      <c r="AB150" s="7"/>
      <c r="AC150" s="7"/>
      <c r="AD150" s="7"/>
      <c r="AE150" s="7"/>
      <c r="AF150" s="7"/>
      <c r="AG150" s="7"/>
      <c r="AH150" s="7"/>
      <c r="AI150" s="7"/>
      <c r="AJ150" s="7"/>
      <c r="AK150" s="7"/>
      <c r="AL150" s="7"/>
      <c r="AM150" s="7"/>
    </row>
    <row r="151" spans="2:39">
      <c r="B151" s="9" t="s">
        <v>123</v>
      </c>
      <c r="C151" s="8">
        <f t="shared" ref="C151:O151" si="63">C145+C150</f>
        <v>33612</v>
      </c>
      <c r="D151" s="8">
        <f t="shared" si="63"/>
        <v>39338</v>
      </c>
      <c r="E151" s="8">
        <f t="shared" si="63"/>
        <v>44067</v>
      </c>
      <c r="F151" s="8">
        <f t="shared" si="63"/>
        <v>52068</v>
      </c>
      <c r="G151" s="8">
        <f t="shared" si="63"/>
        <v>79952</v>
      </c>
      <c r="H151" s="8">
        <f t="shared" si="63"/>
        <v>130647</v>
      </c>
      <c r="I151" s="8">
        <f t="shared" si="63"/>
        <v>170557</v>
      </c>
      <c r="J151" s="16">
        <f t="shared" si="63"/>
        <v>224673.793354062</v>
      </c>
      <c r="K151" s="16">
        <f t="shared" si="63"/>
        <v>226133.283561644</v>
      </c>
      <c r="L151" s="16">
        <f t="shared" si="63"/>
        <v>192144.565890411</v>
      </c>
      <c r="M151" s="16">
        <f t="shared" si="63"/>
        <v>174573.429219863</v>
      </c>
      <c r="N151" s="16">
        <f t="shared" si="63"/>
        <v>169851.957605546</v>
      </c>
      <c r="O151" s="16">
        <f t="shared" si="63"/>
        <v>178067.011189781</v>
      </c>
      <c r="P151" s="7"/>
      <c r="Q151" s="7"/>
      <c r="R151" s="7"/>
      <c r="S151" s="7"/>
      <c r="T151" s="7"/>
      <c r="U151" s="7"/>
      <c r="V151" s="7"/>
      <c r="W151" s="7"/>
      <c r="X151" s="7"/>
      <c r="Y151" s="7"/>
      <c r="Z151" s="7"/>
      <c r="AA151" s="7"/>
      <c r="AB151" s="7"/>
      <c r="AC151" s="7"/>
      <c r="AD151" s="7"/>
      <c r="AE151" s="7"/>
      <c r="AF151" s="7"/>
      <c r="AG151" s="7"/>
      <c r="AH151" s="7"/>
      <c r="AI151" s="7"/>
      <c r="AJ151" s="7"/>
      <c r="AK151" s="7"/>
      <c r="AL151" s="7"/>
      <c r="AM151" s="7"/>
    </row>
    <row r="152" spans="2:39">
      <c r="B152" s="9"/>
      <c r="C152" s="8"/>
      <c r="D152" s="8"/>
      <c r="E152" s="8"/>
      <c r="F152" s="8"/>
      <c r="G152" s="8"/>
      <c r="H152" s="8"/>
      <c r="I152" s="8"/>
      <c r="J152" s="16"/>
      <c r="K152" s="16"/>
      <c r="L152" s="16"/>
      <c r="M152" s="16"/>
      <c r="N152" s="16"/>
      <c r="O152" s="16"/>
      <c r="P152" s="7"/>
      <c r="Q152" s="7"/>
      <c r="R152" s="7"/>
      <c r="S152" s="7"/>
      <c r="T152" s="7"/>
      <c r="U152" s="7"/>
      <c r="V152" s="7"/>
      <c r="W152" s="7"/>
      <c r="X152" s="7"/>
      <c r="Y152" s="7"/>
      <c r="Z152" s="7"/>
      <c r="AA152" s="7"/>
      <c r="AB152" s="7"/>
      <c r="AC152" s="7"/>
      <c r="AD152" s="7"/>
      <c r="AE152" s="7"/>
      <c r="AF152" s="7"/>
      <c r="AG152" s="7"/>
      <c r="AH152" s="7"/>
      <c r="AI152" s="7"/>
      <c r="AJ152" s="7"/>
      <c r="AK152" s="7"/>
      <c r="AL152" s="7"/>
      <c r="AM152" s="7"/>
    </row>
    <row r="153" spans="2:39">
      <c r="B153" t="s">
        <v>124</v>
      </c>
      <c r="C153" s="8">
        <v>20673</v>
      </c>
      <c r="D153" s="8">
        <v>22820</v>
      </c>
      <c r="E153" s="8">
        <v>26240</v>
      </c>
      <c r="F153" s="8">
        <v>28647</v>
      </c>
      <c r="G153" s="8">
        <v>32515</v>
      </c>
      <c r="H153" s="8">
        <v>107931</v>
      </c>
      <c r="I153" s="8">
        <v>193802</v>
      </c>
      <c r="J153" s="16">
        <f>I153</f>
        <v>193802</v>
      </c>
      <c r="K153" s="17">
        <f>J153*(1+K8)</f>
        <v>213182.2</v>
      </c>
      <c r="L153" s="17">
        <f>K153*(1+L8)</f>
        <v>223841.31</v>
      </c>
      <c r="M153" s="17">
        <f>L153*(1+M8)</f>
        <v>230556.5493</v>
      </c>
      <c r="N153" s="17">
        <f>M153*(1+N8)</f>
        <v>235167.680286</v>
      </c>
      <c r="O153" s="17">
        <f>N153*(1+O8)</f>
        <v>239871.03389172</v>
      </c>
      <c r="P153" s="7"/>
      <c r="Q153" s="7"/>
      <c r="R153" s="7"/>
      <c r="S153" s="7"/>
      <c r="T153" s="7"/>
      <c r="U153" s="7"/>
      <c r="V153" s="7"/>
      <c r="W153" s="7"/>
      <c r="X153" s="7"/>
      <c r="Y153" s="7"/>
      <c r="Z153" s="7"/>
      <c r="AA153" s="7"/>
      <c r="AB153" s="7"/>
      <c r="AC153" s="7"/>
      <c r="AD153" s="7"/>
      <c r="AE153" s="7"/>
      <c r="AF153" s="7"/>
      <c r="AG153" s="7"/>
      <c r="AH153" s="7"/>
      <c r="AI153" s="7"/>
      <c r="AJ153" s="7"/>
      <c r="AK153" s="7"/>
      <c r="AL153" s="7"/>
      <c r="AM153" s="7"/>
    </row>
    <row r="154" spans="2:39">
      <c r="B154" t="s">
        <v>125</v>
      </c>
      <c r="C154" s="8">
        <v>458</v>
      </c>
      <c r="D154" s="8">
        <v>472</v>
      </c>
      <c r="E154" s="8">
        <v>541</v>
      </c>
      <c r="F154" s="8">
        <v>1065</v>
      </c>
      <c r="G154" s="8">
        <v>1817</v>
      </c>
      <c r="H154" s="8">
        <v>2002</v>
      </c>
      <c r="I154" s="8">
        <v>4886</v>
      </c>
      <c r="J154" s="16">
        <f>I154</f>
        <v>4886</v>
      </c>
      <c r="K154" s="17">
        <f>J154*(1+K8)</f>
        <v>5374.6</v>
      </c>
      <c r="L154" s="17">
        <f>K154*(1+L8)</f>
        <v>5643.33</v>
      </c>
      <c r="M154" s="17">
        <f>L154*(1+M8)</f>
        <v>5812.6299</v>
      </c>
      <c r="N154" s="17">
        <f>M154*(1+N8)</f>
        <v>5928.882498</v>
      </c>
      <c r="O154" s="17">
        <f>N154*(1+O8)</f>
        <v>6047.46014796</v>
      </c>
      <c r="P154" s="7"/>
      <c r="Q154" s="7"/>
      <c r="R154" s="7"/>
      <c r="S154" s="7"/>
      <c r="T154" s="7"/>
      <c r="U154" s="7"/>
      <c r="V154" s="7"/>
      <c r="W154" s="7"/>
      <c r="X154" s="7"/>
      <c r="Y154" s="7"/>
      <c r="Z154" s="7"/>
      <c r="AA154" s="7"/>
      <c r="AB154" s="7"/>
      <c r="AC154" s="7"/>
      <c r="AD154" s="7"/>
      <c r="AE154" s="7"/>
      <c r="AF154" s="7"/>
      <c r="AG154" s="7"/>
      <c r="AH154" s="7"/>
      <c r="AI154" s="7"/>
      <c r="AJ154" s="7"/>
      <c r="AK154" s="7"/>
      <c r="AL154" s="7"/>
      <c r="AM154" s="7"/>
    </row>
    <row r="155" spans="2:39">
      <c r="B155" t="s">
        <v>126</v>
      </c>
      <c r="C155" s="8">
        <v>50633</v>
      </c>
      <c r="D155" s="8">
        <v>55906</v>
      </c>
      <c r="E155" s="8">
        <v>62776</v>
      </c>
      <c r="F155" s="8">
        <v>70521</v>
      </c>
      <c r="G155" s="8">
        <v>81608</v>
      </c>
      <c r="H155" s="8">
        <v>92030</v>
      </c>
      <c r="I155" s="8">
        <v>93422</v>
      </c>
      <c r="J155" s="16">
        <f t="shared" ref="J155:O155" si="64">+H155+J62+J99</f>
        <v>98459.1242317146</v>
      </c>
      <c r="K155" s="16">
        <f t="shared" si="64"/>
        <v>106140.325497887</v>
      </c>
      <c r="L155" s="16">
        <f t="shared" si="64"/>
        <v>115943.554491458</v>
      </c>
      <c r="M155" s="16">
        <f t="shared" si="64"/>
        <v>128651.529457307</v>
      </c>
      <c r="N155" s="16">
        <f t="shared" si="64"/>
        <v>138904.982530065</v>
      </c>
      <c r="O155" s="16">
        <f t="shared" si="64"/>
        <v>142737.085043076</v>
      </c>
      <c r="P155" s="7"/>
      <c r="Q155" s="7"/>
      <c r="R155" s="7"/>
      <c r="S155" s="7"/>
      <c r="T155" s="7"/>
      <c r="U155" s="7"/>
      <c r="V155" s="7"/>
      <c r="W155" s="7"/>
      <c r="X155" s="7"/>
      <c r="Y155" s="7"/>
      <c r="Z155" s="7"/>
      <c r="AA155" s="7"/>
      <c r="AB155" s="7"/>
      <c r="AC155" s="7"/>
      <c r="AD155" s="7"/>
      <c r="AE155" s="7"/>
      <c r="AF155" s="7"/>
      <c r="AG155" s="7"/>
      <c r="AH155" s="7"/>
      <c r="AI155" s="7"/>
      <c r="AJ155" s="7"/>
      <c r="AK155" s="7"/>
      <c r="AL155" s="7"/>
      <c r="AM155" s="7"/>
    </row>
    <row r="156" spans="2:39">
      <c r="B156" t="s">
        <v>127</v>
      </c>
      <c r="C156" s="8">
        <v>-3049</v>
      </c>
      <c r="D156" s="8">
        <v>-877</v>
      </c>
      <c r="E156" s="8">
        <v>-70</v>
      </c>
      <c r="F156" s="8">
        <v>-183</v>
      </c>
      <c r="G156" s="8">
        <v>-866</v>
      </c>
      <c r="H156" s="8">
        <v>-1557</v>
      </c>
      <c r="I156" s="8">
        <v>2733</v>
      </c>
      <c r="J156" s="16">
        <v>3000</v>
      </c>
      <c r="K156" s="17">
        <f>J156*(1+K8)</f>
        <v>3300</v>
      </c>
      <c r="L156" s="17">
        <f>K156*(1+L8)</f>
        <v>3465</v>
      </c>
      <c r="M156" s="17">
        <f>L156*(1+M8)</f>
        <v>3568.95</v>
      </c>
      <c r="N156" s="17">
        <f>M156*(1+N8)</f>
        <v>3640.329</v>
      </c>
      <c r="O156" s="17">
        <f>N156*(1+O8)</f>
        <v>3713.13558</v>
      </c>
      <c r="P156" s="7"/>
      <c r="Q156" s="7"/>
      <c r="R156" s="7"/>
      <c r="S156" s="7"/>
      <c r="T156" s="7"/>
      <c r="U156" s="7"/>
      <c r="V156" s="7"/>
      <c r="W156" s="7"/>
      <c r="X156" s="7"/>
      <c r="Y156" s="7"/>
      <c r="Z156" s="7"/>
      <c r="AA156" s="7"/>
      <c r="AB156" s="7"/>
      <c r="AC156" s="7"/>
      <c r="AD156" s="7"/>
      <c r="AE156" s="7"/>
      <c r="AF156" s="7"/>
      <c r="AG156" s="7"/>
      <c r="AH156" s="7"/>
      <c r="AI156" s="7"/>
      <c r="AJ156" s="7"/>
      <c r="AK156" s="7"/>
      <c r="AL156" s="7"/>
      <c r="AM156" s="7"/>
    </row>
    <row r="157" spans="2:39">
      <c r="B157" s="9" t="s">
        <v>128</v>
      </c>
      <c r="C157" s="8">
        <f t="shared" ref="C157:O157" si="65">SUM(C153:C156)</f>
        <v>68715</v>
      </c>
      <c r="D157" s="8">
        <f t="shared" si="65"/>
        <v>78321</v>
      </c>
      <c r="E157" s="8">
        <f t="shared" si="65"/>
        <v>89487</v>
      </c>
      <c r="F157" s="8">
        <f t="shared" si="65"/>
        <v>100050</v>
      </c>
      <c r="G157" s="8">
        <f t="shared" si="65"/>
        <v>115074</v>
      </c>
      <c r="H157" s="8">
        <f t="shared" si="65"/>
        <v>200406</v>
      </c>
      <c r="I157" s="8">
        <f t="shared" si="65"/>
        <v>294843</v>
      </c>
      <c r="J157" s="16">
        <f t="shared" si="65"/>
        <v>300147.124231715</v>
      </c>
      <c r="K157" s="16">
        <f t="shared" si="65"/>
        <v>327997.125497887</v>
      </c>
      <c r="L157" s="16">
        <f t="shared" si="65"/>
        <v>348893.194491458</v>
      </c>
      <c r="M157" s="16">
        <f t="shared" si="65"/>
        <v>368589.658657307</v>
      </c>
      <c r="N157" s="16">
        <f t="shared" si="65"/>
        <v>383641.874314065</v>
      </c>
      <c r="O157" s="16">
        <f t="shared" si="65"/>
        <v>392368.714662756</v>
      </c>
      <c r="P157" s="7"/>
      <c r="Q157" s="7"/>
      <c r="R157" s="7"/>
      <c r="S157" s="7"/>
      <c r="T157" s="7"/>
      <c r="U157" s="7"/>
      <c r="V157" s="7"/>
      <c r="W157" s="7"/>
      <c r="X157" s="7"/>
      <c r="Y157" s="7"/>
      <c r="Z157" s="7"/>
      <c r="AA157" s="7"/>
      <c r="AB157" s="7"/>
      <c r="AC157" s="7"/>
      <c r="AD157" s="7"/>
      <c r="AE157" s="7"/>
      <c r="AF157" s="7"/>
      <c r="AG157" s="7"/>
      <c r="AH157" s="7"/>
      <c r="AI157" s="7"/>
      <c r="AJ157" s="7"/>
      <c r="AK157" s="7"/>
      <c r="AL157" s="7"/>
      <c r="AM157" s="7"/>
    </row>
    <row r="158" spans="2:39">
      <c r="B158" s="9" t="s">
        <v>129</v>
      </c>
      <c r="C158" s="8">
        <f t="shared" ref="C158:O158" si="66">C151+C157</f>
        <v>102327</v>
      </c>
      <c r="D158" s="8">
        <f t="shared" si="66"/>
        <v>117659</v>
      </c>
      <c r="E158" s="8">
        <f t="shared" si="66"/>
        <v>133554</v>
      </c>
      <c r="F158" s="8">
        <f t="shared" si="66"/>
        <v>152118</v>
      </c>
      <c r="G158" s="8">
        <f t="shared" si="66"/>
        <v>195026</v>
      </c>
      <c r="H158" s="8">
        <f t="shared" si="66"/>
        <v>331053</v>
      </c>
      <c r="I158" s="8">
        <f t="shared" si="66"/>
        <v>465400</v>
      </c>
      <c r="J158" s="16">
        <f t="shared" si="66"/>
        <v>524820.917585777</v>
      </c>
      <c r="K158" s="16">
        <f t="shared" si="66"/>
        <v>554130.409059531</v>
      </c>
      <c r="L158" s="16">
        <f t="shared" si="66"/>
        <v>541037.760381869</v>
      </c>
      <c r="M158" s="16">
        <f t="shared" si="66"/>
        <v>543163.08787717</v>
      </c>
      <c r="N158" s="16">
        <f t="shared" si="66"/>
        <v>553493.831919611</v>
      </c>
      <c r="O158" s="16">
        <f t="shared" si="66"/>
        <v>570435.725852537</v>
      </c>
      <c r="P158" s="7"/>
      <c r="Q158" s="7"/>
      <c r="R158" s="7"/>
      <c r="S158" s="7"/>
      <c r="T158" s="7"/>
      <c r="U158" s="7"/>
      <c r="V158" s="7"/>
      <c r="W158" s="7"/>
      <c r="X158" s="7"/>
      <c r="Y158" s="7"/>
      <c r="Z158" s="7"/>
      <c r="AA158" s="7"/>
      <c r="AB158" s="7"/>
      <c r="AC158" s="7"/>
      <c r="AD158" s="7"/>
      <c r="AE158" s="7"/>
      <c r="AF158" s="7"/>
      <c r="AG158" s="7"/>
      <c r="AH158" s="7"/>
      <c r="AI158" s="7"/>
      <c r="AJ158" s="7"/>
      <c r="AK158" s="7"/>
      <c r="AL158" s="7"/>
      <c r="AM158" s="7"/>
    </row>
    <row r="159" spans="2:39">
      <c r="B159" t="s">
        <v>130</v>
      </c>
      <c r="C159" s="8">
        <f t="shared" ref="C159:O159" si="67">C134-C158</f>
        <v>0</v>
      </c>
      <c r="D159" s="8">
        <f t="shared" si="67"/>
        <v>0</v>
      </c>
      <c r="E159" s="8">
        <f t="shared" si="67"/>
        <v>0</v>
      </c>
      <c r="F159" s="8">
        <f t="shared" si="67"/>
        <v>0</v>
      </c>
      <c r="G159" s="8">
        <f t="shared" si="67"/>
        <v>0</v>
      </c>
      <c r="H159" s="8">
        <f t="shared" si="67"/>
        <v>0</v>
      </c>
      <c r="I159" s="8">
        <f t="shared" si="67"/>
        <v>1</v>
      </c>
      <c r="J159" s="16">
        <f t="shared" si="67"/>
        <v>1360.9087916906</v>
      </c>
      <c r="K159" s="16">
        <f t="shared" si="67"/>
        <v>23854.0453803729</v>
      </c>
      <c r="L159" s="16">
        <f t="shared" si="67"/>
        <v>17837.8815701501</v>
      </c>
      <c r="M159" s="16">
        <f t="shared" si="67"/>
        <v>7147.83010122576</v>
      </c>
      <c r="N159" s="16">
        <f t="shared" si="67"/>
        <v>14263.8515995051</v>
      </c>
      <c r="O159" s="16">
        <f t="shared" si="67"/>
        <v>8621.27835162298</v>
      </c>
      <c r="P159" s="7"/>
      <c r="Q159" s="7"/>
      <c r="R159" s="7"/>
      <c r="S159" s="7"/>
      <c r="T159" s="7"/>
      <c r="U159" s="7"/>
      <c r="V159" s="7"/>
      <c r="W159" s="7"/>
      <c r="X159" s="7"/>
      <c r="Y159" s="7"/>
      <c r="Z159" s="7"/>
      <c r="AA159" s="7"/>
      <c r="AB159" s="7"/>
      <c r="AC159" s="7"/>
      <c r="AD159" s="7"/>
      <c r="AE159" s="7"/>
      <c r="AF159" s="7"/>
      <c r="AG159" s="7"/>
      <c r="AH159" s="7"/>
      <c r="AI159" s="7"/>
      <c r="AJ159" s="7"/>
      <c r="AK159" s="7"/>
      <c r="AL159" s="7"/>
      <c r="AM159" s="7"/>
    </row>
    <row r="160" spans="2:39">
      <c r="B160" t="s">
        <v>131</v>
      </c>
      <c r="C160" s="8">
        <f>C159/C134</f>
        <v>0</v>
      </c>
      <c r="D160" s="8">
        <f t="shared" ref="D160:R160" si="68">D159/D134</f>
        <v>0</v>
      </c>
      <c r="E160" s="8">
        <f t="shared" si="68"/>
        <v>0</v>
      </c>
      <c r="F160" s="8">
        <f t="shared" si="68"/>
        <v>0</v>
      </c>
      <c r="G160" s="8">
        <f t="shared" si="68"/>
        <v>0</v>
      </c>
      <c r="H160" s="8">
        <f t="shared" si="68"/>
        <v>0</v>
      </c>
      <c r="I160" s="8">
        <f t="shared" si="68"/>
        <v>2.1486846826715e-6</v>
      </c>
      <c r="J160" s="16">
        <f t="shared" si="68"/>
        <v>0.00258638501648729</v>
      </c>
      <c r="K160" s="16">
        <f t="shared" si="68"/>
        <v>0.0412710847102084</v>
      </c>
      <c r="L160" s="16">
        <f t="shared" si="68"/>
        <v>0.0319174432219781</v>
      </c>
      <c r="M160" s="16">
        <f t="shared" si="68"/>
        <v>0.0129887121401912</v>
      </c>
      <c r="N160" s="16">
        <f t="shared" si="68"/>
        <v>0.0251231326559842</v>
      </c>
      <c r="O160" s="16">
        <f t="shared" si="68"/>
        <v>0.014888479526246</v>
      </c>
      <c r="P160" s="7"/>
      <c r="Q160" s="7"/>
      <c r="R160" s="7"/>
      <c r="S160" s="7"/>
      <c r="T160" s="7"/>
      <c r="U160" s="7"/>
      <c r="V160" s="7"/>
      <c r="W160" s="7"/>
      <c r="X160" s="7"/>
      <c r="Y160" s="7"/>
      <c r="Z160" s="7"/>
      <c r="AA160" s="7"/>
      <c r="AB160" s="7"/>
      <c r="AC160" s="7"/>
      <c r="AD160" s="7"/>
      <c r="AE160" s="7"/>
      <c r="AF160" s="7"/>
      <c r="AG160" s="7"/>
      <c r="AH160" s="7"/>
      <c r="AI160" s="7"/>
      <c r="AJ160" s="7"/>
      <c r="AK160" s="7"/>
      <c r="AL160" s="7"/>
      <c r="AM160" s="7"/>
    </row>
    <row r="161" spans="3:39">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row>
    <row r="162" spans="3:39">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row>
    <row r="163" spans="3:39">
      <c r="C163" s="7"/>
      <c r="D163" s="7"/>
      <c r="E163" s="7"/>
      <c r="F163" s="7"/>
      <c r="G163" s="7"/>
      <c r="H163" s="7"/>
      <c r="I163" s="27" t="s">
        <v>132</v>
      </c>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row>
    <row r="164" spans="2:39">
      <c r="B164" s="19" t="s">
        <v>133</v>
      </c>
      <c r="C164" s="20" t="s">
        <v>134</v>
      </c>
      <c r="D164" s="20" t="s">
        <v>135</v>
      </c>
      <c r="E164" s="20" t="s">
        <v>31</v>
      </c>
      <c r="F164" s="20" t="s">
        <v>136</v>
      </c>
      <c r="G164" s="20" t="s">
        <v>137</v>
      </c>
      <c r="H164" s="7"/>
      <c r="I164" s="20" t="s">
        <v>138</v>
      </c>
      <c r="J164" s="7">
        <f>B165</f>
        <v>0.0906265627587504</v>
      </c>
      <c r="K164" s="7">
        <f>B165</f>
        <v>0.0906265627587504</v>
      </c>
      <c r="L164" s="7">
        <f>B165</f>
        <v>0.0906265627587504</v>
      </c>
      <c r="M164" s="7">
        <f>B165</f>
        <v>0.0906265627587504</v>
      </c>
      <c r="N164" s="7">
        <f>B165</f>
        <v>0.0906265627587504</v>
      </c>
      <c r="O164" s="7">
        <f>B165</f>
        <v>0.0906265627587504</v>
      </c>
      <c r="P164" s="7"/>
      <c r="Q164" s="7"/>
      <c r="R164" s="7"/>
      <c r="S164" s="7"/>
      <c r="T164" s="7"/>
      <c r="U164" s="7"/>
      <c r="V164" s="7"/>
      <c r="W164" s="7"/>
      <c r="X164" s="7"/>
      <c r="Y164" s="7"/>
      <c r="Z164" s="7"/>
      <c r="AA164" s="7"/>
      <c r="AB164" s="7"/>
      <c r="AC164" s="7"/>
      <c r="AD164" s="7"/>
      <c r="AE164" s="7"/>
      <c r="AF164" s="7"/>
      <c r="AG164" s="7"/>
      <c r="AH164" s="7"/>
      <c r="AI164" s="7"/>
      <c r="AJ164" s="7"/>
      <c r="AK164" s="7"/>
      <c r="AL164" s="7"/>
      <c r="AM164" s="7"/>
    </row>
    <row r="165" spans="2:39">
      <c r="B165" s="21">
        <f>C165*(1-E165)*D165+G165*F165</f>
        <v>0.0906265627587504</v>
      </c>
      <c r="C165" s="22">
        <v>0.035</v>
      </c>
      <c r="D165" s="7">
        <f>L188</f>
        <v>0.394640737283758</v>
      </c>
      <c r="E165" s="7">
        <f>J29</f>
        <v>0.263301889043959</v>
      </c>
      <c r="F165" s="7">
        <f>1-D165</f>
        <v>0.605359262716242</v>
      </c>
      <c r="G165" s="22">
        <f>C167+(E167-C167)*D167+F167</f>
        <v>0.1328979</v>
      </c>
      <c r="H165" s="7"/>
      <c r="I165" s="20"/>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row>
    <row r="166" spans="2:39">
      <c r="B166" s="23" t="s">
        <v>139</v>
      </c>
      <c r="C166" s="7" t="s">
        <v>140</v>
      </c>
      <c r="D166" s="7" t="s">
        <v>141</v>
      </c>
      <c r="E166" s="7" t="s">
        <v>142</v>
      </c>
      <c r="F166" s="7" t="s">
        <v>143</v>
      </c>
      <c r="G166" s="7"/>
      <c r="H166" s="7"/>
      <c r="I166" s="20"/>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row>
    <row r="167" spans="3:39">
      <c r="C167" s="22">
        <v>0.0171</v>
      </c>
      <c r="D167" s="24">
        <v>0.86</v>
      </c>
      <c r="E167" s="25">
        <f>(1+C169)*(1+D169)*(1+E169)-1+F169</f>
        <v>0.116865</v>
      </c>
      <c r="F167" s="26">
        <v>0.03</v>
      </c>
      <c r="G167" s="7"/>
      <c r="H167" s="7"/>
      <c r="I167" s="20"/>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row>
    <row r="168" spans="2:39">
      <c r="B168" s="23" t="s">
        <v>144</v>
      </c>
      <c r="C168" s="7" t="s">
        <v>145</v>
      </c>
      <c r="D168" s="7" t="s">
        <v>146</v>
      </c>
      <c r="E168" s="7" t="s">
        <v>147</v>
      </c>
      <c r="F168" s="7" t="s">
        <v>148</v>
      </c>
      <c r="G168" s="7"/>
      <c r="H168" s="7"/>
      <c r="I168" s="20"/>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row>
    <row r="169" spans="3:39">
      <c r="C169" s="22">
        <v>0.03</v>
      </c>
      <c r="D169" s="22">
        <v>0.025</v>
      </c>
      <c r="E169" s="22">
        <v>0.02</v>
      </c>
      <c r="F169" s="22">
        <v>0.04</v>
      </c>
      <c r="G169" s="7"/>
      <c r="H169" s="7"/>
      <c r="I169" s="20"/>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row>
    <row r="170" spans="3:39">
      <c r="C170" s="7"/>
      <c r="D170" s="7"/>
      <c r="E170" s="7"/>
      <c r="F170" s="7"/>
      <c r="G170" s="7"/>
      <c r="H170" s="7"/>
      <c r="J170" s="13" t="s">
        <v>8</v>
      </c>
      <c r="K170" s="13" t="s">
        <v>9</v>
      </c>
      <c r="L170" s="13" t="s">
        <v>10</v>
      </c>
      <c r="M170" s="13" t="s">
        <v>11</v>
      </c>
      <c r="N170" s="13" t="s">
        <v>12</v>
      </c>
      <c r="O170" s="14" t="s">
        <v>149</v>
      </c>
      <c r="P170" s="28" t="s">
        <v>150</v>
      </c>
      <c r="Q170" s="7"/>
      <c r="R170" s="7"/>
      <c r="S170" s="7"/>
      <c r="T170" s="7"/>
      <c r="U170" s="7"/>
      <c r="V170" s="7"/>
      <c r="W170" s="7"/>
      <c r="X170" s="7"/>
      <c r="Y170" s="7"/>
      <c r="Z170" s="7"/>
      <c r="AA170" s="7"/>
      <c r="AB170" s="7"/>
      <c r="AC170" s="7"/>
      <c r="AD170" s="7"/>
      <c r="AE170" s="7"/>
      <c r="AF170" s="7"/>
      <c r="AG170" s="7"/>
      <c r="AH170" s="7"/>
      <c r="AI170" s="7"/>
      <c r="AJ170" s="7"/>
      <c r="AK170" s="7"/>
      <c r="AL170" s="7"/>
      <c r="AM170" s="7"/>
    </row>
    <row r="171" spans="2:39">
      <c r="B171" s="7"/>
      <c r="C171" s="7"/>
      <c r="D171" s="7"/>
      <c r="E171" s="7"/>
      <c r="F171" s="7"/>
      <c r="G171" s="7"/>
      <c r="H171" s="7"/>
      <c r="I171" t="s">
        <v>151</v>
      </c>
      <c r="J171" s="7">
        <f>J96+J57*(1-J29)-(SUM(J127:J129)-SUM(I127:I129))-(J47-J48)</f>
        <v>7999.65031001044</v>
      </c>
      <c r="K171" s="7">
        <f>K96+K57*(1-J29)-(SUM(K127:K129)-SUM(J127:J129))-(K47-K48)</f>
        <v>56252.3813429957</v>
      </c>
      <c r="L171" s="7">
        <f>L96+L57*(1-J29)-(SUM(L127:L129)-SUM(K127:K129))-(L47-L48)</f>
        <v>48657.1466509162</v>
      </c>
      <c r="M171" s="7">
        <f>M96+M57*(1-J29)-(SUM(M127:M129)-SUM(L127:L129))-(M47-M48)</f>
        <v>71078.4093372127</v>
      </c>
      <c r="N171" s="7">
        <f>N96+N57*(1-J29)-(SUM(N127:N129)-SUM(M127:M129))-(N47-N48)</f>
        <v>101103.798191067</v>
      </c>
      <c r="O171" s="7">
        <f>O96+O57*(1-J29)-(SUM(O127:O129)-SUM(N127:N129))-(O47-O48)</f>
        <v>71046.4192150748</v>
      </c>
      <c r="P171" s="7">
        <f>O171*(1+O8)/(O164-O8)</f>
        <v>1026063.63340821</v>
      </c>
      <c r="Q171" s="7"/>
      <c r="R171" s="7"/>
      <c r="S171" s="7"/>
      <c r="T171" s="7"/>
      <c r="U171" s="7"/>
      <c r="V171" s="7"/>
      <c r="W171" s="7"/>
      <c r="X171" s="7"/>
      <c r="Y171" s="7"/>
      <c r="Z171" s="7"/>
      <c r="AA171" s="7"/>
      <c r="AB171" s="7"/>
      <c r="AC171" s="7"/>
      <c r="AD171" s="7"/>
      <c r="AE171" s="7"/>
      <c r="AF171" s="7"/>
      <c r="AG171" s="7"/>
      <c r="AH171" s="7"/>
      <c r="AI171" s="7"/>
      <c r="AJ171" s="7"/>
      <c r="AK171" s="7"/>
      <c r="AL171" s="7"/>
      <c r="AM171" s="7"/>
    </row>
    <row r="172" spans="3:39">
      <c r="C172" s="7"/>
      <c r="D172" s="7"/>
      <c r="E172" s="7"/>
      <c r="F172" s="7"/>
      <c r="G172" s="7"/>
      <c r="H172" s="7"/>
      <c r="I172" s="7" t="s">
        <v>152</v>
      </c>
      <c r="J172" s="7">
        <f>J171</f>
        <v>7999.65031001044</v>
      </c>
      <c r="K172" s="7">
        <f>K171/(1+K164)</f>
        <v>51578.0407921707</v>
      </c>
      <c r="L172" s="7">
        <f>L171/((1+L164)^2)</f>
        <v>40906.7046924037</v>
      </c>
      <c r="M172" s="7">
        <f>M171/(1+M164)^3</f>
        <v>54791.0328599036</v>
      </c>
      <c r="N172" s="7">
        <f>N171/((1+N164)^4)</f>
        <v>71460.0288800218</v>
      </c>
      <c r="O172" s="7">
        <f>O171/(1+O164)^5</f>
        <v>46042.8119683884</v>
      </c>
      <c r="P172" s="7">
        <f>P171/(1+O164)^5</f>
        <v>664957.579320077</v>
      </c>
      <c r="Q172" s="7"/>
      <c r="R172" s="7"/>
      <c r="S172" s="7"/>
      <c r="T172" s="7"/>
      <c r="U172" s="7"/>
      <c r="V172" s="7"/>
      <c r="W172" s="7"/>
      <c r="X172" s="7"/>
      <c r="Y172" s="7"/>
      <c r="Z172" s="7"/>
      <c r="AA172" s="7"/>
      <c r="AB172" s="7"/>
      <c r="AC172" s="7"/>
      <c r="AD172" s="7"/>
      <c r="AE172" s="7"/>
      <c r="AF172" s="7"/>
      <c r="AG172" s="7"/>
      <c r="AH172" s="7"/>
      <c r="AI172" s="7"/>
      <c r="AJ172" s="7"/>
      <c r="AK172" s="7"/>
      <c r="AL172" s="7"/>
      <c r="AM172" s="7"/>
    </row>
    <row r="173" spans="3:39">
      <c r="C173" s="7"/>
      <c r="D173" s="7"/>
      <c r="E173" s="7"/>
      <c r="F173" s="7"/>
      <c r="G173" s="7"/>
      <c r="H173" s="7"/>
      <c r="I173" s="29" t="s">
        <v>153</v>
      </c>
      <c r="J173" s="7">
        <f>SUM(K172:P172)</f>
        <v>929736.198512965</v>
      </c>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row>
    <row r="174" spans="3:39">
      <c r="C174" s="7"/>
      <c r="D174" s="7"/>
      <c r="E174" s="7"/>
      <c r="F174" s="7"/>
      <c r="G174" s="7"/>
      <c r="H174" s="7" t="s">
        <v>154</v>
      </c>
      <c r="I174" s="7" t="s">
        <v>155</v>
      </c>
      <c r="J174" s="7">
        <f>J151</f>
        <v>224673.793354062</v>
      </c>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row>
    <row r="175" spans="3:39">
      <c r="C175" s="7"/>
      <c r="D175" s="7"/>
      <c r="E175" s="7"/>
      <c r="F175" s="7"/>
      <c r="G175" s="7"/>
      <c r="H175" s="7" t="s">
        <v>154</v>
      </c>
      <c r="I175" s="7" t="s">
        <v>156</v>
      </c>
      <c r="J175" s="7">
        <v>0</v>
      </c>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row>
    <row r="176" spans="3:39">
      <c r="C176" s="7"/>
      <c r="D176" s="7"/>
      <c r="E176" s="7"/>
      <c r="F176" s="7"/>
      <c r="G176" s="7"/>
      <c r="H176" s="7" t="s">
        <v>154</v>
      </c>
      <c r="I176" s="7" t="s">
        <v>157</v>
      </c>
      <c r="J176" s="7">
        <v>0</v>
      </c>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row>
    <row r="177" spans="3:39">
      <c r="C177" s="7"/>
      <c r="D177" s="7"/>
      <c r="E177" s="7"/>
      <c r="F177" s="7"/>
      <c r="G177" s="7"/>
      <c r="H177" s="7" t="s">
        <v>158</v>
      </c>
      <c r="I177" s="7" t="s">
        <v>159</v>
      </c>
      <c r="J177" s="7">
        <f>J118</f>
        <v>70829.1553733308</v>
      </c>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row>
    <row r="178" spans="3:39">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row>
    <row r="179" spans="3:39">
      <c r="C179" s="7"/>
      <c r="D179" s="7"/>
      <c r="E179" s="7"/>
      <c r="F179" s="7"/>
      <c r="G179" s="7"/>
      <c r="H179" s="7"/>
      <c r="I179" s="30" t="s">
        <v>160</v>
      </c>
      <c r="J179" s="7">
        <f>J173-J174-J175-J176+J177</f>
        <v>775891.560532234</v>
      </c>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row>
    <row r="180" spans="3:39">
      <c r="C180" s="7"/>
      <c r="D180" s="7"/>
      <c r="E180" s="7"/>
      <c r="F180" s="7"/>
      <c r="G180" s="7"/>
      <c r="H180" s="7"/>
      <c r="I180" s="7" t="s">
        <v>161</v>
      </c>
      <c r="J180" s="7">
        <f>J66</f>
        <v>12280114.2552838</v>
      </c>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row>
    <row r="181" spans="3:39">
      <c r="C181" s="7"/>
      <c r="D181" s="7"/>
      <c r="E181" s="7"/>
      <c r="F181" s="7"/>
      <c r="G181" s="7"/>
      <c r="H181" s="7"/>
      <c r="I181" s="27" t="s">
        <v>162</v>
      </c>
      <c r="J181" s="7">
        <f>(J179/J180)*1000</f>
        <v>63.1827639713033</v>
      </c>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row>
    <row r="182" spans="3:39">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3:39">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row>
    <row r="184" spans="3:39">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row>
    <row r="185" spans="3:39">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row>
    <row r="186" spans="3:39">
      <c r="C186" s="7"/>
      <c r="D186" s="7"/>
      <c r="E186" s="7"/>
      <c r="F186" s="7"/>
      <c r="G186" s="7"/>
      <c r="H186" s="7"/>
      <c r="I186" s="27" t="s">
        <v>163</v>
      </c>
      <c r="J186" s="28"/>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row>
    <row r="187" spans="3:39">
      <c r="C187" s="7"/>
      <c r="D187" s="7"/>
      <c r="E187" s="7"/>
      <c r="F187" s="7"/>
      <c r="G187" s="7"/>
      <c r="H187" s="7" t="s">
        <v>164</v>
      </c>
      <c r="I187" s="7"/>
      <c r="J187" t="s">
        <v>165</v>
      </c>
      <c r="K187" t="s">
        <v>166</v>
      </c>
      <c r="L187" s="7" t="s">
        <v>167</v>
      </c>
      <c r="M187" s="7" t="s">
        <v>168</v>
      </c>
      <c r="N187" s="7" t="s">
        <v>169</v>
      </c>
      <c r="O187" s="7" t="s">
        <v>170</v>
      </c>
      <c r="P187" s="7"/>
      <c r="Q187" s="7"/>
      <c r="R187" s="7"/>
      <c r="S187" s="7"/>
      <c r="T187" s="7"/>
      <c r="U187" s="7"/>
      <c r="V187" s="7"/>
      <c r="W187" s="7"/>
      <c r="X187" s="7"/>
      <c r="Y187" s="7"/>
      <c r="Z187" s="7"/>
      <c r="AA187" s="7"/>
      <c r="AB187" s="7"/>
      <c r="AC187" s="7"/>
      <c r="AD187" s="7"/>
      <c r="AE187" s="7"/>
      <c r="AF187" s="7"/>
      <c r="AG187" s="7"/>
      <c r="AH187" s="7"/>
      <c r="AI187" s="7"/>
      <c r="AJ187" s="7"/>
      <c r="AK187" s="7"/>
      <c r="AL187" s="7"/>
      <c r="AM187" s="7"/>
    </row>
    <row r="188" spans="3:39">
      <c r="C188" s="7"/>
      <c r="D188" s="7"/>
      <c r="E188" s="7"/>
      <c r="F188" s="7"/>
      <c r="G188" s="7"/>
      <c r="H188" s="7"/>
      <c r="I188" s="29" t="s">
        <v>171</v>
      </c>
      <c r="J188" s="31" t="s">
        <v>172</v>
      </c>
      <c r="K188" s="31">
        <v>13620</v>
      </c>
      <c r="L188" s="31">
        <f>130647/331053</f>
        <v>0.394640737283758</v>
      </c>
      <c r="M188" s="32">
        <f>J179/J62</f>
        <v>48.2735459803246</v>
      </c>
      <c r="N188" s="31"/>
      <c r="O188" s="32">
        <f>J173/(50.75*1000)</f>
        <v>18.3199250938515</v>
      </c>
      <c r="P188" s="7"/>
      <c r="Q188" s="7"/>
      <c r="R188" s="7"/>
      <c r="S188" s="7"/>
      <c r="T188" s="7"/>
      <c r="U188" s="7"/>
      <c r="V188" s="7"/>
      <c r="W188" s="7"/>
      <c r="X188" s="7"/>
      <c r="Y188" s="7"/>
      <c r="Z188" s="7"/>
      <c r="AA188" s="7"/>
      <c r="AB188" s="7"/>
      <c r="AC188" s="7"/>
      <c r="AD188" s="7"/>
      <c r="AE188" s="7"/>
      <c r="AF188" s="7"/>
      <c r="AG188" s="7"/>
      <c r="AH188" s="7"/>
      <c r="AI188" s="7"/>
      <c r="AJ188" s="7"/>
      <c r="AK188" s="7"/>
      <c r="AL188" s="7"/>
      <c r="AM188" s="7"/>
    </row>
    <row r="189" spans="3:39">
      <c r="C189" s="7"/>
      <c r="D189" s="7"/>
      <c r="E189" s="7"/>
      <c r="F189" s="7"/>
      <c r="G189" s="7"/>
      <c r="H189" s="7" t="s">
        <v>173</v>
      </c>
      <c r="I189" s="7" t="s">
        <v>174</v>
      </c>
      <c r="J189" s="31" t="s">
        <v>175</v>
      </c>
      <c r="K189" s="31">
        <v>22617</v>
      </c>
      <c r="L189" s="31">
        <f>290472/359727</f>
        <v>0.807479004912058</v>
      </c>
      <c r="M189" s="31">
        <v>15.8</v>
      </c>
      <c r="N189" s="31"/>
      <c r="O189" s="31">
        <v>8.83</v>
      </c>
      <c r="P189" s="7"/>
      <c r="Q189" s="7"/>
      <c r="R189" s="7"/>
      <c r="S189" s="7"/>
      <c r="T189" s="7"/>
      <c r="U189" s="7"/>
      <c r="V189" s="7"/>
      <c r="W189" s="7"/>
      <c r="X189" s="7"/>
      <c r="Y189" s="7"/>
      <c r="Z189" s="7"/>
      <c r="AA189" s="7"/>
      <c r="AB189" s="7"/>
      <c r="AC189" s="7"/>
      <c r="AD189" s="7"/>
      <c r="AE189" s="7"/>
      <c r="AF189" s="7"/>
      <c r="AG189" s="7"/>
      <c r="AH189" s="7"/>
      <c r="AI189" s="7"/>
      <c r="AJ189" s="7"/>
      <c r="AK189" s="7"/>
      <c r="AL189" s="7"/>
      <c r="AM189" s="7"/>
    </row>
    <row r="190" spans="3:39">
      <c r="C190" s="7"/>
      <c r="D190" s="7"/>
      <c r="E190" s="7"/>
      <c r="F190" s="7"/>
      <c r="G190" s="7"/>
      <c r="H190" s="7" t="s">
        <v>173</v>
      </c>
      <c r="I190" s="7" t="s">
        <v>176</v>
      </c>
      <c r="J190" s="31" t="s">
        <v>177</v>
      </c>
      <c r="K190" s="31">
        <v>8821</v>
      </c>
      <c r="L190" s="31">
        <v>0.33</v>
      </c>
      <c r="M190" s="31">
        <v>22.7</v>
      </c>
      <c r="N190" s="31"/>
      <c r="O190" s="31">
        <v>10.95</v>
      </c>
      <c r="P190" s="7"/>
      <c r="Q190" s="7"/>
      <c r="R190" s="7"/>
      <c r="S190" s="7"/>
      <c r="T190" s="7"/>
      <c r="U190" s="7"/>
      <c r="V190" s="7"/>
      <c r="W190" s="7"/>
      <c r="X190" s="7"/>
      <c r="Y190" s="7"/>
      <c r="Z190" s="7"/>
      <c r="AA190" s="7"/>
      <c r="AB190" s="7"/>
      <c r="AC190" s="7"/>
      <c r="AD190" s="7"/>
      <c r="AE190" s="7"/>
      <c r="AF190" s="7"/>
      <c r="AG190" s="7"/>
      <c r="AH190" s="7"/>
      <c r="AI190" s="7"/>
      <c r="AJ190" s="7"/>
      <c r="AK190" s="7"/>
      <c r="AL190" s="7"/>
      <c r="AM190" s="7"/>
    </row>
    <row r="191" spans="3:39">
      <c r="C191" s="7"/>
      <c r="D191" s="7"/>
      <c r="E191" s="7"/>
      <c r="F191" s="7"/>
      <c r="G191" s="7"/>
      <c r="H191" s="7" t="s">
        <v>173</v>
      </c>
      <c r="I191" s="7" t="s">
        <v>178</v>
      </c>
      <c r="J191" s="31" t="s">
        <v>179</v>
      </c>
      <c r="K191" s="31">
        <v>11641</v>
      </c>
      <c r="L191" s="31">
        <v>0.33</v>
      </c>
      <c r="M191" s="31">
        <v>19.22</v>
      </c>
      <c r="N191" s="31"/>
      <c r="O191" s="31">
        <v>14.61</v>
      </c>
      <c r="P191" s="7"/>
      <c r="Q191" s="7"/>
      <c r="R191" s="7"/>
      <c r="S191" s="7"/>
      <c r="T191" s="7"/>
      <c r="U191" s="7"/>
      <c r="V191" s="7"/>
      <c r="W191" s="7"/>
      <c r="X191" s="7"/>
      <c r="Y191" s="7"/>
      <c r="Z191" s="7"/>
      <c r="AA191" s="7"/>
      <c r="AB191" s="7"/>
      <c r="AC191" s="7"/>
      <c r="AD191" s="7"/>
      <c r="AE191" s="7"/>
      <c r="AF191" s="7"/>
      <c r="AG191" s="7"/>
      <c r="AH191" s="7"/>
      <c r="AI191" s="7"/>
      <c r="AJ191" s="7"/>
      <c r="AK191" s="7"/>
      <c r="AL191" s="7"/>
      <c r="AM191" s="7"/>
    </row>
    <row r="192" spans="3:39">
      <c r="C192" s="7"/>
      <c r="D192" s="7"/>
      <c r="E192" s="7"/>
      <c r="F192" s="7"/>
      <c r="G192" s="7"/>
      <c r="H192" s="7" t="s">
        <v>180</v>
      </c>
      <c r="I192" s="7" t="s">
        <v>181</v>
      </c>
      <c r="J192" s="31" t="s">
        <v>182</v>
      </c>
      <c r="K192" s="31">
        <v>59437</v>
      </c>
      <c r="L192" s="31" t="s">
        <v>183</v>
      </c>
      <c r="M192" s="31">
        <v>139.33</v>
      </c>
      <c r="N192" s="31"/>
      <c r="O192" s="31">
        <v>-50.23</v>
      </c>
      <c r="P192" s="7"/>
      <c r="Q192" s="7"/>
      <c r="R192" s="7"/>
      <c r="S192" s="7"/>
      <c r="T192" s="7"/>
      <c r="U192" s="7"/>
      <c r="V192" s="7"/>
      <c r="W192" s="7"/>
      <c r="X192" s="7"/>
      <c r="Y192" s="7"/>
      <c r="Z192" s="7"/>
      <c r="AA192" s="7"/>
      <c r="AB192" s="7"/>
      <c r="AC192" s="7"/>
      <c r="AD192" s="7"/>
      <c r="AE192" s="7"/>
      <c r="AF192" s="7"/>
      <c r="AG192" s="7"/>
      <c r="AH192" s="7"/>
      <c r="AI192" s="7"/>
      <c r="AJ192" s="7"/>
      <c r="AK192" s="7"/>
      <c r="AL192" s="7"/>
      <c r="AM192" s="7"/>
    </row>
    <row r="193" spans="3:39">
      <c r="C193" s="7"/>
      <c r="D193" s="7"/>
      <c r="E193" s="7"/>
      <c r="F193" s="7"/>
      <c r="G193" s="7"/>
      <c r="H193" s="7" t="s">
        <v>173</v>
      </c>
      <c r="I193" s="7" t="s">
        <v>184</v>
      </c>
      <c r="J193" s="31" t="s">
        <v>185</v>
      </c>
      <c r="K193" s="31">
        <v>202395</v>
      </c>
      <c r="L193" s="31">
        <v>0.41</v>
      </c>
      <c r="M193" s="31">
        <v>54.14</v>
      </c>
      <c r="N193" s="31"/>
      <c r="O193" s="31">
        <v>26.57</v>
      </c>
      <c r="P193" s="7"/>
      <c r="Q193" s="7"/>
      <c r="R193" s="7"/>
      <c r="S193" s="7"/>
      <c r="T193" s="7"/>
      <c r="U193" s="7"/>
      <c r="V193" s="7"/>
      <c r="W193" s="7"/>
      <c r="X193" s="7"/>
      <c r="Y193" s="7"/>
      <c r="Z193" s="7"/>
      <c r="AA193" s="7"/>
      <c r="AB193" s="7"/>
      <c r="AC193" s="7"/>
      <c r="AD193" s="7"/>
      <c r="AE193" s="7"/>
      <c r="AF193" s="7"/>
      <c r="AG193" s="7"/>
      <c r="AH193" s="7"/>
      <c r="AI193" s="7"/>
      <c r="AJ193" s="7"/>
      <c r="AK193" s="7"/>
      <c r="AL193" s="7"/>
      <c r="AM193" s="7"/>
    </row>
    <row r="194" spans="3:39">
      <c r="C194" s="7"/>
      <c r="D194" s="7"/>
      <c r="E194" s="7"/>
      <c r="F194" s="7"/>
      <c r="G194" s="7"/>
      <c r="H194" s="7" t="s">
        <v>173</v>
      </c>
      <c r="I194" s="7" t="s">
        <v>186</v>
      </c>
      <c r="J194" s="31" t="s">
        <v>187</v>
      </c>
      <c r="K194" s="31">
        <v>10322</v>
      </c>
      <c r="L194" s="31">
        <v>0.39</v>
      </c>
      <c r="M194" s="31">
        <v>36.9</v>
      </c>
      <c r="N194" s="31"/>
      <c r="O194" s="31">
        <v>26.86</v>
      </c>
      <c r="P194" s="7"/>
      <c r="Q194" s="7"/>
      <c r="R194" s="7"/>
      <c r="S194" s="7"/>
      <c r="T194" s="7"/>
      <c r="U194" s="7"/>
      <c r="V194" s="7"/>
      <c r="W194" s="7"/>
      <c r="X194" s="7"/>
      <c r="Y194" s="7"/>
      <c r="Z194" s="7"/>
      <c r="AA194" s="7"/>
      <c r="AB194" s="7"/>
      <c r="AC194" s="7"/>
      <c r="AD194" s="7"/>
      <c r="AE194" s="7"/>
      <c r="AF194" s="7"/>
      <c r="AG194" s="7"/>
      <c r="AH194" s="7"/>
      <c r="AI194" s="7"/>
      <c r="AJ194" s="7"/>
      <c r="AK194" s="7"/>
      <c r="AL194" s="7"/>
      <c r="AM194" s="7"/>
    </row>
    <row r="195" spans="3:39">
      <c r="C195" s="7"/>
      <c r="D195" s="7"/>
      <c r="E195" s="7"/>
      <c r="F195" s="7"/>
      <c r="G195" s="7"/>
      <c r="H195" s="7" t="s">
        <v>180</v>
      </c>
      <c r="I195" s="7" t="s">
        <v>188</v>
      </c>
      <c r="J195" s="31" t="s">
        <v>189</v>
      </c>
      <c r="K195" s="31">
        <v>2259</v>
      </c>
      <c r="L195" s="31">
        <v>0.76</v>
      </c>
      <c r="M195" s="31" t="s">
        <v>190</v>
      </c>
      <c r="N195" s="31"/>
      <c r="O195" s="31">
        <v>308.97</v>
      </c>
      <c r="P195" s="7"/>
      <c r="Q195" s="7"/>
      <c r="R195" s="7"/>
      <c r="S195" s="7"/>
      <c r="T195" s="7"/>
      <c r="U195" s="7"/>
      <c r="V195" s="7"/>
      <c r="W195" s="7"/>
      <c r="X195" s="7"/>
      <c r="Y195" s="7"/>
      <c r="Z195" s="7"/>
      <c r="AA195" s="7"/>
      <c r="AB195" s="7"/>
      <c r="AC195" s="7"/>
      <c r="AD195" s="7"/>
      <c r="AE195" s="7"/>
      <c r="AF195" s="7"/>
      <c r="AG195" s="7"/>
      <c r="AH195" s="7"/>
      <c r="AI195" s="7"/>
      <c r="AJ195" s="7"/>
      <c r="AK195" s="7"/>
      <c r="AL195" s="7"/>
      <c r="AM195" s="7"/>
    </row>
    <row r="196" spans="3:39">
      <c r="C196" s="7"/>
      <c r="D196" s="7"/>
      <c r="E196" s="7"/>
      <c r="F196" s="7"/>
      <c r="G196" s="7"/>
      <c r="H196" s="7" t="s">
        <v>173</v>
      </c>
      <c r="I196" s="7" t="s">
        <v>191</v>
      </c>
      <c r="J196" s="31" t="s">
        <v>192</v>
      </c>
      <c r="K196" s="31">
        <v>4375</v>
      </c>
      <c r="L196" s="31">
        <v>0.42</v>
      </c>
      <c r="M196" s="31">
        <v>30.6</v>
      </c>
      <c r="N196" s="31">
        <v>4.3</v>
      </c>
      <c r="O196" s="31">
        <v>17.6</v>
      </c>
      <c r="P196" s="7"/>
      <c r="Q196" s="7"/>
      <c r="R196" s="7"/>
      <c r="S196" s="7"/>
      <c r="T196" s="7"/>
      <c r="U196" s="7"/>
      <c r="V196" s="7"/>
      <c r="W196" s="7"/>
      <c r="X196" s="7"/>
      <c r="Y196" s="7"/>
      <c r="Z196" s="7"/>
      <c r="AA196" s="7"/>
      <c r="AB196" s="7"/>
      <c r="AC196" s="7"/>
      <c r="AD196" s="7"/>
      <c r="AE196" s="7"/>
      <c r="AF196" s="7"/>
      <c r="AG196" s="7"/>
      <c r="AH196" s="7"/>
      <c r="AI196" s="7"/>
      <c r="AJ196" s="7"/>
      <c r="AK196" s="7"/>
      <c r="AL196" s="7"/>
      <c r="AM196" s="7"/>
    </row>
    <row r="197" spans="3:39">
      <c r="C197" s="7"/>
      <c r="D197" s="7"/>
      <c r="E197" s="7"/>
      <c r="F197" s="7"/>
      <c r="G197" s="7"/>
      <c r="H197" s="7" t="s">
        <v>180</v>
      </c>
      <c r="I197" s="7" t="s">
        <v>193</v>
      </c>
      <c r="J197" s="31" t="s">
        <v>194</v>
      </c>
      <c r="K197" s="31">
        <v>155</v>
      </c>
      <c r="L197" s="31">
        <v>0.42</v>
      </c>
      <c r="M197" s="31">
        <v>-21.6</v>
      </c>
      <c r="N197" s="31"/>
      <c r="O197" s="31"/>
      <c r="P197" s="7"/>
      <c r="Q197" s="7"/>
      <c r="R197" s="7"/>
      <c r="S197" s="7"/>
      <c r="T197" s="7"/>
      <c r="U197" s="7"/>
      <c r="V197" s="7"/>
      <c r="W197" s="7"/>
      <c r="X197" s="7"/>
      <c r="Y197" s="7"/>
      <c r="Z197" s="7"/>
      <c r="AA197" s="7"/>
      <c r="AB197" s="7"/>
      <c r="AC197" s="7"/>
      <c r="AD197" s="7"/>
      <c r="AE197" s="7"/>
      <c r="AF197" s="7"/>
      <c r="AG197" s="7"/>
      <c r="AH197" s="7"/>
      <c r="AI197" s="7"/>
      <c r="AJ197" s="7"/>
      <c r="AK197" s="7"/>
      <c r="AL197" s="7"/>
      <c r="AM197" s="7"/>
    </row>
    <row r="198" spans="3:39">
      <c r="C198" s="7"/>
      <c r="D198" s="7"/>
      <c r="E198" s="7"/>
      <c r="F198" s="7"/>
      <c r="G198" s="7"/>
      <c r="H198" s="7" t="s">
        <v>180</v>
      </c>
      <c r="I198" s="7" t="s">
        <v>195</v>
      </c>
      <c r="J198" s="31" t="s">
        <v>196</v>
      </c>
      <c r="K198" s="31" t="s">
        <v>183</v>
      </c>
      <c r="L198" s="31">
        <v>0.54</v>
      </c>
      <c r="M198" s="31">
        <v>-12.6</v>
      </c>
      <c r="N198" s="31"/>
      <c r="O198" s="31"/>
      <c r="P198" s="7"/>
      <c r="Q198" s="7"/>
      <c r="R198" s="7"/>
      <c r="S198" s="7"/>
      <c r="T198" s="7"/>
      <c r="U198" s="7"/>
      <c r="V198" s="7"/>
      <c r="W198" s="7"/>
      <c r="X198" s="7"/>
      <c r="Y198" s="7"/>
      <c r="Z198" s="7"/>
      <c r="AA198" s="7"/>
      <c r="AB198" s="7"/>
      <c r="AC198" s="7"/>
      <c r="AD198" s="7"/>
      <c r="AE198" s="7"/>
      <c r="AF198" s="7"/>
      <c r="AG198" s="7"/>
      <c r="AH198" s="7"/>
      <c r="AI198" s="7"/>
      <c r="AJ198" s="7"/>
      <c r="AK198" s="7"/>
      <c r="AL198" s="7"/>
      <c r="AM198" s="7"/>
    </row>
    <row r="199" spans="3:39">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row>
    <row r="200" spans="3:39">
      <c r="C200" s="7"/>
      <c r="D200" s="7"/>
      <c r="E200" s="7"/>
      <c r="F200" s="7"/>
      <c r="G200" s="7"/>
      <c r="H200" s="7"/>
      <c r="I200" s="7" t="s">
        <v>197</v>
      </c>
      <c r="J200" s="7"/>
      <c r="K200" s="7"/>
      <c r="L200" s="7"/>
      <c r="M200" s="7">
        <f>AVERAGE(M189,M190,M191,M193,M194,M196)</f>
        <v>29.8933333333333</v>
      </c>
      <c r="N200" s="7"/>
      <c r="O200" s="7">
        <f>AVERAGE(O189,O190,O191,O193,O194,O196)</f>
        <v>17.57</v>
      </c>
      <c r="P200" s="7"/>
      <c r="Q200" s="7"/>
      <c r="R200" s="7"/>
      <c r="S200" s="7"/>
      <c r="T200" s="7"/>
      <c r="U200" s="7"/>
      <c r="V200" s="7"/>
      <c r="W200" s="7"/>
      <c r="X200" s="7"/>
      <c r="Y200" s="7"/>
      <c r="Z200" s="7"/>
      <c r="AA200" s="7"/>
      <c r="AB200" s="7"/>
      <c r="AC200" s="7"/>
      <c r="AD200" s="7"/>
      <c r="AE200" s="7"/>
      <c r="AF200" s="7"/>
      <c r="AG200" s="7"/>
      <c r="AH200" s="7"/>
      <c r="AI200" s="7"/>
      <c r="AJ200" s="7"/>
      <c r="AK200" s="7"/>
      <c r="AL200" s="7"/>
      <c r="AM200" s="7"/>
    </row>
    <row r="201" spans="3:39">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row>
    <row r="202" spans="3:39">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row>
    <row r="203" spans="3:39">
      <c r="C203" s="7"/>
      <c r="D203" s="7"/>
      <c r="E203" s="7"/>
      <c r="F203" s="7"/>
      <c r="G203" s="7"/>
      <c r="H203" s="7"/>
      <c r="I203" s="33" t="s">
        <v>198</v>
      </c>
      <c r="J203" s="34"/>
      <c r="K203" s="7"/>
      <c r="L203" s="7" t="s">
        <v>199</v>
      </c>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row>
    <row r="204" spans="3:39">
      <c r="C204" s="7"/>
      <c r="D204" s="7"/>
      <c r="E204" s="7"/>
      <c r="F204" s="7"/>
      <c r="G204" s="7"/>
      <c r="H204" s="7"/>
      <c r="I204" s="7"/>
      <c r="J204" s="35">
        <v>0.01</v>
      </c>
      <c r="K204" s="35">
        <v>0.015</v>
      </c>
      <c r="L204" s="35">
        <v>0.02</v>
      </c>
      <c r="M204" s="35">
        <v>0.025</v>
      </c>
      <c r="N204" s="35">
        <v>0.03</v>
      </c>
      <c r="O204" s="36"/>
      <c r="P204" s="37"/>
      <c r="Q204" s="7"/>
      <c r="R204" s="7"/>
      <c r="S204" s="7"/>
      <c r="T204" s="7"/>
      <c r="U204" s="7"/>
      <c r="V204" s="7"/>
      <c r="W204" s="7"/>
      <c r="X204" s="7"/>
      <c r="Y204" s="7"/>
      <c r="Z204" s="7"/>
      <c r="AA204" s="7"/>
      <c r="AB204" s="7"/>
      <c r="AC204" s="7"/>
      <c r="AD204" s="7"/>
      <c r="AE204" s="7"/>
      <c r="AF204" s="7"/>
      <c r="AG204" s="7"/>
      <c r="AH204" s="7"/>
      <c r="AI204" s="7"/>
      <c r="AJ204" s="7"/>
      <c r="AK204" s="7"/>
      <c r="AL204" s="7"/>
      <c r="AM204" s="7"/>
    </row>
    <row r="205" spans="3:39">
      <c r="C205" s="7"/>
      <c r="D205" s="7"/>
      <c r="E205" s="7"/>
      <c r="F205" s="7"/>
      <c r="G205" s="7"/>
      <c r="H205" s="7" t="s">
        <v>138</v>
      </c>
      <c r="I205" s="38">
        <v>0.07</v>
      </c>
      <c r="J205" s="7">
        <v>81.09</v>
      </c>
      <c r="K205" s="7">
        <v>87.18</v>
      </c>
      <c r="L205" s="7">
        <v>94.49</v>
      </c>
      <c r="M205" s="7">
        <v>103.43</v>
      </c>
      <c r="N205" s="7">
        <v>114.6</v>
      </c>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3:39">
      <c r="C206" s="7"/>
      <c r="D206" s="7"/>
      <c r="E206" s="7"/>
      <c r="F206" s="7"/>
      <c r="G206" s="7"/>
      <c r="H206" s="7"/>
      <c r="I206" s="38">
        <v>0.08</v>
      </c>
      <c r="J206" s="7">
        <v>67.59</v>
      </c>
      <c r="K206" s="7">
        <v>71.76</v>
      </c>
      <c r="L206" s="7">
        <v>76.63</v>
      </c>
      <c r="M206" s="7">
        <v>82.39</v>
      </c>
      <c r="N206" s="7">
        <v>89.29</v>
      </c>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row>
    <row r="207" spans="3:39">
      <c r="C207" s="7"/>
      <c r="D207" s="7"/>
      <c r="E207" s="7"/>
      <c r="F207" s="7"/>
      <c r="G207" s="7"/>
      <c r="H207" s="7"/>
      <c r="I207" s="38">
        <v>0.09</v>
      </c>
      <c r="J207" s="7">
        <v>57.45</v>
      </c>
      <c r="K207" s="7">
        <v>60.45</v>
      </c>
      <c r="L207" s="7">
        <v>63.86</v>
      </c>
      <c r="M207" s="7">
        <v>67.81</v>
      </c>
      <c r="N207" s="7">
        <v>72.41</v>
      </c>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row>
    <row r="208" spans="3:39">
      <c r="C208" s="7"/>
      <c r="D208" s="7"/>
      <c r="E208" s="7"/>
      <c r="F208" s="7"/>
      <c r="G208" s="7"/>
      <c r="H208" s="7"/>
      <c r="I208" s="38">
        <v>0.1</v>
      </c>
      <c r="J208" s="7">
        <v>49.57</v>
      </c>
      <c r="K208" s="7">
        <v>51.79</v>
      </c>
      <c r="L208" s="7">
        <v>54.28</v>
      </c>
      <c r="M208" s="7">
        <v>57.1</v>
      </c>
      <c r="N208" s="7">
        <v>60.33</v>
      </c>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row>
    <row r="209" spans="3:39">
      <c r="C209" s="7"/>
      <c r="D209" s="7"/>
      <c r="E209" s="7"/>
      <c r="F209" s="7"/>
      <c r="G209" s="7"/>
      <c r="H209" s="7"/>
      <c r="I209" s="38">
        <v>0.11</v>
      </c>
      <c r="J209" s="7">
        <v>43.26</v>
      </c>
      <c r="K209" s="7">
        <v>44.94</v>
      </c>
      <c r="L209" s="7">
        <v>46.82</v>
      </c>
      <c r="M209" s="7">
        <v>48.91</v>
      </c>
      <c r="N209" s="7">
        <v>51.26</v>
      </c>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row>
    <row r="210" spans="3:39">
      <c r="C210" s="7"/>
      <c r="D210" s="7"/>
      <c r="E210" s="7"/>
      <c r="F210" s="7"/>
      <c r="G210" s="7"/>
      <c r="H210" s="7"/>
      <c r="I210" s="3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row>
    <row r="211" spans="3:39">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row>
    <row r="212" spans="3:39">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row>
    <row r="213" spans="3:39">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row>
    <row r="214" spans="3:39">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row>
    <row r="215" spans="3:39">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row>
    <row r="216" spans="3:39">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row>
    <row r="217" spans="3:39">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row>
    <row r="218" spans="3:39">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row>
    <row r="219" spans="3:39">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row>
    <row r="220" spans="3:39">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row>
  </sheetData>
  <mergeCells count="5">
    <mergeCell ref="C6:I6"/>
    <mergeCell ref="J6:O6"/>
    <mergeCell ref="C32:I32"/>
    <mergeCell ref="J32:O32"/>
    <mergeCell ref="B6:B7"/>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Financial statements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 LIN</dc:creator>
  <cp:lastModifiedBy>HAO LIN</cp:lastModifiedBy>
  <dcterms:created xsi:type="dcterms:W3CDTF">2021-08-14T19:09:00Z</dcterms:created>
  <dcterms:modified xsi:type="dcterms:W3CDTF">2021-08-21T17:34:32Z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5FC69CE2FFB44EDBACBBDA540D703A55</vt:lpwstr>
  </property>
  <property fmtid="{D5CDD505-2E9C-101B-9397-08002B2CF9AE}" pid="3" name="KSOProductBuildVer">
    <vt:lpwstr>1033-11.2.0.10258</vt:lpwstr>
  </property>
</Properties>
</file>