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Financial statements" sheetId="1" r:id="rId1"/>
  </sheets>
  <calcPr calcId="144525"/>
</workbook>
</file>

<file path=xl/comments1.xml><?xml version="1.0" encoding="utf-8"?>
<comments xmlns="http://schemas.openxmlformats.org/spreadsheetml/2006/main">
  <authors>
    <author>HAO LIN</author>
  </authors>
  <commentList>
    <comment ref="I20" authorId="0">
      <text>
        <r>
          <rPr>
            <b/>
            <sz val="9"/>
            <rFont val="Times New Roman"/>
            <charset val="0"/>
          </rPr>
          <t>HAO LIN:</t>
        </r>
        <r>
          <rPr>
            <sz val="9"/>
            <rFont val="Times New Roman"/>
            <charset val="0"/>
          </rPr>
          <t xml:space="preserve">
First 3 fiscal quarters. From Oct 1, 2020 to Jun 30, 2021 </t>
        </r>
      </text>
    </comment>
    <comment ref="J25" authorId="0">
      <text>
        <r>
          <rPr>
            <b/>
            <sz val="9"/>
            <rFont val="Times New Roman"/>
            <charset val="0"/>
          </rPr>
          <t>HAO LIN:</t>
        </r>
        <r>
          <rPr>
            <sz val="9"/>
            <rFont val="Times New Roman"/>
            <charset val="0"/>
          </rPr>
          <t xml:space="preserve">
the first 3 quarters of revenue in 2020 was 309263. Kevin expected revenue would be between 500 million to 525 million in Q3 calls. I choose average. </t>
        </r>
      </text>
    </comment>
    <comment ref="J26" authorId="0">
      <text>
        <r>
          <rPr>
            <b/>
            <sz val="9"/>
            <rFont val="Times New Roman"/>
            <charset val="0"/>
          </rPr>
          <t>HAO LIN:</t>
        </r>
        <r>
          <rPr>
            <sz val="9"/>
            <rFont val="Times New Roman"/>
            <charset val="0"/>
          </rPr>
          <t xml:space="preserve">
The first 3 quarters of cost of revenue in 2020 was 242974</t>
        </r>
      </text>
    </comment>
    <comment ref="G30" authorId="0">
      <text>
        <r>
          <rPr>
            <b/>
            <sz val="9"/>
            <rFont val="Times New Roman"/>
            <charset val="0"/>
          </rPr>
          <t>HAO LIN:</t>
        </r>
        <r>
          <rPr>
            <sz val="9"/>
            <rFont val="Times New Roman"/>
            <charset val="0"/>
          </rPr>
          <t xml:space="preserve">
Facilities was not included in G&amp;A in 2018. Due to change in accounting methods, R &amp;D was seperated from other expenses</t>
        </r>
      </text>
    </comment>
    <comment ref="J43" authorId="0">
      <text>
        <r>
          <rPr>
            <b/>
            <sz val="9"/>
            <rFont val="Times New Roman"/>
            <charset val="0"/>
          </rPr>
          <t>HAO LIN:</t>
        </r>
        <r>
          <rPr>
            <sz val="9"/>
            <rFont val="Times New Roman"/>
            <charset val="0"/>
          </rPr>
          <t xml:space="preserve">
use 2020 data</t>
        </r>
      </text>
    </comment>
    <comment ref="J46" authorId="0">
      <text>
        <r>
          <rPr>
            <b/>
            <sz val="9"/>
            <rFont val="Times New Roman"/>
            <charset val="0"/>
          </rPr>
          <t>HAO LIN:</t>
        </r>
        <r>
          <rPr>
            <sz val="9"/>
            <rFont val="Times New Roman"/>
            <charset val="0"/>
          </rPr>
          <t xml:space="preserve">
2015 to 2021 average income tax rate was 30%</t>
        </r>
      </text>
    </comment>
    <comment ref="D114" authorId="0">
      <text>
        <r>
          <rPr>
            <b/>
            <sz val="9"/>
            <rFont val="Times New Roman"/>
            <charset val="0"/>
          </rPr>
          <t>HAO LIN:</t>
        </r>
        <r>
          <rPr>
            <sz val="9"/>
            <rFont val="Times New Roman"/>
            <charset val="0"/>
          </rPr>
          <t xml:space="preserve">
in 2016 the Capitalized research and development was included in the Equipment</t>
        </r>
      </text>
    </comment>
    <comment ref="B129" authorId="0">
      <text>
        <r>
          <rPr>
            <b/>
            <sz val="9"/>
            <rFont val="Times New Roman"/>
            <charset val="0"/>
          </rPr>
          <t>HAO LIN:</t>
        </r>
        <r>
          <rPr>
            <sz val="9"/>
            <rFont val="Times New Roman"/>
            <charset val="0"/>
          </rPr>
          <t xml:space="preserve">
Accounting method changed in 2019</t>
        </r>
      </text>
    </comment>
  </commentList>
</comments>
</file>

<file path=xl/sharedStrings.xml><?xml version="1.0" encoding="utf-8"?>
<sst xmlns="http://schemas.openxmlformats.org/spreadsheetml/2006/main" count="161" uniqueCount="140">
  <si>
    <t>Company: Calian Group Ltd.</t>
  </si>
  <si>
    <t>Ticker: CGY</t>
  </si>
  <si>
    <t>Sector: industrials</t>
  </si>
  <si>
    <t>Industry: specialty business services.</t>
  </si>
  <si>
    <t>2022F</t>
  </si>
  <si>
    <t>2023F</t>
  </si>
  <si>
    <t>2024F</t>
  </si>
  <si>
    <t>2025F</t>
  </si>
  <si>
    <t>after 2025</t>
  </si>
  <si>
    <t>Assumptions</t>
  </si>
  <si>
    <t>Revenue growth rate</t>
  </si>
  <si>
    <t>Dividend payout ratio</t>
  </si>
  <si>
    <t>Average dividend out ratio</t>
  </si>
  <si>
    <t>Depreciation rate</t>
  </si>
  <si>
    <t>Common share growth rate</t>
  </si>
  <si>
    <t>Tax rate</t>
  </si>
  <si>
    <t>Average Tax rate</t>
  </si>
  <si>
    <t>Income statement</t>
  </si>
  <si>
    <t>Historical periods</t>
  </si>
  <si>
    <t>Forecast</t>
  </si>
  <si>
    <t>Year</t>
  </si>
  <si>
    <t>YTD</t>
  </si>
  <si>
    <t>2021E</t>
  </si>
  <si>
    <t>2022E</t>
  </si>
  <si>
    <t>2023E</t>
  </si>
  <si>
    <t>2024E</t>
  </si>
  <si>
    <t>2025E</t>
  </si>
  <si>
    <t>after 2025 (2026)</t>
  </si>
  <si>
    <t>Revenue: Advanced Technologies</t>
  </si>
  <si>
    <t>Revenue: Health</t>
  </si>
  <si>
    <t>Revenue: Learning</t>
  </si>
  <si>
    <t>Revenue: Information Technology</t>
  </si>
  <si>
    <t>Total revenue (in thousands)</t>
  </si>
  <si>
    <t>Cost of revenues</t>
  </si>
  <si>
    <t>Gross profit</t>
  </si>
  <si>
    <t>Selling and marketing</t>
  </si>
  <si>
    <t>General and administration</t>
  </si>
  <si>
    <t>Research and development</t>
  </si>
  <si>
    <t>Facilities</t>
  </si>
  <si>
    <t>SG&amp;A</t>
  </si>
  <si>
    <t>Operating income (Profit before under noted items)</t>
  </si>
  <si>
    <t>Depreciation of equipment, application software and research and development</t>
  </si>
  <si>
    <t>Depreciation of right of use asset</t>
  </si>
  <si>
    <t>Amortization of acquired intangible assets</t>
  </si>
  <si>
    <t>Other changes in fair value</t>
  </si>
  <si>
    <t>Changes in fair value related to contingent earn-out</t>
  </si>
  <si>
    <t>Deemed compensation related to acquisitions</t>
  </si>
  <si>
    <t>Total D&amp;A expense</t>
  </si>
  <si>
    <t>EBIT</t>
  </si>
  <si>
    <t>Accretion interest expense related to acquisitions</t>
  </si>
  <si>
    <t>Lease obligations interest expense</t>
  </si>
  <si>
    <t>Interest expense (income)</t>
  </si>
  <si>
    <t>Profit before income tax expense (EBT)</t>
  </si>
  <si>
    <t>Income tax expense - current</t>
  </si>
  <si>
    <t>Income tax expense (recovery) - deferred</t>
  </si>
  <si>
    <t>Total income tax expense</t>
  </si>
  <si>
    <t>Net profit</t>
  </si>
  <si>
    <t>Weighted average number of common shares - basic</t>
  </si>
  <si>
    <t>Additions to reflect the dilutive effect of employee stock options and RSU's</t>
  </si>
  <si>
    <t>Weighted average number of common shares - diluted</t>
  </si>
  <si>
    <t>Basic EPS</t>
  </si>
  <si>
    <t>Diluted EPS</t>
  </si>
  <si>
    <t>Cash Flow Statement</t>
  </si>
  <si>
    <t>Items not affecting cash:</t>
  </si>
  <si>
    <t>Income tax expense</t>
  </si>
  <si>
    <t>Employee share purchase plan expense</t>
  </si>
  <si>
    <t>Share based compensation expense</t>
  </si>
  <si>
    <t>D&amp;A</t>
  </si>
  <si>
    <t>Otherchanges in fair value</t>
  </si>
  <si>
    <t>Change in non-cash working capital:</t>
  </si>
  <si>
    <t>Account receivable</t>
  </si>
  <si>
    <t>Work in process</t>
  </si>
  <si>
    <t>Prepaid expenses</t>
  </si>
  <si>
    <t>Inventory</t>
  </si>
  <si>
    <t>Accounts payable and accrued liabilities</t>
  </si>
  <si>
    <t>Unearned contract revenue</t>
  </si>
  <si>
    <t>Interest received (paid)</t>
  </si>
  <si>
    <t>Income tax recovered (paid)</t>
  </si>
  <si>
    <t>Cash Flow from Operations</t>
  </si>
  <si>
    <t>Issuance of common shares</t>
  </si>
  <si>
    <t>Dividends paid</t>
  </si>
  <si>
    <t>Draw (repayment) on line of credit</t>
  </si>
  <si>
    <t>Share repurchases</t>
  </si>
  <si>
    <t>Payment of lease obligations</t>
  </si>
  <si>
    <t>Cash Flow from Financing</t>
  </si>
  <si>
    <t>Investments and loan receivable</t>
  </si>
  <si>
    <t>Business acquisitions</t>
  </si>
  <si>
    <t>Capitalized research and development</t>
  </si>
  <si>
    <t>Equipment and application software</t>
  </si>
  <si>
    <t>Cash Flow from Investing</t>
  </si>
  <si>
    <t>Net Cash Inflow (Outflow)</t>
  </si>
  <si>
    <t>Cash and cash equivalents, beginning of period</t>
  </si>
  <si>
    <t>Cash and cash equivalents, end of period</t>
  </si>
  <si>
    <t>Balance sheet</t>
  </si>
  <si>
    <t>Cash and cash equivalents</t>
  </si>
  <si>
    <t>Accounts receivable</t>
  </si>
  <si>
    <t>Derivative assets</t>
  </si>
  <si>
    <t>Total Current Assets</t>
  </si>
  <si>
    <t>Equipment</t>
  </si>
  <si>
    <t>Application software</t>
  </si>
  <si>
    <t>Right of use asset</t>
  </si>
  <si>
    <t>Investment and loan receivable</t>
  </si>
  <si>
    <t>Acquired intangible assets</t>
  </si>
  <si>
    <t>Goodwill</t>
  </si>
  <si>
    <t>Total non-current assets</t>
  </si>
  <si>
    <t>Total Assets</t>
  </si>
  <si>
    <t>Line of Credit</t>
  </si>
  <si>
    <t>Accounts payables and accrued liabilities</t>
  </si>
  <si>
    <t>Contingent earn-out</t>
  </si>
  <si>
    <t>Provisions</t>
  </si>
  <si>
    <t>Derivative liabilities</t>
  </si>
  <si>
    <t>Deferred tax liabilities</t>
  </si>
  <si>
    <t>Lease obligations</t>
  </si>
  <si>
    <t>Total current liabilities</t>
  </si>
  <si>
    <t>Total non-current liabilities</t>
  </si>
  <si>
    <t>Total Liabilities</t>
  </si>
  <si>
    <t>Issued capital</t>
  </si>
  <si>
    <t>Contributed surplus</t>
  </si>
  <si>
    <t>Retained earnings</t>
  </si>
  <si>
    <t>Accumulated other comprehensive income (loss)</t>
  </si>
  <si>
    <t>Total Shareholders' Equity</t>
  </si>
  <si>
    <t>Total Liabilities and Shareholders' Equity</t>
  </si>
  <si>
    <t>Balance check</t>
  </si>
  <si>
    <t>Difference/Total asset</t>
  </si>
  <si>
    <t>DCF analysis</t>
  </si>
  <si>
    <t>Discount rate</t>
  </si>
  <si>
    <t>after 2025(2026)</t>
  </si>
  <si>
    <t>Terminal Value in 2025</t>
  </si>
  <si>
    <t>FCFF</t>
  </si>
  <si>
    <t>PV</t>
  </si>
  <si>
    <t>Enterprise Value</t>
  </si>
  <si>
    <t>minus</t>
  </si>
  <si>
    <t>Debt</t>
  </si>
  <si>
    <t>Non-controlling Interest</t>
  </si>
  <si>
    <t>Preferred shares</t>
  </si>
  <si>
    <t>plus</t>
  </si>
  <si>
    <t>Cash</t>
  </si>
  <si>
    <t>Equity Value</t>
  </si>
  <si>
    <t>Number of shares outstanding</t>
  </si>
  <si>
    <t>Target share price</t>
  </si>
</sst>
</file>

<file path=xl/styles.xml><?xml version="1.0" encoding="utf-8"?>
<styleSheet xmlns="http://schemas.openxmlformats.org/spreadsheetml/2006/main">
  <numFmts count="4">
    <numFmt numFmtId="176" formatCode="_-&quot;$&quot;* #,##0.00_-;\-&quot;$&quot;* #,##0.00_-;_-&quot;$&quot;* \-??_-;_-@_-"/>
    <numFmt numFmtId="41" formatCode="_-* #,##0_-;\-* #,##0_-;_-* &quot;-&quot;_-;_-@_-"/>
    <numFmt numFmtId="43" formatCode="_-* #,##0.00_-;\-* #,##0.00_-;_-* &quot;-&quot;??_-;_-@_-"/>
    <numFmt numFmtId="177" formatCode="_-&quot;$&quot;* #,##0_-;\-&quot;$&quot;* #,##0_-;_-&quot;$&quot;* &quot;-&quot;_-;_-@_-"/>
  </numFmts>
  <fonts count="27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1"/>
      <color theme="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9"/>
      <name val="Times New Roman"/>
      <charset val="0"/>
    </font>
    <font>
      <sz val="9"/>
      <name val="Times New Roman"/>
      <charset val="0"/>
    </font>
  </fonts>
  <fills count="35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21" borderId="6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2" fillId="22" borderId="7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3" fillId="22" borderId="6" applyNumberFormat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0" borderId="0" xfId="0" applyFont="1">
      <alignment vertical="center"/>
    </xf>
    <xf numFmtId="4" fontId="0" fillId="0" borderId="0" xfId="0" applyNumberFormat="1">
      <alignment vertical="center"/>
    </xf>
    <xf numFmtId="0" fontId="0" fillId="3" borderId="0" xfId="0" applyFont="1" applyFill="1" applyAlignment="1">
      <alignment horizontal="center" vertical="center"/>
    </xf>
    <xf numFmtId="0" fontId="0" fillId="3" borderId="0" xfId="0" applyFont="1" applyFill="1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3" fillId="0" borderId="0" xfId="0" applyFont="1" applyFill="1">
      <alignment vertical="center"/>
    </xf>
    <xf numFmtId="0" fontId="0" fillId="0" borderId="0" xfId="0" applyAlignment="1">
      <alignment horizontal="right" vertical="center"/>
    </xf>
    <xf numFmtId="2" fontId="0" fillId="0" borderId="0" xfId="0" applyNumberFormat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ont="1" applyFill="1" applyAlignment="1">
      <alignment horizontal="right" vertical="center"/>
    </xf>
    <xf numFmtId="0" fontId="0" fillId="2" borderId="0" xfId="0" applyFill="1" applyAlignment="1">
      <alignment horizontal="right"/>
    </xf>
    <xf numFmtId="0" fontId="0" fillId="2" borderId="0" xfId="0" applyFill="1">
      <alignment vertical="center"/>
    </xf>
    <xf numFmtId="4" fontId="4" fillId="0" borderId="0" xfId="0" applyNumberFormat="1" applyFont="1">
      <alignment vertical="center"/>
    </xf>
    <xf numFmtId="4" fontId="0" fillId="2" borderId="0" xfId="0" applyNumberFormat="1" applyFill="1">
      <alignment vertical="center"/>
    </xf>
    <xf numFmtId="4" fontId="0" fillId="0" borderId="0" xfId="0" applyNumberFormat="1" applyFill="1">
      <alignment vertical="center"/>
    </xf>
    <xf numFmtId="4" fontId="1" fillId="0" borderId="0" xfId="0" applyNumberFormat="1" applyFont="1">
      <alignment vertical="center"/>
    </xf>
    <xf numFmtId="4" fontId="5" fillId="2" borderId="0" xfId="0" applyNumberFormat="1" applyFont="1" applyFill="1">
      <alignment vertical="center"/>
    </xf>
    <xf numFmtId="4" fontId="1" fillId="2" borderId="0" xfId="0" applyNumberFormat="1" applyFont="1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M206"/>
  <sheetViews>
    <sheetView tabSelected="1" topLeftCell="D151" workbookViewId="0">
      <selection activeCell="I149" sqref="I149"/>
    </sheetView>
  </sheetViews>
  <sheetFormatPr defaultColWidth="9.14285714285714" defaultRowHeight="15"/>
  <cols>
    <col min="2" max="2" width="37.2857142857143" customWidth="1"/>
    <col min="3" max="8" width="12.8571428571429"/>
    <col min="9" max="9" width="16.4285714285714" customWidth="1"/>
    <col min="10" max="10" width="13" customWidth="1"/>
    <col min="11" max="14" width="13.7142857142857"/>
    <col min="15" max="15" width="14.5714285714286" customWidth="1"/>
    <col min="16" max="16" width="20.8571428571429" customWidth="1"/>
    <col min="17" max="17" width="10.8571428571429"/>
    <col min="18" max="18" width="9.71428571428571"/>
  </cols>
  <sheetData>
    <row r="2" spans="2:2">
      <c r="B2" s="1" t="s">
        <v>0</v>
      </c>
    </row>
    <row r="3" spans="2:2">
      <c r="B3" t="s">
        <v>1</v>
      </c>
    </row>
    <row r="4" spans="2:2">
      <c r="B4" s="2" t="s">
        <v>2</v>
      </c>
    </row>
    <row r="5" spans="2:2">
      <c r="B5" s="2" t="s">
        <v>3</v>
      </c>
    </row>
    <row r="6" spans="2:15">
      <c r="B6" s="2"/>
      <c r="J6" s="8"/>
      <c r="K6" s="9" t="s">
        <v>4</v>
      </c>
      <c r="L6" s="9" t="s">
        <v>5</v>
      </c>
      <c r="M6" s="9" t="s">
        <v>6</v>
      </c>
      <c r="N6" s="9" t="s">
        <v>7</v>
      </c>
      <c r="O6" t="s">
        <v>8</v>
      </c>
    </row>
    <row r="7" spans="2:15">
      <c r="B7" s="1" t="s">
        <v>9</v>
      </c>
      <c r="I7" t="s">
        <v>10</v>
      </c>
      <c r="K7">
        <v>0.03</v>
      </c>
      <c r="L7">
        <v>0.03</v>
      </c>
      <c r="M7">
        <v>0.03</v>
      </c>
      <c r="N7">
        <v>0.03</v>
      </c>
      <c r="O7">
        <v>0.02</v>
      </c>
    </row>
    <row r="8" spans="2:2">
      <c r="B8" s="2"/>
    </row>
    <row r="9" spans="2:2">
      <c r="B9" s="2"/>
    </row>
    <row r="10" spans="2:2">
      <c r="B10" s="2"/>
    </row>
    <row r="11" spans="2:2">
      <c r="B11" s="2"/>
    </row>
    <row r="12" spans="2:2">
      <c r="B12" s="2"/>
    </row>
    <row r="13" spans="2:10">
      <c r="B13" t="s">
        <v>11</v>
      </c>
      <c r="C13" s="3">
        <f t="shared" ref="C13:H13" si="0">-C86/C49</f>
        <v>0.845909695914815</v>
      </c>
      <c r="D13" s="3">
        <f t="shared" si="0"/>
        <v>0.612079746928566</v>
      </c>
      <c r="E13" s="3">
        <f t="shared" si="0"/>
        <v>0.553606237816764</v>
      </c>
      <c r="F13" s="3">
        <f t="shared" si="0"/>
        <v>0.532072923700203</v>
      </c>
      <c r="G13" s="3">
        <f t="shared" si="0"/>
        <v>0.440326130452181</v>
      </c>
      <c r="H13" s="3">
        <f t="shared" si="0"/>
        <v>0.48811394891945</v>
      </c>
      <c r="I13" t="s">
        <v>12</v>
      </c>
      <c r="J13" s="10">
        <f>AVERAGE(E13:H13)</f>
        <v>0.503529810222149</v>
      </c>
    </row>
    <row r="14" spans="2:10">
      <c r="B14" s="2"/>
      <c r="I14" t="s">
        <v>13</v>
      </c>
      <c r="J14" s="3">
        <f>(SUM(C34:I34)/SUM(C114:I114))</f>
        <v>0.231258932051449</v>
      </c>
    </row>
    <row r="15" spans="2:10">
      <c r="B15" s="2"/>
      <c r="I15" t="s">
        <v>14</v>
      </c>
      <c r="J15" s="3">
        <f>(J51/C51)^0.2-1</f>
        <v>0.106387501078403</v>
      </c>
    </row>
    <row r="16" spans="2:10">
      <c r="B16" s="2" t="s">
        <v>15</v>
      </c>
      <c r="C16" s="3">
        <f t="shared" ref="C16:H16" si="1">1-C49/C45</f>
        <v>0.277802425317953</v>
      </c>
      <c r="D16" s="3">
        <f t="shared" si="1"/>
        <v>0.275812466702184</v>
      </c>
      <c r="E16" s="3">
        <f t="shared" si="1"/>
        <v>0.268987792713627</v>
      </c>
      <c r="F16" s="3">
        <f t="shared" si="1"/>
        <v>0.277945217622551</v>
      </c>
      <c r="G16" s="3">
        <f t="shared" si="1"/>
        <v>0.227242858799428</v>
      </c>
      <c r="H16" s="3">
        <f t="shared" si="1"/>
        <v>0.252020573108009</v>
      </c>
      <c r="I16" t="s">
        <v>16</v>
      </c>
      <c r="J16" s="3">
        <f>AVERAGE(C16:H16)</f>
        <v>0.263301889043959</v>
      </c>
    </row>
    <row r="17" spans="2:10">
      <c r="B17" s="2"/>
      <c r="C17" s="3"/>
      <c r="D17" s="3"/>
      <c r="E17" s="3"/>
      <c r="F17" s="3"/>
      <c r="G17" s="3"/>
      <c r="H17" s="3"/>
      <c r="J17" s="3"/>
    </row>
    <row r="18" spans="2:2">
      <c r="B18" s="1" t="s">
        <v>17</v>
      </c>
    </row>
    <row r="19" spans="3:15">
      <c r="C19" s="4" t="s">
        <v>18</v>
      </c>
      <c r="D19" s="4"/>
      <c r="E19" s="4"/>
      <c r="F19" s="4"/>
      <c r="G19" s="4"/>
      <c r="H19" s="4"/>
      <c r="I19" s="4"/>
      <c r="J19" s="11" t="s">
        <v>19</v>
      </c>
      <c r="K19" s="11"/>
      <c r="L19" s="11"/>
      <c r="M19" s="11"/>
      <c r="N19" s="11"/>
      <c r="O19" s="11"/>
    </row>
    <row r="20" spans="2:15">
      <c r="B20" t="s">
        <v>20</v>
      </c>
      <c r="C20" s="5">
        <v>2015</v>
      </c>
      <c r="D20" s="5">
        <v>2016</v>
      </c>
      <c r="E20" s="5">
        <v>2017</v>
      </c>
      <c r="F20" s="5">
        <v>2018</v>
      </c>
      <c r="G20" s="5">
        <v>2019</v>
      </c>
      <c r="H20" s="5">
        <v>2020</v>
      </c>
      <c r="I20" s="12" t="s">
        <v>21</v>
      </c>
      <c r="J20" s="13" t="s">
        <v>22</v>
      </c>
      <c r="K20" s="13" t="s">
        <v>23</v>
      </c>
      <c r="L20" s="13" t="s">
        <v>24</v>
      </c>
      <c r="M20" s="13" t="s">
        <v>25</v>
      </c>
      <c r="N20" s="13" t="s">
        <v>26</v>
      </c>
      <c r="O20" s="14" t="s">
        <v>27</v>
      </c>
    </row>
    <row r="21" spans="2:39">
      <c r="B21" t="s">
        <v>28</v>
      </c>
      <c r="C21" s="3"/>
      <c r="D21" s="3"/>
      <c r="E21" s="3"/>
      <c r="F21" s="3">
        <v>99201</v>
      </c>
      <c r="G21" s="3">
        <v>109697</v>
      </c>
      <c r="H21" s="3">
        <v>153382</v>
      </c>
      <c r="I21" s="3">
        <v>123862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</row>
    <row r="22" spans="2:39">
      <c r="B22" t="s">
        <v>29</v>
      </c>
      <c r="C22" s="3"/>
      <c r="D22" s="3"/>
      <c r="E22" s="3"/>
      <c r="F22" s="3">
        <v>99458</v>
      </c>
      <c r="G22" s="3">
        <v>115718</v>
      </c>
      <c r="H22" s="3">
        <v>163035</v>
      </c>
      <c r="I22" s="3">
        <v>150770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</row>
    <row r="23" spans="2:39">
      <c r="B23" t="s">
        <v>30</v>
      </c>
      <c r="C23" s="3"/>
      <c r="D23" s="3"/>
      <c r="E23" s="3"/>
      <c r="F23" s="3">
        <v>61552</v>
      </c>
      <c r="G23" s="3">
        <v>63098</v>
      </c>
      <c r="H23" s="3">
        <v>57834</v>
      </c>
      <c r="I23" s="3">
        <v>57061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</row>
    <row r="24" spans="2:39">
      <c r="B24" t="s">
        <v>31</v>
      </c>
      <c r="C24" s="3"/>
      <c r="D24" s="3"/>
      <c r="E24" s="3"/>
      <c r="F24" s="3">
        <v>44857</v>
      </c>
      <c r="G24" s="3">
        <v>54531</v>
      </c>
      <c r="H24" s="3">
        <v>58069</v>
      </c>
      <c r="I24" s="3">
        <v>59072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</row>
    <row r="25" spans="2:39">
      <c r="B25" s="6" t="s">
        <v>32</v>
      </c>
      <c r="C25" s="3">
        <v>242253</v>
      </c>
      <c r="D25" s="3">
        <v>274587</v>
      </c>
      <c r="E25" s="3">
        <v>275423</v>
      </c>
      <c r="F25" s="3">
        <f t="shared" ref="F25:M25" si="2">SUM(F21:F24)</f>
        <v>305068</v>
      </c>
      <c r="G25" s="3">
        <f t="shared" si="2"/>
        <v>343044</v>
      </c>
      <c r="H25" s="3">
        <f t="shared" si="2"/>
        <v>432320</v>
      </c>
      <c r="I25" s="3">
        <f t="shared" si="2"/>
        <v>390765</v>
      </c>
      <c r="J25" s="3">
        <v>512500</v>
      </c>
      <c r="K25" s="3">
        <f>J25*(1+K7)</f>
        <v>527875</v>
      </c>
      <c r="L25" s="3">
        <f>K25*(1+L7)</f>
        <v>543711.25</v>
      </c>
      <c r="M25" s="3">
        <f>L25*(1+M7)</f>
        <v>560022.5875</v>
      </c>
      <c r="N25" s="3">
        <f>M25*(1+N7)</f>
        <v>576823.265125</v>
      </c>
      <c r="O25" s="3">
        <f>N25*(1+O7)</f>
        <v>588359.7304275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</row>
    <row r="26" spans="2:39">
      <c r="B26" t="s">
        <v>33</v>
      </c>
      <c r="C26" s="3">
        <v>200742</v>
      </c>
      <c r="D26" s="3">
        <v>225753</v>
      </c>
      <c r="E26" s="3">
        <v>222519</v>
      </c>
      <c r="F26" s="3">
        <v>240995</v>
      </c>
      <c r="G26" s="3">
        <v>268387</v>
      </c>
      <c r="H26" s="3">
        <v>343164</v>
      </c>
      <c r="I26" s="3">
        <v>297132</v>
      </c>
      <c r="J26" s="3">
        <f>(I26/242974)*I26</f>
        <v>363361.616568028</v>
      </c>
      <c r="K26" s="3">
        <f>J26*(1+K7)</f>
        <v>374262.465065069</v>
      </c>
      <c r="L26" s="3">
        <f>K26*(1+L7)</f>
        <v>385490.339017021</v>
      </c>
      <c r="M26" s="3">
        <f>L26*(1+M7)</f>
        <v>397055.049187531</v>
      </c>
      <c r="N26" s="3">
        <f>M26*(1+N7)</f>
        <v>408966.700663157</v>
      </c>
      <c r="O26" s="3">
        <f>N26*(1+O7)</f>
        <v>417146.034676421</v>
      </c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</row>
    <row r="27" spans="2:39">
      <c r="B27" s="6" t="s">
        <v>34</v>
      </c>
      <c r="C27" s="3">
        <f t="shared" ref="C27:O27" si="3">C25-C26</f>
        <v>41511</v>
      </c>
      <c r="D27" s="3">
        <f t="shared" si="3"/>
        <v>48834</v>
      </c>
      <c r="E27" s="3">
        <f t="shared" si="3"/>
        <v>52904</v>
      </c>
      <c r="F27" s="3">
        <f t="shared" si="3"/>
        <v>64073</v>
      </c>
      <c r="G27" s="3">
        <f t="shared" si="3"/>
        <v>74657</v>
      </c>
      <c r="H27" s="3">
        <f t="shared" si="3"/>
        <v>89156</v>
      </c>
      <c r="I27" s="3">
        <f t="shared" si="3"/>
        <v>93633</v>
      </c>
      <c r="J27" s="3">
        <f t="shared" si="3"/>
        <v>149138.383431972</v>
      </c>
      <c r="K27" s="3">
        <f t="shared" si="3"/>
        <v>153612.534934931</v>
      </c>
      <c r="L27" s="3">
        <f t="shared" si="3"/>
        <v>158220.910982979</v>
      </c>
      <c r="M27" s="3">
        <f t="shared" si="3"/>
        <v>162967.538312469</v>
      </c>
      <c r="N27" s="3">
        <f t="shared" si="3"/>
        <v>167856.564461843</v>
      </c>
      <c r="O27" s="3">
        <f t="shared" si="3"/>
        <v>171213.695751079</v>
      </c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</row>
    <row r="28" spans="2:39">
      <c r="B28" t="s">
        <v>35</v>
      </c>
      <c r="C28" s="3">
        <v>3904</v>
      </c>
      <c r="D28" s="3">
        <v>4124</v>
      </c>
      <c r="E28" s="3">
        <v>4396</v>
      </c>
      <c r="F28" s="3">
        <v>9188</v>
      </c>
      <c r="G28" s="3">
        <v>10499</v>
      </c>
      <c r="H28" s="3">
        <v>12336</v>
      </c>
      <c r="I28" s="3">
        <v>11883</v>
      </c>
      <c r="J28" s="3">
        <f>(I28/9308)*I28</f>
        <v>15170.3576493339</v>
      </c>
      <c r="K28" s="3">
        <f>J28*(1+K7)</f>
        <v>15625.4683788139</v>
      </c>
      <c r="L28" s="3">
        <f>K28*(1+L7)</f>
        <v>16094.2324301783</v>
      </c>
      <c r="M28" s="3">
        <f>L28*(1+M7)</f>
        <v>16577.0594030837</v>
      </c>
      <c r="N28" s="3">
        <f>M28*(1+N7)</f>
        <v>17074.3711851762</v>
      </c>
      <c r="O28" s="3">
        <f>N28*(1+O7)</f>
        <v>17415.8586088797</v>
      </c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</row>
    <row r="29" spans="2:39">
      <c r="B29" t="s">
        <v>36</v>
      </c>
      <c r="C29" s="3">
        <v>16924</v>
      </c>
      <c r="D29" s="3">
        <v>18893</v>
      </c>
      <c r="E29" s="3">
        <v>20718</v>
      </c>
      <c r="F29" s="3">
        <v>24829</v>
      </c>
      <c r="G29" s="3">
        <v>35592</v>
      </c>
      <c r="H29" s="3">
        <v>38012</v>
      </c>
      <c r="I29" s="3">
        <v>39230</v>
      </c>
      <c r="J29" s="3">
        <f>(I29/28034)*I29</f>
        <v>54897.37104944</v>
      </c>
      <c r="K29" s="3">
        <f>J29*(1+K7)</f>
        <v>56544.2921809232</v>
      </c>
      <c r="L29" s="3">
        <f>K29*(1+L7)</f>
        <v>58240.6209463509</v>
      </c>
      <c r="M29" s="3">
        <f>L29*(1+M7)</f>
        <v>59987.8395747414</v>
      </c>
      <c r="N29" s="3">
        <f>M29*(1+N7)</f>
        <v>61787.4747619836</v>
      </c>
      <c r="O29" s="3">
        <f>N29*(1+O7)</f>
        <v>63023.2242572233</v>
      </c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</row>
    <row r="30" spans="2:39">
      <c r="B30" t="s">
        <v>37</v>
      </c>
      <c r="C30" s="3"/>
      <c r="D30" s="3"/>
      <c r="E30" s="3"/>
      <c r="F30" s="3"/>
      <c r="G30" s="3">
        <v>1420</v>
      </c>
      <c r="H30" s="3">
        <v>1998</v>
      </c>
      <c r="I30" s="3">
        <v>3013</v>
      </c>
      <c r="J30" s="15">
        <f>(I30/1340)*I30</f>
        <v>6774.75298507463</v>
      </c>
      <c r="K30" s="3">
        <f>J30*(1+K7)</f>
        <v>6977.99557462687</v>
      </c>
      <c r="L30" s="3">
        <f>K30*(1+L7)</f>
        <v>7187.33544186567</v>
      </c>
      <c r="M30" s="3">
        <f>L30*(1+M7)</f>
        <v>7402.95550512164</v>
      </c>
      <c r="N30" s="3">
        <f>M30*(1+N7)</f>
        <v>7625.04417027529</v>
      </c>
      <c r="O30" s="3">
        <f>N30*(1+O7)</f>
        <v>7777.5450536808</v>
      </c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</row>
    <row r="31" spans="2:39">
      <c r="B31" t="s">
        <v>38</v>
      </c>
      <c r="C31" s="3">
        <v>3461</v>
      </c>
      <c r="D31" s="3">
        <v>3804</v>
      </c>
      <c r="E31" s="3">
        <v>4319</v>
      </c>
      <c r="F31" s="3">
        <v>4721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</row>
    <row r="32" spans="2:39">
      <c r="B32" s="6" t="s">
        <v>39</v>
      </c>
      <c r="C32" s="3">
        <f t="shared" ref="C32:O32" si="4">SUM(C28:C31)</f>
        <v>24289</v>
      </c>
      <c r="D32" s="3">
        <f t="shared" si="4"/>
        <v>26821</v>
      </c>
      <c r="E32" s="3">
        <f t="shared" si="4"/>
        <v>29433</v>
      </c>
      <c r="F32" s="3">
        <f t="shared" si="4"/>
        <v>38738</v>
      </c>
      <c r="G32" s="3">
        <f t="shared" si="4"/>
        <v>47511</v>
      </c>
      <c r="H32" s="3">
        <f t="shared" si="4"/>
        <v>52346</v>
      </c>
      <c r="I32" s="3">
        <f t="shared" si="4"/>
        <v>54126</v>
      </c>
      <c r="J32" s="3">
        <f t="shared" si="4"/>
        <v>76842.4816838485</v>
      </c>
      <c r="K32" s="3">
        <f t="shared" si="4"/>
        <v>79147.756134364</v>
      </c>
      <c r="L32" s="3">
        <f t="shared" si="4"/>
        <v>81522.1888183949</v>
      </c>
      <c r="M32" s="3">
        <f t="shared" si="4"/>
        <v>83967.8544829467</v>
      </c>
      <c r="N32" s="3">
        <f t="shared" si="4"/>
        <v>86486.8901174351</v>
      </c>
      <c r="O32" s="3">
        <f t="shared" si="4"/>
        <v>88216.6279197838</v>
      </c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</row>
    <row r="33" spans="2:39">
      <c r="B33" s="6" t="s">
        <v>40</v>
      </c>
      <c r="C33" s="3">
        <f t="shared" ref="C33:O33" si="5">C27-C32</f>
        <v>17222</v>
      </c>
      <c r="D33" s="3">
        <f t="shared" si="5"/>
        <v>22013</v>
      </c>
      <c r="E33" s="3">
        <f t="shared" si="5"/>
        <v>23471</v>
      </c>
      <c r="F33" s="3">
        <f t="shared" si="5"/>
        <v>25335</v>
      </c>
      <c r="G33" s="3">
        <f t="shared" si="5"/>
        <v>27146</v>
      </c>
      <c r="H33" s="3">
        <f t="shared" si="5"/>
        <v>36810</v>
      </c>
      <c r="I33" s="3">
        <f t="shared" si="5"/>
        <v>39507</v>
      </c>
      <c r="J33" s="3">
        <f t="shared" si="5"/>
        <v>72295.9017481235</v>
      </c>
      <c r="K33" s="3">
        <f t="shared" si="5"/>
        <v>74464.778800567</v>
      </c>
      <c r="L33" s="3">
        <f t="shared" si="5"/>
        <v>76698.7221645841</v>
      </c>
      <c r="M33" s="3">
        <f t="shared" si="5"/>
        <v>78999.6838295223</v>
      </c>
      <c r="N33" s="3">
        <f t="shared" si="5"/>
        <v>81369.6743444079</v>
      </c>
      <c r="O33" s="3">
        <f t="shared" si="5"/>
        <v>82997.0678312953</v>
      </c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</row>
    <row r="34" spans="2:39">
      <c r="B34" t="s">
        <v>41</v>
      </c>
      <c r="C34" s="3">
        <v>1285</v>
      </c>
      <c r="D34" s="3">
        <v>1290</v>
      </c>
      <c r="E34" s="3">
        <v>1490</v>
      </c>
      <c r="F34" s="3">
        <v>1807</v>
      </c>
      <c r="G34" s="3">
        <v>2220</v>
      </c>
      <c r="H34" s="3">
        <v>2976</v>
      </c>
      <c r="I34" s="3">
        <v>3172</v>
      </c>
      <c r="J34" s="3">
        <f>(I34/2007)*I34</f>
        <v>5013.24564025909</v>
      </c>
      <c r="K34" s="3">
        <f>J34*(1+K7)</f>
        <v>5163.64300946687</v>
      </c>
      <c r="L34" s="3">
        <f>K34*(1+L7)</f>
        <v>5318.55229975087</v>
      </c>
      <c r="M34" s="3">
        <f>L34*(1+M7)</f>
        <v>5478.1088687434</v>
      </c>
      <c r="N34" s="3">
        <f>M34*(1+N7)</f>
        <v>5642.4521348057</v>
      </c>
      <c r="O34" s="3">
        <f>N34*(1+O7)</f>
        <v>5755.30117750181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</row>
    <row r="35" spans="2:39">
      <c r="B35" t="s">
        <v>42</v>
      </c>
      <c r="C35" s="3"/>
      <c r="D35" s="3"/>
      <c r="E35" s="3"/>
      <c r="F35" s="3">
        <v>0</v>
      </c>
      <c r="G35" s="3">
        <v>0</v>
      </c>
      <c r="H35" s="3">
        <v>2771</v>
      </c>
      <c r="I35" s="3">
        <v>2273</v>
      </c>
      <c r="J35" s="3">
        <f>(I35/2007)*I35</f>
        <v>2574.25460886896</v>
      </c>
      <c r="K35" s="3">
        <f>J35*(1+K7)</f>
        <v>2651.48224713503</v>
      </c>
      <c r="L35" s="3">
        <f>K35*(1+L7)</f>
        <v>2731.02671454908</v>
      </c>
      <c r="M35" s="3">
        <f>L35*(1+M7)</f>
        <v>2812.95751598555</v>
      </c>
      <c r="N35" s="3">
        <f>M35*(1+N7)</f>
        <v>2897.34624146512</v>
      </c>
      <c r="O35" s="3">
        <f>N35*(1+O7)</f>
        <v>2955.29316629442</v>
      </c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</row>
    <row r="36" spans="2:39">
      <c r="B36" t="s">
        <v>43</v>
      </c>
      <c r="C36" s="3">
        <v>1431</v>
      </c>
      <c r="D36" s="3">
        <v>1348</v>
      </c>
      <c r="E36" s="3">
        <v>1093</v>
      </c>
      <c r="F36" s="3">
        <v>1193</v>
      </c>
      <c r="G36" s="3">
        <v>3168</v>
      </c>
      <c r="H36" s="3">
        <v>5166</v>
      </c>
      <c r="I36" s="3">
        <v>8359</v>
      </c>
      <c r="J36" s="3">
        <f>I36</f>
        <v>8359</v>
      </c>
      <c r="K36" s="3">
        <f>J36*(1+K7)</f>
        <v>8609.77</v>
      </c>
      <c r="L36" s="3">
        <f>K36*(1+L7)</f>
        <v>8868.0631</v>
      </c>
      <c r="M36" s="3">
        <f>L36*(1+M7)</f>
        <v>9134.104993</v>
      </c>
      <c r="N36" s="3">
        <f>M36*(1+N7)</f>
        <v>9408.12814279</v>
      </c>
      <c r="O36" s="3">
        <f>N36*(1+O7)</f>
        <v>9596.2907056458</v>
      </c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</row>
    <row r="37" spans="2:39">
      <c r="B37" t="s">
        <v>44</v>
      </c>
      <c r="C37" s="3"/>
      <c r="D37" s="3"/>
      <c r="E37" s="3"/>
      <c r="F37" s="3">
        <v>0</v>
      </c>
      <c r="G37" s="3">
        <v>0</v>
      </c>
      <c r="H37" s="3">
        <v>-101</v>
      </c>
      <c r="I37" s="3">
        <v>0</v>
      </c>
      <c r="J37" s="3">
        <f>I37</f>
        <v>0</v>
      </c>
      <c r="K37" s="3">
        <f>J37*(1+K7)</f>
        <v>0</v>
      </c>
      <c r="L37" s="3">
        <f>K37*(1+L7)</f>
        <v>0</v>
      </c>
      <c r="M37" s="3">
        <f>L37*(1+M7)</f>
        <v>0</v>
      </c>
      <c r="N37" s="3">
        <f>M37*(1+N7)</f>
        <v>0</v>
      </c>
      <c r="O37" s="3">
        <f>N37*(1+O7)</f>
        <v>0</v>
      </c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</row>
    <row r="38" spans="2:39">
      <c r="B38" t="s">
        <v>45</v>
      </c>
      <c r="C38" s="3"/>
      <c r="D38" s="3"/>
      <c r="E38" s="3"/>
      <c r="F38" s="3">
        <v>0</v>
      </c>
      <c r="G38" s="3">
        <v>-4149</v>
      </c>
      <c r="H38" s="3">
        <v>-1882</v>
      </c>
      <c r="I38" s="3">
        <v>6780</v>
      </c>
      <c r="J38" s="3">
        <f>I38</f>
        <v>6780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</row>
    <row r="39" spans="2:39">
      <c r="B39" t="s">
        <v>46</v>
      </c>
      <c r="C39" s="3">
        <v>1069</v>
      </c>
      <c r="D39" s="3">
        <v>642</v>
      </c>
      <c r="E39" s="3"/>
      <c r="F39" s="3"/>
      <c r="G39" s="3"/>
      <c r="H39" s="3"/>
      <c r="I39" s="3">
        <v>3100</v>
      </c>
      <c r="J39" s="3">
        <f>I39</f>
        <v>3100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>
      <c r="B40" s="6" t="s">
        <v>47</v>
      </c>
      <c r="C40" s="3">
        <f t="shared" ref="C40:O40" si="6">SUM(C34:C39)</f>
        <v>3785</v>
      </c>
      <c r="D40" s="3">
        <f t="shared" si="6"/>
        <v>3280</v>
      </c>
      <c r="E40" s="3">
        <f t="shared" si="6"/>
        <v>2583</v>
      </c>
      <c r="F40" s="3">
        <f t="shared" si="6"/>
        <v>3000</v>
      </c>
      <c r="G40" s="3">
        <f t="shared" si="6"/>
        <v>1239</v>
      </c>
      <c r="H40" s="3">
        <f t="shared" si="6"/>
        <v>8930</v>
      </c>
      <c r="I40" s="3">
        <f t="shared" si="6"/>
        <v>23684</v>
      </c>
      <c r="J40" s="3">
        <f t="shared" si="6"/>
        <v>25826.5002491281</v>
      </c>
      <c r="K40" s="3">
        <f t="shared" si="6"/>
        <v>16424.8952566019</v>
      </c>
      <c r="L40" s="3">
        <f t="shared" si="6"/>
        <v>16917.6421143</v>
      </c>
      <c r="M40" s="3">
        <f t="shared" si="6"/>
        <v>17425.1713777289</v>
      </c>
      <c r="N40" s="3">
        <f t="shared" si="6"/>
        <v>17947.9265190608</v>
      </c>
      <c r="O40" s="3">
        <f t="shared" si="6"/>
        <v>18306.885049442</v>
      </c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>
      <c r="B41" s="6" t="s">
        <v>48</v>
      </c>
      <c r="C41" s="3">
        <f t="shared" ref="C41:O41" si="7">C33-C40</f>
        <v>13437</v>
      </c>
      <c r="D41" s="3">
        <f t="shared" si="7"/>
        <v>18733</v>
      </c>
      <c r="E41" s="3">
        <f t="shared" si="7"/>
        <v>20888</v>
      </c>
      <c r="F41" s="3">
        <f t="shared" si="7"/>
        <v>22335</v>
      </c>
      <c r="G41" s="3">
        <f t="shared" si="7"/>
        <v>25907</v>
      </c>
      <c r="H41" s="3">
        <f t="shared" si="7"/>
        <v>27880</v>
      </c>
      <c r="I41" s="3">
        <f t="shared" si="7"/>
        <v>15823</v>
      </c>
      <c r="J41" s="3">
        <f t="shared" si="7"/>
        <v>46469.4014989954</v>
      </c>
      <c r="K41" s="3">
        <f t="shared" si="7"/>
        <v>58039.8835439651</v>
      </c>
      <c r="L41" s="3">
        <f t="shared" si="7"/>
        <v>59781.0800502841</v>
      </c>
      <c r="M41" s="3">
        <f t="shared" si="7"/>
        <v>61574.5124517934</v>
      </c>
      <c r="N41" s="3">
        <f t="shared" si="7"/>
        <v>63421.7478253471</v>
      </c>
      <c r="O41" s="3">
        <f t="shared" si="7"/>
        <v>64690.1827818533</v>
      </c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</row>
    <row r="42" spans="2:39">
      <c r="B42" s="7" t="s">
        <v>49</v>
      </c>
      <c r="C42" s="3"/>
      <c r="D42" s="3"/>
      <c r="E42" s="3"/>
      <c r="F42" s="3">
        <v>93</v>
      </c>
      <c r="G42" s="3">
        <v>0</v>
      </c>
      <c r="H42" s="3">
        <v>0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</row>
    <row r="43" spans="2:39">
      <c r="B43" t="s">
        <v>50</v>
      </c>
      <c r="C43" s="3"/>
      <c r="D43" s="3"/>
      <c r="E43" s="3"/>
      <c r="F43" s="3">
        <v>0</v>
      </c>
      <c r="G43" s="3">
        <v>0</v>
      </c>
      <c r="H43" s="3">
        <v>475</v>
      </c>
      <c r="I43" s="3">
        <v>343</v>
      </c>
      <c r="J43" s="3">
        <f>H43</f>
        <v>475</v>
      </c>
      <c r="K43" s="3">
        <f>J43*(1+K7)</f>
        <v>489.25</v>
      </c>
      <c r="L43" s="3">
        <f>K43*(1+L7)</f>
        <v>503.9275</v>
      </c>
      <c r="M43" s="3">
        <f>L43*(1+M7)</f>
        <v>519.045325</v>
      </c>
      <c r="N43" s="3">
        <f>M43*(1+N7)</f>
        <v>534.61668475</v>
      </c>
      <c r="O43" s="3">
        <f>N43*(1+O7)</f>
        <v>545.309018445</v>
      </c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</row>
    <row r="44" spans="2:39">
      <c r="B44" t="s">
        <v>51</v>
      </c>
      <c r="C44" s="3">
        <v>-87</v>
      </c>
      <c r="D44" s="3">
        <v>-37</v>
      </c>
      <c r="E44" s="3">
        <v>-165</v>
      </c>
      <c r="F44" s="3">
        <v>-320</v>
      </c>
      <c r="G44" s="3">
        <v>36</v>
      </c>
      <c r="H44" s="3">
        <v>185</v>
      </c>
      <c r="I44" s="3">
        <v>297</v>
      </c>
      <c r="J44" s="3">
        <f>(I44/166)*I44</f>
        <v>531.379518072289</v>
      </c>
      <c r="K44" s="3">
        <f>J44*(1+K7)</f>
        <v>547.320903614458</v>
      </c>
      <c r="L44" s="3">
        <f>K44*(1+L7)</f>
        <v>563.740530722892</v>
      </c>
      <c r="M44" s="3">
        <f>L44*(1+M7)</f>
        <v>580.652746644578</v>
      </c>
      <c r="N44" s="3">
        <f>M44*(1+N7)</f>
        <v>598.072329043916</v>
      </c>
      <c r="O44" s="3">
        <f>N44*(1+O7)</f>
        <v>610.033775624794</v>
      </c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</row>
    <row r="45" spans="2:39">
      <c r="B45" s="6" t="s">
        <v>52</v>
      </c>
      <c r="C45" s="3">
        <f t="shared" ref="C45:O45" si="8">C41-C42-C43-C44</f>
        <v>13524</v>
      </c>
      <c r="D45" s="3">
        <f t="shared" si="8"/>
        <v>18770</v>
      </c>
      <c r="E45" s="3">
        <f t="shared" si="8"/>
        <v>21053</v>
      </c>
      <c r="F45" s="3">
        <f t="shared" si="8"/>
        <v>22562</v>
      </c>
      <c r="G45" s="3">
        <f t="shared" si="8"/>
        <v>25871</v>
      </c>
      <c r="H45" s="3">
        <f t="shared" si="8"/>
        <v>27220</v>
      </c>
      <c r="I45" s="3">
        <f t="shared" si="8"/>
        <v>15183</v>
      </c>
      <c r="J45" s="3">
        <f t="shared" si="8"/>
        <v>45463.0219809231</v>
      </c>
      <c r="K45" s="3">
        <f t="shared" si="8"/>
        <v>57003.3126403507</v>
      </c>
      <c r="L45" s="3">
        <f t="shared" si="8"/>
        <v>58713.4120195612</v>
      </c>
      <c r="M45" s="3">
        <f t="shared" si="8"/>
        <v>60474.8143801489</v>
      </c>
      <c r="N45" s="3">
        <f t="shared" si="8"/>
        <v>62289.0588115532</v>
      </c>
      <c r="O45" s="3">
        <f t="shared" si="8"/>
        <v>63534.8399877835</v>
      </c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</row>
    <row r="46" spans="2:39">
      <c r="B46" t="s">
        <v>53</v>
      </c>
      <c r="C46" s="3">
        <v>4068</v>
      </c>
      <c r="D46" s="3">
        <v>5343</v>
      </c>
      <c r="E46" s="3">
        <v>5613</v>
      </c>
      <c r="F46" s="3">
        <v>6645</v>
      </c>
      <c r="G46" s="3">
        <v>6318</v>
      </c>
      <c r="H46" s="3">
        <v>8171</v>
      </c>
      <c r="I46" s="3">
        <v>6647</v>
      </c>
      <c r="J46" s="3">
        <f>J45*J16</f>
        <v>11970.4995692241</v>
      </c>
      <c r="K46" s="3">
        <f>K45*J16</f>
        <v>15009.0798999677</v>
      </c>
      <c r="L46" s="3">
        <f>L45*J16</f>
        <v>15459.3522969667</v>
      </c>
      <c r="M46" s="3">
        <f>M45*J16</f>
        <v>15923.132865876</v>
      </c>
      <c r="N46" s="3">
        <f>N45*J16</f>
        <v>16400.8268518522</v>
      </c>
      <c r="O46" s="3">
        <f>O45*J16</f>
        <v>16728.843388889</v>
      </c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</row>
    <row r="47" spans="2:39">
      <c r="B47" t="s">
        <v>54</v>
      </c>
      <c r="C47" s="3">
        <v>-311</v>
      </c>
      <c r="D47" s="3">
        <v>-166</v>
      </c>
      <c r="E47" s="3">
        <v>50</v>
      </c>
      <c r="F47" s="3">
        <v>-374</v>
      </c>
      <c r="G47" s="3">
        <v>-439</v>
      </c>
      <c r="H47" s="3">
        <v>-1311</v>
      </c>
      <c r="I47" s="3">
        <v>-1526</v>
      </c>
      <c r="J47" s="3">
        <f>I47</f>
        <v>-1526</v>
      </c>
      <c r="K47" s="3">
        <f>J47*(1+K7)</f>
        <v>-1571.78</v>
      </c>
      <c r="L47" s="3">
        <f>K47*(1+L7)</f>
        <v>-1618.9334</v>
      </c>
      <c r="M47" s="3">
        <f>L47*(1+M7)</f>
        <v>-1667.501402</v>
      </c>
      <c r="N47" s="3">
        <f>M47*(1+N7)</f>
        <v>-1717.52644406</v>
      </c>
      <c r="O47" s="3">
        <f>N47*(1+O7)</f>
        <v>-1751.8769729412</v>
      </c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</row>
    <row r="48" spans="2:39">
      <c r="B48" s="6" t="s">
        <v>55</v>
      </c>
      <c r="C48" s="3">
        <f t="shared" ref="C48:O48" si="9">SUM(C46:C47)</f>
        <v>3757</v>
      </c>
      <c r="D48" s="3">
        <f t="shared" si="9"/>
        <v>5177</v>
      </c>
      <c r="E48" s="3">
        <f t="shared" si="9"/>
        <v>5663</v>
      </c>
      <c r="F48" s="3">
        <f t="shared" si="9"/>
        <v>6271</v>
      </c>
      <c r="G48" s="3">
        <f t="shared" si="9"/>
        <v>5879</v>
      </c>
      <c r="H48" s="3">
        <f t="shared" si="9"/>
        <v>6860</v>
      </c>
      <c r="I48" s="3">
        <f t="shared" si="9"/>
        <v>5121</v>
      </c>
      <c r="J48" s="3">
        <f t="shared" si="9"/>
        <v>10444.4995692241</v>
      </c>
      <c r="K48" s="3">
        <f t="shared" si="9"/>
        <v>13437.2998999677</v>
      </c>
      <c r="L48" s="3">
        <f t="shared" si="9"/>
        <v>13840.4188969667</v>
      </c>
      <c r="M48" s="3">
        <f t="shared" si="9"/>
        <v>14255.631463876</v>
      </c>
      <c r="N48" s="3">
        <f t="shared" si="9"/>
        <v>14683.3004077922</v>
      </c>
      <c r="O48" s="3">
        <f t="shared" si="9"/>
        <v>14976.9664159478</v>
      </c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</row>
    <row r="49" spans="2:39">
      <c r="B49" s="6" t="s">
        <v>56</v>
      </c>
      <c r="C49" s="3">
        <f t="shared" ref="C49:O49" si="10">C45-C48</f>
        <v>9767</v>
      </c>
      <c r="D49" s="3">
        <f t="shared" si="10"/>
        <v>13593</v>
      </c>
      <c r="E49" s="3">
        <f t="shared" si="10"/>
        <v>15390</v>
      </c>
      <c r="F49" s="3">
        <f t="shared" si="10"/>
        <v>16291</v>
      </c>
      <c r="G49" s="3">
        <f t="shared" si="10"/>
        <v>19992</v>
      </c>
      <c r="H49" s="3">
        <f t="shared" si="10"/>
        <v>20360</v>
      </c>
      <c r="I49" s="3">
        <f t="shared" si="10"/>
        <v>10062</v>
      </c>
      <c r="J49" s="3">
        <f t="shared" si="10"/>
        <v>35018.522411699</v>
      </c>
      <c r="K49" s="3">
        <f t="shared" si="10"/>
        <v>43566.012740383</v>
      </c>
      <c r="L49" s="3">
        <f t="shared" si="10"/>
        <v>44872.9931225945</v>
      </c>
      <c r="M49" s="3">
        <f t="shared" si="10"/>
        <v>46219.1829162729</v>
      </c>
      <c r="N49" s="3">
        <f t="shared" si="10"/>
        <v>47605.758403761</v>
      </c>
      <c r="O49" s="3">
        <f t="shared" si="10"/>
        <v>48557.8735718356</v>
      </c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</row>
    <row r="50" spans="3:39"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</row>
    <row r="51" spans="2:39">
      <c r="B51" t="s">
        <v>57</v>
      </c>
      <c r="C51" s="3">
        <v>7366652</v>
      </c>
      <c r="D51" s="3">
        <v>7411361</v>
      </c>
      <c r="E51" s="3">
        <v>7586899</v>
      </c>
      <c r="F51" s="3">
        <v>7722937</v>
      </c>
      <c r="G51" s="3">
        <v>7843265</v>
      </c>
      <c r="H51" s="3">
        <v>9044588</v>
      </c>
      <c r="I51" s="3">
        <v>10375745</v>
      </c>
      <c r="J51" s="3">
        <f>(I51/8815199)*I51</f>
        <v>12212552.9219505</v>
      </c>
      <c r="K51" s="3">
        <f>J51*(1+J15)</f>
        <v>13511815.9091045</v>
      </c>
      <c r="L51" s="3">
        <f>K51*(1+J15)</f>
        <v>14949304.2387056</v>
      </c>
      <c r="M51" s="3">
        <f>L51*(1+J15)</f>
        <v>16539723.3595222</v>
      </c>
      <c r="N51" s="3">
        <f>M51*(1+J15)</f>
        <v>18299343.1962699</v>
      </c>
      <c r="O51" s="3">
        <f>N51*(1+J15)</f>
        <v>20246164.5902971</v>
      </c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</row>
    <row r="52" spans="2:39">
      <c r="B52" t="s">
        <v>58</v>
      </c>
      <c r="C52" s="3">
        <v>0</v>
      </c>
      <c r="D52" s="3">
        <v>7499</v>
      </c>
      <c r="E52" s="3">
        <v>76353</v>
      </c>
      <c r="F52" s="3">
        <v>44140</v>
      </c>
      <c r="G52" s="3">
        <v>20096</v>
      </c>
      <c r="H52" s="3">
        <v>59910</v>
      </c>
      <c r="I52" s="3">
        <v>50671</v>
      </c>
      <c r="J52" s="15">
        <f>I52</f>
        <v>50671</v>
      </c>
      <c r="K52" s="3">
        <f>AVERAGE(C52:I52)</f>
        <v>36952.7142857143</v>
      </c>
      <c r="L52" s="3">
        <f>AVERAGE(C52:I52)</f>
        <v>36952.7142857143</v>
      </c>
      <c r="M52" s="3">
        <f>AVERAGE(C52:I52)</f>
        <v>36952.7142857143</v>
      </c>
      <c r="N52" s="3">
        <f>AVERAGE(C52:I52)</f>
        <v>36952.7142857143</v>
      </c>
      <c r="O52" s="3">
        <f>AVERAGE(C52:I52)</f>
        <v>36952.7142857143</v>
      </c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</row>
    <row r="53" spans="2:39">
      <c r="B53" t="s">
        <v>59</v>
      </c>
      <c r="C53" s="3">
        <f t="shared" ref="C53:O53" si="11">SUM(C51:C52)</f>
        <v>7366652</v>
      </c>
      <c r="D53" s="3">
        <f t="shared" si="11"/>
        <v>7418860</v>
      </c>
      <c r="E53" s="3">
        <f t="shared" si="11"/>
        <v>7663252</v>
      </c>
      <c r="F53" s="3">
        <f t="shared" si="11"/>
        <v>7767077</v>
      </c>
      <c r="G53" s="3">
        <f t="shared" si="11"/>
        <v>7863361</v>
      </c>
      <c r="H53" s="3">
        <f t="shared" si="11"/>
        <v>9104498</v>
      </c>
      <c r="I53" s="3">
        <f t="shared" si="11"/>
        <v>10426416</v>
      </c>
      <c r="J53" s="3">
        <f t="shared" si="11"/>
        <v>12263223.9219505</v>
      </c>
      <c r="K53" s="3">
        <f t="shared" si="11"/>
        <v>13548768.6233903</v>
      </c>
      <c r="L53" s="3">
        <f t="shared" si="11"/>
        <v>14986256.9529913</v>
      </c>
      <c r="M53" s="3">
        <f t="shared" si="11"/>
        <v>16576676.0738079</v>
      </c>
      <c r="N53" s="3">
        <f t="shared" si="11"/>
        <v>18336295.9105556</v>
      </c>
      <c r="O53" s="3">
        <f t="shared" si="11"/>
        <v>20283117.3045828</v>
      </c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</row>
    <row r="54" spans="2:39">
      <c r="B54" t="s">
        <v>60</v>
      </c>
      <c r="C54" s="3">
        <f t="shared" ref="C54:O54" si="12">(C49/C51)*1000</f>
        <v>1.32583974375334</v>
      </c>
      <c r="D54" s="3">
        <f t="shared" si="12"/>
        <v>1.83407608939842</v>
      </c>
      <c r="E54" s="3">
        <f t="shared" si="12"/>
        <v>2.02849675473471</v>
      </c>
      <c r="F54" s="3">
        <f t="shared" si="12"/>
        <v>2.10943064795168</v>
      </c>
      <c r="G54" s="3">
        <f t="shared" si="12"/>
        <v>2.54893848416444</v>
      </c>
      <c r="H54" s="3">
        <f t="shared" si="12"/>
        <v>2.25106992159289</v>
      </c>
      <c r="I54" s="3">
        <f t="shared" si="12"/>
        <v>0.96976168940158</v>
      </c>
      <c r="J54" s="3">
        <f t="shared" si="12"/>
        <v>2.86742032034577</v>
      </c>
      <c r="K54" s="3">
        <f t="shared" si="12"/>
        <v>3.22428998688677</v>
      </c>
      <c r="L54" s="3">
        <f t="shared" si="12"/>
        <v>3.0016776972411</v>
      </c>
      <c r="M54" s="3">
        <f t="shared" si="12"/>
        <v>2.79443506469918</v>
      </c>
      <c r="N54" s="3">
        <f t="shared" si="12"/>
        <v>2.60150093329387</v>
      </c>
      <c r="O54" s="3">
        <f t="shared" si="12"/>
        <v>2.39837394165544</v>
      </c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</row>
    <row r="55" spans="2:39">
      <c r="B55" t="s">
        <v>61</v>
      </c>
      <c r="C55" s="3">
        <f t="shared" ref="C55:O55" si="13">(C49/C53)*1000</f>
        <v>1.32583974375334</v>
      </c>
      <c r="D55" s="3">
        <f t="shared" si="13"/>
        <v>1.83222220125464</v>
      </c>
      <c r="E55" s="3">
        <f t="shared" si="13"/>
        <v>2.00828577736971</v>
      </c>
      <c r="F55" s="3">
        <f t="shared" si="13"/>
        <v>2.09744283467255</v>
      </c>
      <c r="G55" s="3">
        <f t="shared" si="13"/>
        <v>2.54242428905401</v>
      </c>
      <c r="H55" s="3">
        <f t="shared" si="13"/>
        <v>2.23625728733204</v>
      </c>
      <c r="I55" s="3">
        <f t="shared" si="13"/>
        <v>0.965048776108684</v>
      </c>
      <c r="J55" s="3">
        <f t="shared" si="13"/>
        <v>2.85557228951987</v>
      </c>
      <c r="K55" s="3">
        <f t="shared" si="13"/>
        <v>3.21549610531924</v>
      </c>
      <c r="L55" s="3">
        <f t="shared" si="13"/>
        <v>2.99427624011463</v>
      </c>
      <c r="M55" s="3">
        <f t="shared" si="13"/>
        <v>2.7882057120789</v>
      </c>
      <c r="N55" s="3">
        <f t="shared" si="13"/>
        <v>2.59625818845757</v>
      </c>
      <c r="O55" s="3">
        <f t="shared" si="13"/>
        <v>2.39400447390128</v>
      </c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</row>
    <row r="58" spans="2:39">
      <c r="B58" s="1" t="s">
        <v>62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</row>
    <row r="59" spans="3:39"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</row>
    <row r="60" spans="2:39">
      <c r="B60" t="s">
        <v>56</v>
      </c>
      <c r="C60" s="3">
        <f t="shared" ref="C60:O60" si="14">C49</f>
        <v>9767</v>
      </c>
      <c r="D60" s="3">
        <f t="shared" si="14"/>
        <v>13593</v>
      </c>
      <c r="E60" s="3">
        <f t="shared" si="14"/>
        <v>15390</v>
      </c>
      <c r="F60" s="3">
        <f t="shared" si="14"/>
        <v>16291</v>
      </c>
      <c r="G60" s="3">
        <f t="shared" si="14"/>
        <v>19992</v>
      </c>
      <c r="H60" s="3">
        <f t="shared" si="14"/>
        <v>20360</v>
      </c>
      <c r="I60" s="3">
        <f t="shared" si="14"/>
        <v>10062</v>
      </c>
      <c r="J60" s="3">
        <f t="shared" si="14"/>
        <v>35018.522411699</v>
      </c>
      <c r="K60" s="3">
        <f t="shared" si="14"/>
        <v>43566.012740383</v>
      </c>
      <c r="L60" s="3">
        <f t="shared" si="14"/>
        <v>44872.9931225945</v>
      </c>
      <c r="M60" s="3">
        <f t="shared" si="14"/>
        <v>46219.1829162729</v>
      </c>
      <c r="N60" s="3">
        <f t="shared" si="14"/>
        <v>47605.758403761</v>
      </c>
      <c r="O60" s="3">
        <f t="shared" si="14"/>
        <v>48557.8735718356</v>
      </c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</row>
    <row r="61" spans="2:39">
      <c r="B61" t="s">
        <v>63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</row>
    <row r="62" spans="2:39">
      <c r="B62" t="s">
        <v>51</v>
      </c>
      <c r="C62" s="3">
        <f t="shared" ref="C62:O62" si="15">C44</f>
        <v>-87</v>
      </c>
      <c r="D62" s="3">
        <f t="shared" si="15"/>
        <v>-37</v>
      </c>
      <c r="E62" s="3">
        <f t="shared" si="15"/>
        <v>-165</v>
      </c>
      <c r="F62" s="3">
        <f t="shared" si="15"/>
        <v>-320</v>
      </c>
      <c r="G62" s="3">
        <f t="shared" si="15"/>
        <v>36</v>
      </c>
      <c r="H62" s="3">
        <f t="shared" si="15"/>
        <v>185</v>
      </c>
      <c r="I62" s="3">
        <f t="shared" si="15"/>
        <v>297</v>
      </c>
      <c r="J62" s="3">
        <f t="shared" si="15"/>
        <v>531.379518072289</v>
      </c>
      <c r="K62" s="3">
        <f t="shared" si="15"/>
        <v>547.320903614458</v>
      </c>
      <c r="L62" s="3">
        <f t="shared" si="15"/>
        <v>563.740530722892</v>
      </c>
      <c r="M62" s="3">
        <f t="shared" si="15"/>
        <v>580.652746644578</v>
      </c>
      <c r="N62" s="3">
        <f t="shared" si="15"/>
        <v>598.072329043916</v>
      </c>
      <c r="O62" s="3">
        <f t="shared" si="15"/>
        <v>610.033775624794</v>
      </c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</row>
    <row r="63" spans="2:39">
      <c r="B63" t="s">
        <v>49</v>
      </c>
      <c r="C63" s="3"/>
      <c r="D63" s="3"/>
      <c r="E63" s="3"/>
      <c r="F63" s="3">
        <f t="shared" ref="F63:O63" si="16">F42</f>
        <v>93</v>
      </c>
      <c r="G63" s="3">
        <f t="shared" si="16"/>
        <v>0</v>
      </c>
      <c r="H63" s="3">
        <f t="shared" si="16"/>
        <v>0</v>
      </c>
      <c r="I63" s="3">
        <f t="shared" si="16"/>
        <v>0</v>
      </c>
      <c r="J63" s="3">
        <f t="shared" si="16"/>
        <v>0</v>
      </c>
      <c r="K63" s="3">
        <f t="shared" si="16"/>
        <v>0</v>
      </c>
      <c r="L63" s="3">
        <f t="shared" si="16"/>
        <v>0</v>
      </c>
      <c r="M63" s="3">
        <f t="shared" si="16"/>
        <v>0</v>
      </c>
      <c r="N63" s="3">
        <f t="shared" si="16"/>
        <v>0</v>
      </c>
      <c r="O63" s="3">
        <f t="shared" si="16"/>
        <v>0</v>
      </c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</row>
    <row r="64" spans="2:39">
      <c r="B64" t="s">
        <v>45</v>
      </c>
      <c r="C64" s="3"/>
      <c r="D64" s="3"/>
      <c r="E64" s="3"/>
      <c r="F64" s="3"/>
      <c r="G64" s="3">
        <f t="shared" ref="G64:O64" si="17">G38</f>
        <v>-4149</v>
      </c>
      <c r="H64" s="3">
        <f t="shared" si="17"/>
        <v>-1882</v>
      </c>
      <c r="I64" s="3">
        <f t="shared" si="17"/>
        <v>6780</v>
      </c>
      <c r="J64" s="3">
        <f t="shared" si="17"/>
        <v>6780</v>
      </c>
      <c r="K64" s="3">
        <f t="shared" si="17"/>
        <v>0</v>
      </c>
      <c r="L64" s="3">
        <f t="shared" si="17"/>
        <v>0</v>
      </c>
      <c r="M64" s="3">
        <f t="shared" si="17"/>
        <v>0</v>
      </c>
      <c r="N64" s="3">
        <f t="shared" si="17"/>
        <v>0</v>
      </c>
      <c r="O64" s="3">
        <f t="shared" si="17"/>
        <v>0</v>
      </c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</row>
    <row r="65" spans="2:39">
      <c r="B65" t="s">
        <v>50</v>
      </c>
      <c r="C65" s="3"/>
      <c r="D65" s="3"/>
      <c r="E65" s="3"/>
      <c r="F65" s="3"/>
      <c r="G65" s="3">
        <f t="shared" ref="G65:O65" si="18">G43</f>
        <v>0</v>
      </c>
      <c r="H65" s="3">
        <f t="shared" si="18"/>
        <v>475</v>
      </c>
      <c r="I65" s="3">
        <f t="shared" si="18"/>
        <v>343</v>
      </c>
      <c r="J65" s="3">
        <f t="shared" si="18"/>
        <v>475</v>
      </c>
      <c r="K65" s="3">
        <f t="shared" si="18"/>
        <v>489.25</v>
      </c>
      <c r="L65" s="3">
        <f t="shared" si="18"/>
        <v>503.9275</v>
      </c>
      <c r="M65" s="3">
        <f t="shared" si="18"/>
        <v>519.045325</v>
      </c>
      <c r="N65" s="3">
        <f t="shared" si="18"/>
        <v>534.61668475</v>
      </c>
      <c r="O65" s="3">
        <f t="shared" si="18"/>
        <v>545.309018445</v>
      </c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</row>
    <row r="66" spans="2:39">
      <c r="B66" t="s">
        <v>64</v>
      </c>
      <c r="C66" s="3">
        <v>3757</v>
      </c>
      <c r="D66" s="3">
        <v>5177</v>
      </c>
      <c r="E66" s="3">
        <v>5663</v>
      </c>
      <c r="F66" s="3">
        <f t="shared" ref="F66:O66" si="19">F48</f>
        <v>6271</v>
      </c>
      <c r="G66" s="3">
        <f t="shared" si="19"/>
        <v>5879</v>
      </c>
      <c r="H66" s="3">
        <f t="shared" si="19"/>
        <v>6860</v>
      </c>
      <c r="I66" s="3">
        <f t="shared" si="19"/>
        <v>5121</v>
      </c>
      <c r="J66" s="3">
        <f t="shared" si="19"/>
        <v>10444.4995692241</v>
      </c>
      <c r="K66" s="3">
        <f t="shared" si="19"/>
        <v>13437.2998999677</v>
      </c>
      <c r="L66" s="3">
        <f t="shared" si="19"/>
        <v>13840.4188969667</v>
      </c>
      <c r="M66" s="3">
        <f t="shared" si="19"/>
        <v>14255.631463876</v>
      </c>
      <c r="N66" s="3">
        <f t="shared" si="19"/>
        <v>14683.3004077922</v>
      </c>
      <c r="O66" s="3">
        <f t="shared" si="19"/>
        <v>14976.9664159478</v>
      </c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</row>
    <row r="67" spans="2:39">
      <c r="B67" t="s">
        <v>65</v>
      </c>
      <c r="C67" s="3">
        <v>187</v>
      </c>
      <c r="D67" s="3">
        <v>178</v>
      </c>
      <c r="E67" s="3">
        <v>306</v>
      </c>
      <c r="F67" s="3">
        <v>133</v>
      </c>
      <c r="G67" s="3">
        <v>173</v>
      </c>
      <c r="H67" s="3">
        <v>199</v>
      </c>
      <c r="I67" s="3">
        <v>354</v>
      </c>
      <c r="J67" s="3">
        <f>I67*4/3</f>
        <v>472</v>
      </c>
      <c r="K67" s="3">
        <f>J67*(1+K7)</f>
        <v>486.16</v>
      </c>
      <c r="L67" s="3">
        <f>K67*(1+L7)</f>
        <v>500.7448</v>
      </c>
      <c r="M67" s="3">
        <f>L67*(1+M7)</f>
        <v>515.767144</v>
      </c>
      <c r="N67" s="3">
        <f>M67*(1+N7)</f>
        <v>531.24015832</v>
      </c>
      <c r="O67" s="3">
        <f>N67*(1+O7)</f>
        <v>541.8649614864</v>
      </c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>
      <c r="B68" t="s">
        <v>66</v>
      </c>
      <c r="C68" s="3"/>
      <c r="D68" s="3"/>
      <c r="E68" s="3"/>
      <c r="F68" s="3">
        <v>720</v>
      </c>
      <c r="G68" s="3">
        <v>1182</v>
      </c>
      <c r="H68" s="3">
        <v>1163</v>
      </c>
      <c r="I68" s="3">
        <v>1507</v>
      </c>
      <c r="J68" s="3">
        <f>I68*4/3</f>
        <v>2009.33333333333</v>
      </c>
      <c r="K68" s="3">
        <f>J68*(1+K7)</f>
        <v>2069.61333333333</v>
      </c>
      <c r="L68" s="3">
        <f>K68*(1+L7)</f>
        <v>2131.70173333333</v>
      </c>
      <c r="M68" s="3">
        <f>L68*(1+M7)</f>
        <v>2195.65278533333</v>
      </c>
      <c r="N68" s="3">
        <f>M68*(1+N7)</f>
        <v>2261.52236889333</v>
      </c>
      <c r="O68" s="3">
        <f>N68*(1+O7)</f>
        <v>2306.7528162712</v>
      </c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</row>
    <row r="69" spans="2:39">
      <c r="B69" t="s">
        <v>67</v>
      </c>
      <c r="C69" s="3">
        <v>2716</v>
      </c>
      <c r="D69" s="3">
        <v>2638</v>
      </c>
      <c r="E69" s="3">
        <v>2583</v>
      </c>
      <c r="F69" s="3">
        <v>3000</v>
      </c>
      <c r="G69" s="3">
        <f>SUM(G34:G36)</f>
        <v>5388</v>
      </c>
      <c r="H69" s="3">
        <f>SUM(H34:H36)</f>
        <v>10913</v>
      </c>
      <c r="I69" s="3">
        <f>SUM(I34:I36)</f>
        <v>13804</v>
      </c>
      <c r="J69" s="3">
        <f>I69*4/3</f>
        <v>18405.3333333333</v>
      </c>
      <c r="K69" s="3">
        <f>SUM(K34:K36)</f>
        <v>16424.8952566019</v>
      </c>
      <c r="L69" s="3">
        <f>K69*4/3</f>
        <v>21899.8603421359</v>
      </c>
      <c r="M69" s="3">
        <f>SUM(M34:M36)</f>
        <v>17425.1713777289</v>
      </c>
      <c r="N69" s="3">
        <f>M69*4/3</f>
        <v>23233.5618369719</v>
      </c>
      <c r="O69" s="3">
        <f>SUM(O34:O36)</f>
        <v>18306.885049442</v>
      </c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</row>
    <row r="70" spans="2:39">
      <c r="B70" t="s">
        <v>46</v>
      </c>
      <c r="C70" s="3">
        <v>1069</v>
      </c>
      <c r="D70" s="3">
        <v>642</v>
      </c>
      <c r="E70" s="3"/>
      <c r="F70" s="3"/>
      <c r="G70" s="3"/>
      <c r="H70" s="3"/>
      <c r="I70" s="3">
        <v>3100</v>
      </c>
      <c r="J70" s="3">
        <f>I70</f>
        <v>3100</v>
      </c>
      <c r="K70" s="15">
        <v>0</v>
      </c>
      <c r="L70" s="15">
        <v>0</v>
      </c>
      <c r="M70" s="15">
        <v>0</v>
      </c>
      <c r="N70" s="15">
        <v>0</v>
      </c>
      <c r="O70" s="15">
        <v>0</v>
      </c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</row>
    <row r="71" spans="2:39">
      <c r="B71" t="s">
        <v>68</v>
      </c>
      <c r="C71" s="3"/>
      <c r="D71" s="3"/>
      <c r="E71" s="3"/>
      <c r="F71" s="3"/>
      <c r="G71" s="3">
        <v>0</v>
      </c>
      <c r="H71" s="3">
        <v>-101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</row>
    <row r="72" spans="3:39"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</row>
    <row r="73" spans="2:39">
      <c r="B73" t="s">
        <v>69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</row>
    <row r="74" spans="2:39">
      <c r="B74" t="s">
        <v>70</v>
      </c>
      <c r="C74" s="3">
        <v>-10445</v>
      </c>
      <c r="D74" s="3">
        <v>-10848</v>
      </c>
      <c r="E74" s="3">
        <v>8066</v>
      </c>
      <c r="F74" s="3">
        <v>-12868</v>
      </c>
      <c r="G74" s="3">
        <v>6334</v>
      </c>
      <c r="H74" s="3">
        <v>-11676</v>
      </c>
      <c r="I74" s="3">
        <v>-23730</v>
      </c>
      <c r="J74" s="3">
        <f t="shared" ref="J74:J79" si="20">I74*4/3</f>
        <v>-31640</v>
      </c>
      <c r="K74" s="3">
        <f>J74*(1+K7)</f>
        <v>-32589.2</v>
      </c>
      <c r="L74" s="3">
        <f>K74*(1+L7)</f>
        <v>-33566.876</v>
      </c>
      <c r="M74" s="3">
        <f>L74*(1+M7)</f>
        <v>-34573.88228</v>
      </c>
      <c r="N74" s="3">
        <f>M74*(1+N7)</f>
        <v>-35611.0987484</v>
      </c>
      <c r="O74" s="3">
        <f>N74*(1+O7)</f>
        <v>-36323.320723368</v>
      </c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</row>
    <row r="75" spans="2:39">
      <c r="B75" t="s">
        <v>71</v>
      </c>
      <c r="C75" s="3">
        <v>-4840</v>
      </c>
      <c r="D75" s="3">
        <v>162</v>
      </c>
      <c r="E75" s="3">
        <v>-2011</v>
      </c>
      <c r="F75" s="3">
        <v>1544</v>
      </c>
      <c r="G75" s="3">
        <v>-20973</v>
      </c>
      <c r="H75" s="3">
        <v>-44911</v>
      </c>
      <c r="I75" s="3">
        <v>1882</v>
      </c>
      <c r="J75" s="3">
        <f t="shared" si="20"/>
        <v>2509.33333333333</v>
      </c>
      <c r="K75" s="3">
        <f>J75*(1+K7)</f>
        <v>2584.61333333333</v>
      </c>
      <c r="L75" s="3">
        <f>K75*(1+L7)</f>
        <v>2662.15173333333</v>
      </c>
      <c r="M75" s="3">
        <f>L75*(1+M7)</f>
        <v>2742.01628533333</v>
      </c>
      <c r="N75" s="3">
        <f>M75*(1+N7)</f>
        <v>2824.27677389333</v>
      </c>
      <c r="O75" s="3">
        <f>N75*(1+O7)</f>
        <v>2880.7623093712</v>
      </c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</row>
    <row r="76" spans="2:39">
      <c r="B76" t="s">
        <v>72</v>
      </c>
      <c r="C76" s="3">
        <v>251</v>
      </c>
      <c r="D76" s="3">
        <v>405</v>
      </c>
      <c r="E76" s="3">
        <v>-557</v>
      </c>
      <c r="F76" s="3">
        <v>-818</v>
      </c>
      <c r="G76" s="3">
        <v>-1395</v>
      </c>
      <c r="H76" s="3">
        <v>-1271</v>
      </c>
      <c r="I76" s="3">
        <v>-4265</v>
      </c>
      <c r="J76" s="3">
        <f t="shared" si="20"/>
        <v>-5686.66666666667</v>
      </c>
      <c r="K76" s="3">
        <f>J76*(1+K7)</f>
        <v>-5857.26666666667</v>
      </c>
      <c r="L76" s="3">
        <f>K76*(1+L7)</f>
        <v>-6032.98466666667</v>
      </c>
      <c r="M76" s="3">
        <f>L76*(1+M7)</f>
        <v>-6213.97420666667</v>
      </c>
      <c r="N76" s="3">
        <f>M76*(1+N7)</f>
        <v>-6400.39343286667</v>
      </c>
      <c r="O76" s="3">
        <f>N76*(1+O7)</f>
        <v>-6528.401301524</v>
      </c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</row>
    <row r="77" spans="2:39">
      <c r="B77" t="s">
        <v>73</v>
      </c>
      <c r="C77" s="3"/>
      <c r="D77" s="3"/>
      <c r="E77" s="3"/>
      <c r="F77" s="3">
        <v>-929</v>
      </c>
      <c r="G77" s="3">
        <v>1216</v>
      </c>
      <c r="H77" s="3">
        <v>-328</v>
      </c>
      <c r="I77" s="3">
        <v>50</v>
      </c>
      <c r="J77" s="3">
        <f t="shared" si="20"/>
        <v>66.6666666666667</v>
      </c>
      <c r="K77" s="3">
        <f>J77*(1+K7)</f>
        <v>68.6666666666667</v>
      </c>
      <c r="L77" s="3">
        <f>K77*(1+L7)</f>
        <v>70.7266666666667</v>
      </c>
      <c r="M77" s="3">
        <f>L77*(1+M7)</f>
        <v>72.8484666666667</v>
      </c>
      <c r="N77" s="3">
        <f>M77*(1+N7)</f>
        <v>75.0339206666667</v>
      </c>
      <c r="O77" s="3">
        <f>N77*(1+O7)</f>
        <v>76.53459908</v>
      </c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</row>
    <row r="78" spans="2:39">
      <c r="B78" t="s">
        <v>74</v>
      </c>
      <c r="C78" s="3">
        <v>-3072</v>
      </c>
      <c r="D78" s="3">
        <v>3710</v>
      </c>
      <c r="E78" s="3">
        <v>3643</v>
      </c>
      <c r="F78" s="3">
        <v>5563</v>
      </c>
      <c r="G78" s="3">
        <v>8167</v>
      </c>
      <c r="H78" s="3">
        <v>17251</v>
      </c>
      <c r="I78" s="3">
        <v>3641</v>
      </c>
      <c r="J78" s="3">
        <f t="shared" si="20"/>
        <v>4854.66666666667</v>
      </c>
      <c r="K78" s="3">
        <f>J78*(1+K7)</f>
        <v>5000.30666666667</v>
      </c>
      <c r="L78" s="3">
        <f>K78*(1+L7)</f>
        <v>5150.31586666667</v>
      </c>
      <c r="M78" s="3">
        <f>L78*(1+M7)</f>
        <v>5304.82534266667</v>
      </c>
      <c r="N78" s="3">
        <f>M78*(1+N7)</f>
        <v>5463.97010294667</v>
      </c>
      <c r="O78" s="3">
        <f>N78*(1+O7)</f>
        <v>5573.2495050056</v>
      </c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</row>
    <row r="79" spans="2:39">
      <c r="B79" t="s">
        <v>75</v>
      </c>
      <c r="C79" s="3">
        <v>1838</v>
      </c>
      <c r="D79" s="3">
        <v>4291</v>
      </c>
      <c r="E79" s="3">
        <v>-2440</v>
      </c>
      <c r="F79" s="3">
        <v>-412</v>
      </c>
      <c r="G79" s="3">
        <v>-1806</v>
      </c>
      <c r="H79" s="3">
        <v>4501</v>
      </c>
      <c r="I79" s="3">
        <v>10078</v>
      </c>
      <c r="J79" s="3">
        <f t="shared" si="20"/>
        <v>13437.3333333333</v>
      </c>
      <c r="K79" s="15">
        <f>J79</f>
        <v>13437.3333333333</v>
      </c>
      <c r="L79" s="15">
        <f>J79</f>
        <v>13437.3333333333</v>
      </c>
      <c r="M79" s="15">
        <f>J79</f>
        <v>13437.3333333333</v>
      </c>
      <c r="N79" s="15">
        <f>J79</f>
        <v>13437.3333333333</v>
      </c>
      <c r="O79" s="15">
        <f>J79</f>
        <v>13437.3333333333</v>
      </c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</row>
    <row r="80" spans="3:39"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</row>
    <row r="81" spans="2:39">
      <c r="B81" t="s">
        <v>76</v>
      </c>
      <c r="C81" s="3">
        <v>87</v>
      </c>
      <c r="D81" s="3">
        <v>37</v>
      </c>
      <c r="E81" s="3">
        <v>204</v>
      </c>
      <c r="F81" s="3">
        <v>285</v>
      </c>
      <c r="G81" s="3">
        <v>-127</v>
      </c>
      <c r="H81" s="3">
        <v>-678</v>
      </c>
      <c r="I81" s="3">
        <v>-640</v>
      </c>
      <c r="J81" s="3">
        <f>I81*4/3</f>
        <v>-853.333333333333</v>
      </c>
      <c r="K81" s="15">
        <f>J81*(1+K7)</f>
        <v>-878.933333333333</v>
      </c>
      <c r="L81" s="15">
        <f>K81*(1+L7)</f>
        <v>-905.301333333333</v>
      </c>
      <c r="M81" s="15">
        <f>L81*(1+M7)</f>
        <v>-932.460373333333</v>
      </c>
      <c r="N81" s="15">
        <f>M81*(1+N7)</f>
        <v>-960.434184533333</v>
      </c>
      <c r="O81" s="15">
        <f>N81*(1+O7)</f>
        <v>-979.642868224</v>
      </c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</row>
    <row r="82" spans="2:39">
      <c r="B82" t="s">
        <v>77</v>
      </c>
      <c r="C82" s="3">
        <v>-4083</v>
      </c>
      <c r="D82" s="3">
        <v>-4540</v>
      </c>
      <c r="E82" s="3">
        <v>-5511</v>
      </c>
      <c r="F82" s="3">
        <v>-7170</v>
      </c>
      <c r="G82" s="3">
        <v>-6384</v>
      </c>
      <c r="H82" s="3">
        <v>-3813</v>
      </c>
      <c r="I82" s="3">
        <v>-9507</v>
      </c>
      <c r="J82" s="3">
        <f>I82*4/3</f>
        <v>-12676</v>
      </c>
      <c r="K82" s="15">
        <f>J82*(1+K7)</f>
        <v>-13056.28</v>
      </c>
      <c r="L82" s="15">
        <f>K82*(1+L7)</f>
        <v>-13447.9684</v>
      </c>
      <c r="M82" s="15">
        <f>L82*(1+M7)</f>
        <v>-13851.407452</v>
      </c>
      <c r="N82" s="15">
        <f>M82*(1+N7)</f>
        <v>-14266.94967556</v>
      </c>
      <c r="O82" s="15">
        <f>N82*(1+O7)</f>
        <v>-14552.2886690712</v>
      </c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2:39">
      <c r="B83" s="6" t="s">
        <v>78</v>
      </c>
      <c r="C83" s="3">
        <f t="shared" ref="C83:O83" si="21">SUM(C60:C82)</f>
        <v>-2855</v>
      </c>
      <c r="D83" s="3">
        <f t="shared" si="21"/>
        <v>15408</v>
      </c>
      <c r="E83" s="3">
        <f t="shared" si="21"/>
        <v>25171</v>
      </c>
      <c r="F83" s="3">
        <f t="shared" si="21"/>
        <v>11383</v>
      </c>
      <c r="G83" s="3">
        <f t="shared" si="21"/>
        <v>13533</v>
      </c>
      <c r="H83" s="3">
        <f t="shared" si="21"/>
        <v>-2753</v>
      </c>
      <c r="I83" s="3">
        <f t="shared" si="21"/>
        <v>18877</v>
      </c>
      <c r="J83" s="3">
        <f t="shared" si="21"/>
        <v>47248.068165662</v>
      </c>
      <c r="K83" s="3">
        <f t="shared" si="21"/>
        <v>45729.7921339003</v>
      </c>
      <c r="L83" s="3">
        <f t="shared" si="21"/>
        <v>51680.7841257533</v>
      </c>
      <c r="M83" s="3">
        <f t="shared" si="21"/>
        <v>47696.4028748556</v>
      </c>
      <c r="N83" s="3">
        <f t="shared" si="21"/>
        <v>54009.8102790123</v>
      </c>
      <c r="O83" s="3">
        <f t="shared" si="21"/>
        <v>49429.9117936558</v>
      </c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</row>
    <row r="84" spans="3:39"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</row>
    <row r="85" spans="2:39">
      <c r="B85" t="s">
        <v>79</v>
      </c>
      <c r="C85" s="3">
        <v>442</v>
      </c>
      <c r="D85" s="3">
        <v>1995</v>
      </c>
      <c r="E85" s="3">
        <v>3195</v>
      </c>
      <c r="F85" s="3">
        <v>2122</v>
      </c>
      <c r="G85" s="3">
        <v>3316</v>
      </c>
      <c r="H85" s="3">
        <v>70488</v>
      </c>
      <c r="I85" s="3">
        <v>78294</v>
      </c>
      <c r="J85" s="3">
        <f>I85</f>
        <v>78294</v>
      </c>
      <c r="K85" s="15">
        <f>J85</f>
        <v>78294</v>
      </c>
      <c r="L85" s="15">
        <f>J85</f>
        <v>78294</v>
      </c>
      <c r="M85" s="15">
        <f>J85</f>
        <v>78294</v>
      </c>
      <c r="N85" s="15">
        <f>J85</f>
        <v>78294</v>
      </c>
      <c r="O85" s="15">
        <f>J85</f>
        <v>78294</v>
      </c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</row>
    <row r="86" spans="2:39">
      <c r="B86" t="s">
        <v>80</v>
      </c>
      <c r="C86" s="3">
        <v>-8262</v>
      </c>
      <c r="D86" s="3">
        <v>-8320</v>
      </c>
      <c r="E86" s="3">
        <v>-8520</v>
      </c>
      <c r="F86" s="3">
        <v>-8668</v>
      </c>
      <c r="G86" s="3">
        <v>-8803</v>
      </c>
      <c r="H86" s="3">
        <v>-9938</v>
      </c>
      <c r="I86" s="3">
        <v>-8670</v>
      </c>
      <c r="J86" s="3">
        <f>-J49*J13</f>
        <v>-17632.8699442229</v>
      </c>
      <c r="K86" s="3">
        <f>-K49*J13</f>
        <v>-21936.7861273008</v>
      </c>
      <c r="L86" s="3">
        <f>-L49*J13</f>
        <v>-22594.8897111198</v>
      </c>
      <c r="M86" s="3">
        <f>-M49*J13</f>
        <v>-23272.7364024537</v>
      </c>
      <c r="N86" s="3">
        <f>-N49*J13</f>
        <v>-23970.9184945273</v>
      </c>
      <c r="O86" s="3">
        <f>-O49*J13</f>
        <v>-24450.3368644175</v>
      </c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</row>
    <row r="87" spans="2:39">
      <c r="B87" t="s">
        <v>81</v>
      </c>
      <c r="C87" s="3"/>
      <c r="D87" s="3"/>
      <c r="E87" s="3"/>
      <c r="F87" s="3"/>
      <c r="G87" s="3">
        <v>13000</v>
      </c>
      <c r="H87" s="3">
        <v>-13000</v>
      </c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</row>
    <row r="88" spans="2:39">
      <c r="B88" t="s">
        <v>82</v>
      </c>
      <c r="C88" s="3"/>
      <c r="D88" s="3"/>
      <c r="E88" s="3"/>
      <c r="F88" s="3"/>
      <c r="G88" s="3">
        <v>-118</v>
      </c>
      <c r="H88" s="3">
        <v>0</v>
      </c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</row>
    <row r="89" spans="2:39">
      <c r="B89" t="s">
        <v>83</v>
      </c>
      <c r="C89" s="3"/>
      <c r="D89" s="3"/>
      <c r="E89" s="3"/>
      <c r="F89" s="3"/>
      <c r="G89" s="3">
        <v>0</v>
      </c>
      <c r="H89" s="3">
        <v>-2508</v>
      </c>
      <c r="I89" s="3">
        <v>-2251</v>
      </c>
      <c r="J89" s="3">
        <f>I89*4/3</f>
        <v>-3001.33333333333</v>
      </c>
      <c r="K89" s="15">
        <f>J89*(1+K7)</f>
        <v>-3091.37333333333</v>
      </c>
      <c r="L89" s="15">
        <f>K89*(1+L7)</f>
        <v>-3184.11453333333</v>
      </c>
      <c r="M89" s="15">
        <f>L89*(1+M7)</f>
        <v>-3279.63796933333</v>
      </c>
      <c r="N89" s="15">
        <f>M89*(1+N7)</f>
        <v>-3378.02710841333</v>
      </c>
      <c r="O89" s="15">
        <f>N89*(1+O7)</f>
        <v>-3445.5876505816</v>
      </c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</row>
    <row r="90" spans="2:39">
      <c r="B90" s="6" t="s">
        <v>84</v>
      </c>
      <c r="C90" s="3">
        <f t="shared" ref="C90:O90" si="22">SUM(C85:C89)</f>
        <v>-7820</v>
      </c>
      <c r="D90" s="3">
        <f t="shared" si="22"/>
        <v>-6325</v>
      </c>
      <c r="E90" s="3">
        <f t="shared" si="22"/>
        <v>-5325</v>
      </c>
      <c r="F90" s="3">
        <f t="shared" si="22"/>
        <v>-6546</v>
      </c>
      <c r="G90" s="3">
        <f t="shared" si="22"/>
        <v>7395</v>
      </c>
      <c r="H90" s="3">
        <f t="shared" si="22"/>
        <v>45042</v>
      </c>
      <c r="I90" s="3">
        <f t="shared" si="22"/>
        <v>67373</v>
      </c>
      <c r="J90" s="3">
        <f t="shared" si="22"/>
        <v>57659.7967224438</v>
      </c>
      <c r="K90" s="3">
        <f t="shared" si="22"/>
        <v>53265.8405393659</v>
      </c>
      <c r="L90" s="3">
        <f t="shared" si="22"/>
        <v>52514.9957555469</v>
      </c>
      <c r="M90" s="3">
        <f t="shared" si="22"/>
        <v>51741.625628213</v>
      </c>
      <c r="N90" s="3">
        <f t="shared" si="22"/>
        <v>50945.0543970594</v>
      </c>
      <c r="O90" s="3">
        <f t="shared" si="22"/>
        <v>50398.0754850009</v>
      </c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</row>
    <row r="92" spans="2:39">
      <c r="B92" t="s">
        <v>85</v>
      </c>
      <c r="C92" s="3"/>
      <c r="D92" s="3">
        <v>0</v>
      </c>
      <c r="E92" s="3">
        <v>-250</v>
      </c>
      <c r="F92" s="3">
        <v>-150</v>
      </c>
      <c r="G92" s="3">
        <v>0</v>
      </c>
      <c r="H92" s="3">
        <v>-100</v>
      </c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</row>
    <row r="93" spans="2:39">
      <c r="B93" t="s">
        <v>86</v>
      </c>
      <c r="C93" s="3">
        <v>-1200</v>
      </c>
      <c r="D93" s="3">
        <v>-1195</v>
      </c>
      <c r="E93" s="3">
        <v>-5344</v>
      </c>
      <c r="F93" s="3">
        <v>-4975</v>
      </c>
      <c r="G93" s="3">
        <v>-20849</v>
      </c>
      <c r="H93" s="3">
        <v>-29288</v>
      </c>
      <c r="I93" s="3">
        <v>-49108</v>
      </c>
      <c r="J93" s="3">
        <f>I93*4/3</f>
        <v>-65477.3333333333</v>
      </c>
      <c r="K93" s="15">
        <f>J93*(1+K7)</f>
        <v>-67441.6533333333</v>
      </c>
      <c r="L93" s="15">
        <f>K93*(1+L7)</f>
        <v>-69464.9029333333</v>
      </c>
      <c r="M93" s="15">
        <f>L93*(1+M7)</f>
        <v>-71548.8500213333</v>
      </c>
      <c r="N93" s="15">
        <f>M93*(1+N7)</f>
        <v>-73695.3155219733</v>
      </c>
      <c r="O93" s="15">
        <f>N93*(1+O7)</f>
        <v>-75169.2218324128</v>
      </c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</row>
    <row r="94" spans="2:39">
      <c r="B94" t="s">
        <v>87</v>
      </c>
      <c r="C94" s="3"/>
      <c r="D94" s="3"/>
      <c r="E94" s="3">
        <v>-300</v>
      </c>
      <c r="F94" s="3">
        <v>-1149</v>
      </c>
      <c r="G94" s="3">
        <v>-1768</v>
      </c>
      <c r="H94" s="3">
        <v>-1227</v>
      </c>
      <c r="I94" s="3">
        <v>-337</v>
      </c>
      <c r="J94" s="3">
        <f>I94*4/3</f>
        <v>-449.333333333333</v>
      </c>
      <c r="K94" s="15">
        <f>J94*(1+K7)</f>
        <v>-462.813333333333</v>
      </c>
      <c r="L94" s="15">
        <f>K94*(1+L7)</f>
        <v>-476.697733333333</v>
      </c>
      <c r="M94" s="15">
        <f>L94*(1+M7)</f>
        <v>-490.998665333333</v>
      </c>
      <c r="N94" s="15">
        <f>M94*(1+N7)</f>
        <v>-505.728625293333</v>
      </c>
      <c r="O94" s="15">
        <f>N94*(1+O7)</f>
        <v>-515.8431977992</v>
      </c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</row>
    <row r="95" spans="2:39">
      <c r="B95" t="s">
        <v>88</v>
      </c>
      <c r="C95" s="3">
        <v>-2701</v>
      </c>
      <c r="D95" s="3">
        <v>-1751</v>
      </c>
      <c r="E95" s="3">
        <v>-2074</v>
      </c>
      <c r="F95" s="3">
        <v>-5360</v>
      </c>
      <c r="G95" s="3">
        <v>-3018</v>
      </c>
      <c r="H95" s="3">
        <v>-4574</v>
      </c>
      <c r="I95" s="3">
        <v>-4989</v>
      </c>
      <c r="J95" s="3">
        <f>I95*4/3</f>
        <v>-6652</v>
      </c>
      <c r="K95" s="15">
        <f>J95*(1+K7)</f>
        <v>-6851.56</v>
      </c>
      <c r="L95" s="15">
        <f>K95*(1+L7)</f>
        <v>-7057.1068</v>
      </c>
      <c r="M95" s="15">
        <f>L95*(1+M7)</f>
        <v>-7268.820004</v>
      </c>
      <c r="N95" s="15">
        <f>M95*(1+N7)</f>
        <v>-7486.88460412</v>
      </c>
      <c r="O95" s="15">
        <f>N95*(1+O7)</f>
        <v>-7636.6222962024</v>
      </c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2:39">
      <c r="B96" s="6" t="s">
        <v>89</v>
      </c>
      <c r="C96" s="3">
        <f t="shared" ref="C96:O96" si="23">SUM(C92:C95)</f>
        <v>-3901</v>
      </c>
      <c r="D96" s="3">
        <f t="shared" si="23"/>
        <v>-2946</v>
      </c>
      <c r="E96" s="3">
        <f t="shared" si="23"/>
        <v>-7968</v>
      </c>
      <c r="F96" s="3">
        <f t="shared" si="23"/>
        <v>-11634</v>
      </c>
      <c r="G96" s="3">
        <f t="shared" si="23"/>
        <v>-25635</v>
      </c>
      <c r="H96" s="3">
        <f t="shared" si="23"/>
        <v>-35189</v>
      </c>
      <c r="I96" s="3">
        <f t="shared" si="23"/>
        <v>-54434</v>
      </c>
      <c r="J96" s="3">
        <f t="shared" si="23"/>
        <v>-72578.6666666667</v>
      </c>
      <c r="K96" s="3">
        <f t="shared" si="23"/>
        <v>-74756.0266666667</v>
      </c>
      <c r="L96" s="3">
        <f t="shared" si="23"/>
        <v>-76998.7074666667</v>
      </c>
      <c r="M96" s="3">
        <f t="shared" si="23"/>
        <v>-79308.6686906667</v>
      </c>
      <c r="N96" s="3">
        <f t="shared" si="23"/>
        <v>-81687.9287513867</v>
      </c>
      <c r="O96" s="3">
        <f t="shared" si="23"/>
        <v>-83321.6873264144</v>
      </c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</row>
    <row r="97" spans="3:39"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</row>
    <row r="98" spans="2:39">
      <c r="B98" s="6" t="s">
        <v>90</v>
      </c>
      <c r="C98" s="3">
        <f t="shared" ref="C98:O98" si="24">C83+C90+C96</f>
        <v>-14576</v>
      </c>
      <c r="D98" s="3">
        <f t="shared" si="24"/>
        <v>6137</v>
      </c>
      <c r="E98" s="3">
        <f t="shared" si="24"/>
        <v>11878</v>
      </c>
      <c r="F98" s="3">
        <f t="shared" si="24"/>
        <v>-6797</v>
      </c>
      <c r="G98" s="3">
        <f t="shared" si="24"/>
        <v>-4707</v>
      </c>
      <c r="H98" s="3">
        <f t="shared" si="24"/>
        <v>7100</v>
      </c>
      <c r="I98" s="3">
        <f t="shared" si="24"/>
        <v>31816</v>
      </c>
      <c r="J98" s="3">
        <f t="shared" si="24"/>
        <v>32329.1982214391</v>
      </c>
      <c r="K98" s="3">
        <f t="shared" si="24"/>
        <v>24239.6060065995</v>
      </c>
      <c r="L98" s="3">
        <f t="shared" si="24"/>
        <v>27197.0724146334</v>
      </c>
      <c r="M98" s="3">
        <f t="shared" si="24"/>
        <v>20129.3598124019</v>
      </c>
      <c r="N98" s="3">
        <f t="shared" si="24"/>
        <v>23266.935924685</v>
      </c>
      <c r="O98" s="3">
        <f t="shared" si="24"/>
        <v>16506.2999522422</v>
      </c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</row>
    <row r="99" spans="2:39">
      <c r="B99" t="s">
        <v>91</v>
      </c>
      <c r="C99" s="3">
        <v>25200</v>
      </c>
      <c r="D99" s="3">
        <v>10624</v>
      </c>
      <c r="E99" s="3">
        <v>16761</v>
      </c>
      <c r="F99" s="3">
        <v>28639</v>
      </c>
      <c r="G99" s="3">
        <v>21842</v>
      </c>
      <c r="H99" s="3">
        <f t="shared" ref="H99:O99" si="25">G100</f>
        <v>17135</v>
      </c>
      <c r="I99" s="3">
        <f t="shared" si="25"/>
        <v>24235</v>
      </c>
      <c r="J99" s="3">
        <f t="shared" si="25"/>
        <v>56051</v>
      </c>
      <c r="K99" s="3">
        <f t="shared" si="25"/>
        <v>88380.1982214391</v>
      </c>
      <c r="L99" s="3">
        <f t="shared" si="25"/>
        <v>112619.804228039</v>
      </c>
      <c r="M99" s="3">
        <f t="shared" si="25"/>
        <v>139816.876642672</v>
      </c>
      <c r="N99" s="3">
        <f t="shared" si="25"/>
        <v>159946.236455074</v>
      </c>
      <c r="O99" s="3">
        <f t="shared" si="25"/>
        <v>183213.172379759</v>
      </c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</row>
    <row r="100" spans="2:39">
      <c r="B100" t="s">
        <v>92</v>
      </c>
      <c r="C100" s="3">
        <v>10624</v>
      </c>
      <c r="D100" s="3">
        <v>16761</v>
      </c>
      <c r="E100" s="3">
        <v>28639</v>
      </c>
      <c r="F100" s="3">
        <v>21842</v>
      </c>
      <c r="G100" s="3">
        <v>17135</v>
      </c>
      <c r="H100" s="3">
        <v>24235</v>
      </c>
      <c r="I100" s="3">
        <f>I99+I98</f>
        <v>56051</v>
      </c>
      <c r="J100" s="3">
        <f>J98+J99</f>
        <v>88380.1982214391</v>
      </c>
      <c r="K100" s="3">
        <f>K98+K99</f>
        <v>112619.804228039</v>
      </c>
      <c r="L100" s="3">
        <f>L99+L98</f>
        <v>139816.876642672</v>
      </c>
      <c r="M100" s="3">
        <f>M98+M99</f>
        <v>159946.236455074</v>
      </c>
      <c r="N100" s="3">
        <f>N98+N99</f>
        <v>183213.172379759</v>
      </c>
      <c r="O100" s="3">
        <f>O99+O98</f>
        <v>199719.472332001</v>
      </c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</row>
    <row r="101" spans="3:39"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</row>
    <row r="102" spans="3:39"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</row>
    <row r="103" spans="2:39">
      <c r="B103" s="1" t="s">
        <v>93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</row>
    <row r="104" spans="2:39">
      <c r="B104" s="6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</row>
    <row r="105" spans="2:39">
      <c r="B105" t="s">
        <v>94</v>
      </c>
      <c r="C105" s="3">
        <v>10624</v>
      </c>
      <c r="D105" s="3">
        <v>16761</v>
      </c>
      <c r="E105" s="3">
        <v>28639</v>
      </c>
      <c r="F105" s="3">
        <v>21842</v>
      </c>
      <c r="G105" s="3">
        <v>17135</v>
      </c>
      <c r="H105" s="3">
        <v>24235</v>
      </c>
      <c r="I105" s="3">
        <f t="shared" ref="I105:O105" si="26">I100</f>
        <v>56051</v>
      </c>
      <c r="J105" s="3">
        <f t="shared" si="26"/>
        <v>88380.1982214391</v>
      </c>
      <c r="K105" s="3">
        <f t="shared" si="26"/>
        <v>112619.804228039</v>
      </c>
      <c r="L105" s="3">
        <f t="shared" si="26"/>
        <v>139816.876642672</v>
      </c>
      <c r="M105" s="3">
        <f t="shared" si="26"/>
        <v>159946.236455074</v>
      </c>
      <c r="N105" s="3">
        <f t="shared" si="26"/>
        <v>183213.172379759</v>
      </c>
      <c r="O105" s="3">
        <f t="shared" si="26"/>
        <v>199719.472332001</v>
      </c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</row>
    <row r="106" spans="2:39">
      <c r="B106" t="s">
        <v>95</v>
      </c>
      <c r="C106" s="3">
        <v>50494</v>
      </c>
      <c r="D106" s="3">
        <v>61032</v>
      </c>
      <c r="E106" s="3">
        <v>54884</v>
      </c>
      <c r="F106" s="3">
        <v>69096</v>
      </c>
      <c r="G106" s="3">
        <v>63977</v>
      </c>
      <c r="H106" s="3">
        <v>81109</v>
      </c>
      <c r="I106" s="3">
        <v>111058</v>
      </c>
      <c r="J106" s="3">
        <f>I106*4/3</f>
        <v>148077.333333333</v>
      </c>
      <c r="K106" s="3">
        <f>J106*(1+K7)</f>
        <v>152519.653333333</v>
      </c>
      <c r="L106" s="3">
        <f>K106*(1+L7)</f>
        <v>157095.242933333</v>
      </c>
      <c r="M106" s="3">
        <f>L106*(1+M7)</f>
        <v>161808.100221333</v>
      </c>
      <c r="N106" s="3">
        <f>M106*(1+N7)</f>
        <v>166662.343227973</v>
      </c>
      <c r="O106" s="3">
        <f>N106*(1+O7)</f>
        <v>169995.590092533</v>
      </c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</row>
    <row r="107" spans="2:39">
      <c r="B107" t="s">
        <v>71</v>
      </c>
      <c r="C107" s="3">
        <v>17431</v>
      </c>
      <c r="D107" s="3">
        <v>17269</v>
      </c>
      <c r="E107" s="3">
        <v>19490</v>
      </c>
      <c r="F107" s="3">
        <v>17377</v>
      </c>
      <c r="G107" s="3">
        <v>39221</v>
      </c>
      <c r="H107" s="3">
        <v>84132</v>
      </c>
      <c r="I107" s="3">
        <v>84331</v>
      </c>
      <c r="J107" s="3">
        <f>I107*4/3</f>
        <v>112441.333333333</v>
      </c>
      <c r="K107" s="15">
        <f>J107*(1+K7)</f>
        <v>115814.573333333</v>
      </c>
      <c r="L107" s="15">
        <f>K107*(1+L7)</f>
        <v>119289.010533333</v>
      </c>
      <c r="M107" s="15">
        <f>L107*(1+M7)</f>
        <v>122867.680849333</v>
      </c>
      <c r="N107" s="15">
        <f>M107*(1+N7)</f>
        <v>126553.711274813</v>
      </c>
      <c r="O107" s="15">
        <f>N107*(1+O7)</f>
        <v>129084.78550031</v>
      </c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</row>
    <row r="108" spans="2:39">
      <c r="B108" t="s">
        <v>73</v>
      </c>
      <c r="C108" s="3"/>
      <c r="D108" s="3"/>
      <c r="E108" s="3"/>
      <c r="F108" s="3">
        <v>1498</v>
      </c>
      <c r="G108" s="3">
        <v>3147</v>
      </c>
      <c r="H108" s="3">
        <v>6095</v>
      </c>
      <c r="I108" s="3">
        <v>6122</v>
      </c>
      <c r="J108" s="3">
        <f>I108*4/3</f>
        <v>8162.66666666667</v>
      </c>
      <c r="K108" s="15">
        <f>J108*(1+K7)</f>
        <v>8407.54666666667</v>
      </c>
      <c r="L108" s="15">
        <f>K108*(1+L7)</f>
        <v>8659.77306666667</v>
      </c>
      <c r="M108" s="15">
        <f>L108*(1+M7)</f>
        <v>8919.56625866667</v>
      </c>
      <c r="N108" s="15">
        <f>M108*(1+N7)</f>
        <v>9187.15324642667</v>
      </c>
      <c r="O108" s="15">
        <f>N108*(1+O7)</f>
        <v>9370.8963113552</v>
      </c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</row>
    <row r="109" spans="2:39">
      <c r="B109" t="s">
        <v>72</v>
      </c>
      <c r="C109" s="3">
        <v>1449</v>
      </c>
      <c r="D109" s="3">
        <v>1044</v>
      </c>
      <c r="E109" s="3">
        <v>1650</v>
      </c>
      <c r="F109" s="3">
        <v>3879</v>
      </c>
      <c r="G109" s="3">
        <v>5403</v>
      </c>
      <c r="H109" s="3">
        <v>6707</v>
      </c>
      <c r="I109" s="3">
        <v>11187</v>
      </c>
      <c r="J109" s="3">
        <f>I109*4/3</f>
        <v>14916</v>
      </c>
      <c r="K109" s="15">
        <f>J109*(1+K7)</f>
        <v>15363.48</v>
      </c>
      <c r="L109" s="15">
        <f>K109*(1+L7)</f>
        <v>15824.3844</v>
      </c>
      <c r="M109" s="15">
        <f>L109*(1+M7)</f>
        <v>16299.115932</v>
      </c>
      <c r="N109" s="15">
        <f>M109*(1+N7)</f>
        <v>16788.08940996</v>
      </c>
      <c r="O109" s="15">
        <f>N109*(1+O7)</f>
        <v>17123.8511981592</v>
      </c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</row>
    <row r="110" spans="2:39">
      <c r="B110" t="s">
        <v>96</v>
      </c>
      <c r="C110" s="3">
        <v>424</v>
      </c>
      <c r="D110" s="3">
        <v>534</v>
      </c>
      <c r="E110" s="3">
        <v>123</v>
      </c>
      <c r="F110" s="3">
        <v>1021</v>
      </c>
      <c r="G110" s="3">
        <v>96</v>
      </c>
      <c r="H110" s="3">
        <v>358</v>
      </c>
      <c r="I110" s="3">
        <v>137</v>
      </c>
      <c r="J110" s="3">
        <f>I110*4/3</f>
        <v>182.666666666667</v>
      </c>
      <c r="K110" s="15">
        <f>J110*(1+K7)</f>
        <v>188.146666666667</v>
      </c>
      <c r="L110" s="15">
        <f>K110*(1+L7)</f>
        <v>193.791066666667</v>
      </c>
      <c r="M110" s="15">
        <f>L110*(1+M7)</f>
        <v>199.604798666667</v>
      </c>
      <c r="N110" s="15">
        <f>M110*(1+N7)</f>
        <v>205.592942626667</v>
      </c>
      <c r="O110" s="15">
        <f>N110*(1+O7)</f>
        <v>209.7048014792</v>
      </c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</row>
    <row r="111" spans="2:39">
      <c r="B111" t="s">
        <v>97</v>
      </c>
      <c r="C111" s="3">
        <f t="shared" ref="C111:O111" si="27">SUM(C105:C110)</f>
        <v>80422</v>
      </c>
      <c r="D111" s="3">
        <f t="shared" si="27"/>
        <v>96640</v>
      </c>
      <c r="E111" s="3">
        <f t="shared" si="27"/>
        <v>104786</v>
      </c>
      <c r="F111" s="3">
        <f t="shared" si="27"/>
        <v>114713</v>
      </c>
      <c r="G111" s="3">
        <f t="shared" si="27"/>
        <v>128979</v>
      </c>
      <c r="H111" s="3">
        <f t="shared" si="27"/>
        <v>202636</v>
      </c>
      <c r="I111" s="3">
        <f t="shared" si="27"/>
        <v>268886</v>
      </c>
      <c r="J111" s="3">
        <f t="shared" si="27"/>
        <v>372160.198221438</v>
      </c>
      <c r="K111" s="3">
        <f t="shared" si="27"/>
        <v>404913.204228038</v>
      </c>
      <c r="L111" s="3">
        <f t="shared" si="27"/>
        <v>440879.078642671</v>
      </c>
      <c r="M111" s="3">
        <f t="shared" si="27"/>
        <v>470040.304515073</v>
      </c>
      <c r="N111" s="3">
        <f t="shared" si="27"/>
        <v>502610.062481558</v>
      </c>
      <c r="O111" s="3">
        <f t="shared" si="27"/>
        <v>525504.300235838</v>
      </c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</row>
    <row r="112" spans="3:39"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</row>
    <row r="113" spans="2:39">
      <c r="B113" t="s">
        <v>87</v>
      </c>
      <c r="C113" s="3"/>
      <c r="D113" s="3"/>
      <c r="E113" s="3">
        <v>300</v>
      </c>
      <c r="F113" s="3">
        <v>1449</v>
      </c>
      <c r="G113" s="3">
        <v>3216</v>
      </c>
      <c r="H113" s="3">
        <v>3924</v>
      </c>
      <c r="I113" s="3">
        <v>3415</v>
      </c>
      <c r="J113" s="3">
        <f>I113*4/3</f>
        <v>4553.33333333333</v>
      </c>
      <c r="K113" s="15">
        <f>J113*(1+K7)</f>
        <v>4689.93333333333</v>
      </c>
      <c r="L113" s="15">
        <f>K113*(1+L7)</f>
        <v>4830.63133333333</v>
      </c>
      <c r="M113" s="15">
        <f>L113*(1+M7)</f>
        <v>4975.55027333333</v>
      </c>
      <c r="N113" s="15">
        <f>M113*(1+N7)</f>
        <v>5124.81678153333</v>
      </c>
      <c r="O113" s="15">
        <f>N113*(1+O7)</f>
        <v>5227.313117164</v>
      </c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</row>
    <row r="114" spans="2:39">
      <c r="B114" t="s">
        <v>98</v>
      </c>
      <c r="C114" s="3">
        <v>5245</v>
      </c>
      <c r="D114" s="3">
        <v>5472</v>
      </c>
      <c r="E114" s="3">
        <v>6203</v>
      </c>
      <c r="F114" s="3">
        <v>9795</v>
      </c>
      <c r="G114" s="3">
        <v>10965</v>
      </c>
      <c r="H114" s="3">
        <v>11655</v>
      </c>
      <c r="I114" s="3">
        <v>12241</v>
      </c>
      <c r="J114" s="3">
        <f t="shared" ref="J114:J119" si="28">I114*4/3</f>
        <v>16321.3333333333</v>
      </c>
      <c r="K114" s="15">
        <f>J114*(1+K7)</f>
        <v>16810.9733333333</v>
      </c>
      <c r="L114" s="15">
        <f>K114*(1+L7)</f>
        <v>17315.3025333333</v>
      </c>
      <c r="M114" s="15">
        <f>L114*(1+M7)</f>
        <v>17834.7616093333</v>
      </c>
      <c r="N114" s="15">
        <f>M114*(1+N7)</f>
        <v>18369.8044576133</v>
      </c>
      <c r="O114" s="15">
        <f>N114*(1+O7)</f>
        <v>18737.2005467656</v>
      </c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</row>
    <row r="115" spans="2:39">
      <c r="B115" t="s">
        <v>99</v>
      </c>
      <c r="C115" s="3">
        <v>377</v>
      </c>
      <c r="D115" s="3">
        <v>612</v>
      </c>
      <c r="E115" s="3">
        <v>766</v>
      </c>
      <c r="F115" s="3">
        <v>788</v>
      </c>
      <c r="G115" s="3">
        <v>1013</v>
      </c>
      <c r="H115" s="3">
        <v>3092</v>
      </c>
      <c r="I115" s="3">
        <v>6577</v>
      </c>
      <c r="J115" s="3">
        <f t="shared" si="28"/>
        <v>8769.33333333333</v>
      </c>
      <c r="K115" s="15">
        <f>J115*(1+K7)</f>
        <v>9032.41333333333</v>
      </c>
      <c r="L115" s="15">
        <f>K115*(1+L7)</f>
        <v>9303.38573333333</v>
      </c>
      <c r="M115" s="15">
        <f>L115*(1+M7)</f>
        <v>9582.48730533333</v>
      </c>
      <c r="N115" s="15">
        <f>M115*(1+N7)</f>
        <v>9869.96192449333</v>
      </c>
      <c r="O115" s="15">
        <f>N115*(1+O7)</f>
        <v>10067.3611629832</v>
      </c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</row>
    <row r="116" spans="2:39">
      <c r="B116" t="s">
        <v>100</v>
      </c>
      <c r="C116" s="3"/>
      <c r="D116" s="3"/>
      <c r="E116" s="3"/>
      <c r="F116" s="3">
        <v>0</v>
      </c>
      <c r="G116" s="3">
        <v>0</v>
      </c>
      <c r="H116" s="3">
        <v>17595</v>
      </c>
      <c r="I116" s="3">
        <v>16164</v>
      </c>
      <c r="J116" s="3">
        <f t="shared" si="28"/>
        <v>21552</v>
      </c>
      <c r="K116" s="15">
        <f>J116*(1+K7)</f>
        <v>22198.56</v>
      </c>
      <c r="L116" s="15">
        <f>K116*(1+L7)</f>
        <v>22864.5168</v>
      </c>
      <c r="M116" s="15">
        <f>L116*(1+M7)</f>
        <v>23550.452304</v>
      </c>
      <c r="N116" s="15">
        <f>M116*(1+N7)</f>
        <v>24256.96587312</v>
      </c>
      <c r="O116" s="15">
        <f>N116*(1+O7)</f>
        <v>24742.1051905824</v>
      </c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</row>
    <row r="117" spans="2:39">
      <c r="B117" t="s">
        <v>101</v>
      </c>
      <c r="C117" s="3"/>
      <c r="D117" s="3">
        <v>0</v>
      </c>
      <c r="E117" s="3">
        <v>530</v>
      </c>
      <c r="F117" s="3">
        <v>435</v>
      </c>
      <c r="G117" s="3">
        <v>452</v>
      </c>
      <c r="H117" s="3">
        <v>670</v>
      </c>
      <c r="I117" s="3">
        <v>670</v>
      </c>
      <c r="J117" s="3">
        <f t="shared" si="28"/>
        <v>893.333333333333</v>
      </c>
      <c r="K117" s="15">
        <f>J117*(1+K7)</f>
        <v>920.133333333333</v>
      </c>
      <c r="L117" s="15">
        <f>K117*(1+L7)</f>
        <v>947.737333333333</v>
      </c>
      <c r="M117" s="15">
        <f>L117*(1+M7)</f>
        <v>976.169453333334</v>
      </c>
      <c r="N117" s="15">
        <f>M117*(1+N7)</f>
        <v>1005.45453693333</v>
      </c>
      <c r="O117" s="15">
        <f>N117*(1+O7)</f>
        <v>1025.563627672</v>
      </c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</row>
    <row r="118" spans="2:39">
      <c r="B118" t="s">
        <v>102</v>
      </c>
      <c r="C118" s="3">
        <v>4246</v>
      </c>
      <c r="D118" s="3">
        <v>2898</v>
      </c>
      <c r="E118" s="3">
        <v>5586</v>
      </c>
      <c r="F118" s="3">
        <v>6702</v>
      </c>
      <c r="G118" s="3">
        <v>16699</v>
      </c>
      <c r="H118" s="3">
        <v>36191</v>
      </c>
      <c r="I118" s="3">
        <v>57191</v>
      </c>
      <c r="J118" s="3">
        <f t="shared" si="28"/>
        <v>76254.6666666667</v>
      </c>
      <c r="K118" s="15">
        <f>J118*(1+K7)</f>
        <v>78542.3066666667</v>
      </c>
      <c r="L118" s="15">
        <f>K118*(1+L7)</f>
        <v>80898.5758666667</v>
      </c>
      <c r="M118" s="15">
        <f>L118*(1+M7)</f>
        <v>83325.5331426667</v>
      </c>
      <c r="N118" s="15">
        <f>M118*(1+N7)</f>
        <v>85825.2991369467</v>
      </c>
      <c r="O118" s="15">
        <f>N118*(1+O7)</f>
        <v>87541.8051196856</v>
      </c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</row>
    <row r="119" spans="2:39">
      <c r="B119" t="s">
        <v>103</v>
      </c>
      <c r="C119" s="3">
        <v>12037</v>
      </c>
      <c r="D119" s="3">
        <v>12037</v>
      </c>
      <c r="E119" s="3">
        <v>15383</v>
      </c>
      <c r="F119" s="3">
        <v>18236</v>
      </c>
      <c r="G119" s="3">
        <v>33702</v>
      </c>
      <c r="H119" s="3">
        <v>55290</v>
      </c>
      <c r="I119" s="3">
        <v>100257</v>
      </c>
      <c r="J119" s="3">
        <f t="shared" si="28"/>
        <v>133676</v>
      </c>
      <c r="K119" s="15">
        <f>J119*(1+K7)</f>
        <v>137686.28</v>
      </c>
      <c r="L119" s="15">
        <f>K119*(1+L7)</f>
        <v>141816.8684</v>
      </c>
      <c r="M119" s="15">
        <f>L119*(1+M7)</f>
        <v>146071.374452</v>
      </c>
      <c r="N119" s="15">
        <f>M119*(1+N7)</f>
        <v>150453.51568556</v>
      </c>
      <c r="O119" s="15">
        <f>N119*(1+O7)</f>
        <v>153462.585999271</v>
      </c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</row>
    <row r="120" spans="2:39">
      <c r="B120" t="s">
        <v>104</v>
      </c>
      <c r="C120" s="3">
        <f t="shared" ref="C120:O120" si="29">SUM(C113:C119)</f>
        <v>21905</v>
      </c>
      <c r="D120" s="3">
        <f t="shared" si="29"/>
        <v>21019</v>
      </c>
      <c r="E120" s="3">
        <f t="shared" si="29"/>
        <v>28768</v>
      </c>
      <c r="F120" s="3">
        <f t="shared" si="29"/>
        <v>37405</v>
      </c>
      <c r="G120" s="3">
        <f t="shared" si="29"/>
        <v>66047</v>
      </c>
      <c r="H120" s="3">
        <f t="shared" si="29"/>
        <v>128417</v>
      </c>
      <c r="I120" s="3">
        <f t="shared" si="29"/>
        <v>196515</v>
      </c>
      <c r="J120" s="3">
        <f t="shared" si="29"/>
        <v>262020</v>
      </c>
      <c r="K120" s="3">
        <f t="shared" si="29"/>
        <v>269880.6</v>
      </c>
      <c r="L120" s="3">
        <f t="shared" si="29"/>
        <v>277977.018</v>
      </c>
      <c r="M120" s="3">
        <f t="shared" si="29"/>
        <v>286316.32854</v>
      </c>
      <c r="N120" s="3">
        <f t="shared" si="29"/>
        <v>294905.8183962</v>
      </c>
      <c r="O120" s="3">
        <f t="shared" si="29"/>
        <v>300803.934764124</v>
      </c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</row>
    <row r="121" spans="2:39">
      <c r="B121" s="6" t="s">
        <v>105</v>
      </c>
      <c r="C121" s="3">
        <f t="shared" ref="C121:O121" si="30">C111+C120</f>
        <v>102327</v>
      </c>
      <c r="D121" s="3">
        <f t="shared" si="30"/>
        <v>117659</v>
      </c>
      <c r="E121" s="3">
        <f t="shared" si="30"/>
        <v>133554</v>
      </c>
      <c r="F121" s="3">
        <f t="shared" si="30"/>
        <v>152118</v>
      </c>
      <c r="G121" s="3">
        <f t="shared" si="30"/>
        <v>195026</v>
      </c>
      <c r="H121" s="3">
        <f t="shared" si="30"/>
        <v>331053</v>
      </c>
      <c r="I121" s="3">
        <f t="shared" si="30"/>
        <v>465401</v>
      </c>
      <c r="J121" s="3">
        <f t="shared" si="30"/>
        <v>634180.198221438</v>
      </c>
      <c r="K121" s="3">
        <f t="shared" si="30"/>
        <v>674793.804228038</v>
      </c>
      <c r="L121" s="3">
        <f t="shared" si="30"/>
        <v>718856.096642671</v>
      </c>
      <c r="M121" s="3">
        <f t="shared" si="30"/>
        <v>756356.633055073</v>
      </c>
      <c r="N121" s="3">
        <f t="shared" si="30"/>
        <v>797515.880877758</v>
      </c>
      <c r="O121" s="3">
        <f t="shared" si="30"/>
        <v>826308.234999962</v>
      </c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</row>
    <row r="122" spans="3:39"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</row>
    <row r="123" spans="2:39">
      <c r="B123" t="s">
        <v>106</v>
      </c>
      <c r="C123" s="3"/>
      <c r="D123" s="3"/>
      <c r="E123" s="3"/>
      <c r="F123" s="3">
        <v>0</v>
      </c>
      <c r="G123" s="3">
        <v>13000</v>
      </c>
      <c r="H123" s="3">
        <v>0</v>
      </c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</row>
    <row r="124" spans="2:39">
      <c r="B124" t="s">
        <v>107</v>
      </c>
      <c r="C124" s="3">
        <v>25582</v>
      </c>
      <c r="D124" s="3">
        <v>26671</v>
      </c>
      <c r="E124" s="3">
        <v>32584</v>
      </c>
      <c r="F124" s="3">
        <v>33915</v>
      </c>
      <c r="G124" s="3">
        <v>45058</v>
      </c>
      <c r="H124" s="3">
        <v>72007</v>
      </c>
      <c r="I124" s="3">
        <v>74141</v>
      </c>
      <c r="J124" s="3">
        <f>I124*4/3</f>
        <v>98854.6666666667</v>
      </c>
      <c r="K124" s="15">
        <f>J124*(1+K7)</f>
        <v>101820.306666667</v>
      </c>
      <c r="L124" s="15">
        <f>K124*(1+L7)</f>
        <v>104874.915866667</v>
      </c>
      <c r="M124" s="15">
        <f>L124*(1+M7)</f>
        <v>108021.163342667</v>
      </c>
      <c r="N124" s="15">
        <f>M124*(1+N7)</f>
        <v>111261.798242947</v>
      </c>
      <c r="O124" s="15">
        <f>N124*(1+O7)</f>
        <v>113487.034207806</v>
      </c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</row>
    <row r="125" spans="2:39">
      <c r="B125" t="s">
        <v>108</v>
      </c>
      <c r="C125" s="3"/>
      <c r="D125" s="3"/>
      <c r="E125" s="3"/>
      <c r="F125" s="3">
        <v>3166</v>
      </c>
      <c r="G125" s="3">
        <v>800</v>
      </c>
      <c r="H125" s="3">
        <v>3251</v>
      </c>
      <c r="I125" s="3">
        <v>20235</v>
      </c>
      <c r="J125" s="3">
        <f>I125*4/3</f>
        <v>26980</v>
      </c>
      <c r="K125" s="15">
        <f>J125*(1+K8)</f>
        <v>26980</v>
      </c>
      <c r="L125" s="15">
        <f>K125*(1+L8)</f>
        <v>26980</v>
      </c>
      <c r="M125" s="15">
        <f>L125*(1+M8)</f>
        <v>26980</v>
      </c>
      <c r="N125" s="15">
        <f>M125*(1+N8)</f>
        <v>26980</v>
      </c>
      <c r="O125" s="15">
        <f>N125*(1+O8)</f>
        <v>26980</v>
      </c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</row>
    <row r="126" spans="2:39">
      <c r="B126" t="s">
        <v>109</v>
      </c>
      <c r="C126" s="3"/>
      <c r="D126" s="3"/>
      <c r="E126" s="3"/>
      <c r="F126" s="3">
        <v>1932</v>
      </c>
      <c r="G126" s="3">
        <v>1129</v>
      </c>
      <c r="H126" s="3">
        <v>1038</v>
      </c>
      <c r="I126" s="3">
        <v>1155</v>
      </c>
      <c r="J126" s="3">
        <f>I126*4/3</f>
        <v>1540</v>
      </c>
      <c r="K126" s="15">
        <f>J126*(1+K9)</f>
        <v>1540</v>
      </c>
      <c r="L126" s="15">
        <f>K126*(1+L9)</f>
        <v>1540</v>
      </c>
      <c r="M126" s="15">
        <f>L126*(1+M9)</f>
        <v>1540</v>
      </c>
      <c r="N126" s="15">
        <f>M126*(1+N9)</f>
        <v>1540</v>
      </c>
      <c r="O126" s="15">
        <f>N126*(1+O9)</f>
        <v>1540</v>
      </c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</row>
    <row r="127" spans="2:39">
      <c r="B127" t="s">
        <v>75</v>
      </c>
      <c r="C127" s="3">
        <v>6980</v>
      </c>
      <c r="D127" s="3">
        <v>11271</v>
      </c>
      <c r="E127" s="3">
        <v>8831</v>
      </c>
      <c r="F127" s="3">
        <v>10042</v>
      </c>
      <c r="G127" s="3">
        <v>8778</v>
      </c>
      <c r="H127" s="3">
        <v>13435</v>
      </c>
      <c r="I127" s="3">
        <v>26384</v>
      </c>
      <c r="J127" s="3">
        <f>I127*4/3</f>
        <v>35178.6666666667</v>
      </c>
      <c r="K127" s="15">
        <f>J127*(1+K10)</f>
        <v>35178.6666666667</v>
      </c>
      <c r="L127" s="15">
        <f>K127*(1+L10)</f>
        <v>35178.6666666667</v>
      </c>
      <c r="M127" s="15">
        <f>L127*(1+M10)</f>
        <v>35178.6666666667</v>
      </c>
      <c r="N127" s="15">
        <f>M127*(1+N10)</f>
        <v>35178.6666666667</v>
      </c>
      <c r="O127" s="15">
        <f>N127*(1+O10)</f>
        <v>35178.6666666667</v>
      </c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</row>
    <row r="128" spans="2:39">
      <c r="B128" t="s">
        <v>110</v>
      </c>
      <c r="C128" s="3">
        <v>751</v>
      </c>
      <c r="D128" s="3">
        <v>484</v>
      </c>
      <c r="E128" s="3">
        <v>360</v>
      </c>
      <c r="F128" s="3">
        <v>525</v>
      </c>
      <c r="G128" s="3">
        <v>143</v>
      </c>
      <c r="H128" s="3">
        <v>152</v>
      </c>
      <c r="I128" s="3">
        <v>513</v>
      </c>
      <c r="J128" s="3">
        <f>I128*4/3</f>
        <v>684</v>
      </c>
      <c r="K128" s="15">
        <f>J128*(1+K11)</f>
        <v>684</v>
      </c>
      <c r="L128" s="15">
        <f>K128*(1+L11)</f>
        <v>684</v>
      </c>
      <c r="M128" s="15">
        <f>L128*(1+M11)</f>
        <v>684</v>
      </c>
      <c r="N128" s="15">
        <f>M128*(1+N11)</f>
        <v>684</v>
      </c>
      <c r="O128" s="15">
        <f>N128*(1+O11)</f>
        <v>684</v>
      </c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</row>
    <row r="129" spans="2:39">
      <c r="B129" t="s">
        <v>111</v>
      </c>
      <c r="C129" s="3"/>
      <c r="D129" s="3"/>
      <c r="E129" s="3"/>
      <c r="F129" s="3">
        <v>297</v>
      </c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</row>
    <row r="130" spans="2:39">
      <c r="B130" t="s">
        <v>112</v>
      </c>
      <c r="C130" s="3"/>
      <c r="D130" s="3"/>
      <c r="E130" s="3"/>
      <c r="F130" s="3">
        <v>0</v>
      </c>
      <c r="G130" s="3">
        <v>0</v>
      </c>
      <c r="H130" s="3">
        <v>2790</v>
      </c>
      <c r="I130" s="3">
        <v>3036</v>
      </c>
      <c r="J130" s="3">
        <f>I130*4/3</f>
        <v>4048</v>
      </c>
      <c r="K130" s="15">
        <f>J130*(1+K7)</f>
        <v>4169.44</v>
      </c>
      <c r="L130" s="15">
        <f>K130*(1+L7)</f>
        <v>4294.5232</v>
      </c>
      <c r="M130" s="15">
        <f>L130*(1+M7)</f>
        <v>4423.358896</v>
      </c>
      <c r="N130" s="15">
        <f>M130*(1+N7)</f>
        <v>4556.05966288</v>
      </c>
      <c r="O130" s="15">
        <f>N130*(1+O7)</f>
        <v>4647.1808561376</v>
      </c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</row>
    <row r="131" spans="2:39">
      <c r="B131" t="s">
        <v>113</v>
      </c>
      <c r="C131" s="3">
        <f t="shared" ref="C131:O131" si="31">SUM(C123:C130)</f>
        <v>33313</v>
      </c>
      <c r="D131" s="3">
        <f t="shared" si="31"/>
        <v>38426</v>
      </c>
      <c r="E131" s="3">
        <f t="shared" si="31"/>
        <v>41775</v>
      </c>
      <c r="F131" s="3">
        <f t="shared" si="31"/>
        <v>49877</v>
      </c>
      <c r="G131" s="3">
        <f t="shared" si="31"/>
        <v>68908</v>
      </c>
      <c r="H131" s="3">
        <f t="shared" si="31"/>
        <v>92673</v>
      </c>
      <c r="I131" s="3">
        <f t="shared" si="31"/>
        <v>125464</v>
      </c>
      <c r="J131" s="3">
        <f t="shared" si="31"/>
        <v>167285.333333333</v>
      </c>
      <c r="K131" s="3">
        <f t="shared" si="31"/>
        <v>170372.413333333</v>
      </c>
      <c r="L131" s="3">
        <f t="shared" si="31"/>
        <v>173552.105733333</v>
      </c>
      <c r="M131" s="3">
        <f t="shared" si="31"/>
        <v>176827.188905333</v>
      </c>
      <c r="N131" s="3">
        <f t="shared" si="31"/>
        <v>180200.524572493</v>
      </c>
      <c r="O131" s="3">
        <f t="shared" si="31"/>
        <v>182516.88173061</v>
      </c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</row>
    <row r="132" spans="3:39"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</row>
    <row r="133" spans="2:39">
      <c r="B133" t="s">
        <v>112</v>
      </c>
      <c r="C133" s="3"/>
      <c r="D133" s="3"/>
      <c r="E133" s="3"/>
      <c r="F133" s="3"/>
      <c r="G133" s="3">
        <v>0</v>
      </c>
      <c r="H133" s="3">
        <v>16800</v>
      </c>
      <c r="I133" s="3">
        <v>15224</v>
      </c>
      <c r="J133" s="3">
        <f>I133*4/3</f>
        <v>20298.6666666667</v>
      </c>
      <c r="K133" s="15">
        <f>J133*(1+K7)</f>
        <v>20907.6266666667</v>
      </c>
      <c r="L133" s="15">
        <f>K133*(1+L7)</f>
        <v>21534.8554666667</v>
      </c>
      <c r="M133" s="15">
        <f>L133*(1+M7)</f>
        <v>22180.9011306667</v>
      </c>
      <c r="N133" s="15">
        <f>M133*(1+N7)</f>
        <v>22846.3281645867</v>
      </c>
      <c r="O133" s="15">
        <f>N133*(1+O7)</f>
        <v>23303.2547278784</v>
      </c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</row>
    <row r="134" spans="2:39">
      <c r="B134" t="s">
        <v>108</v>
      </c>
      <c r="C134" s="3"/>
      <c r="D134" s="3"/>
      <c r="E134" s="3"/>
      <c r="F134" s="3">
        <v>0</v>
      </c>
      <c r="G134" s="3">
        <v>5519</v>
      </c>
      <c r="H134" s="3">
        <v>11913</v>
      </c>
      <c r="I134" s="3">
        <v>13721</v>
      </c>
      <c r="J134" s="3">
        <f>I134*4/3</f>
        <v>18294.6666666667</v>
      </c>
      <c r="K134" s="15">
        <f>J134*(1+K7)</f>
        <v>18843.5066666667</v>
      </c>
      <c r="L134" s="15">
        <f>K134*(1+L7)</f>
        <v>19408.8118666667</v>
      </c>
      <c r="M134" s="15">
        <f>L134*(1+M7)</f>
        <v>19991.0762226667</v>
      </c>
      <c r="N134" s="15">
        <f>M134*(1+N7)</f>
        <v>20590.8085093467</v>
      </c>
      <c r="O134" s="15">
        <f>N134*(1+O7)</f>
        <v>21002.6246795336</v>
      </c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</row>
    <row r="135" spans="2:39">
      <c r="B135" t="s">
        <v>111</v>
      </c>
      <c r="C135" s="3">
        <v>299</v>
      </c>
      <c r="D135" s="3">
        <v>912</v>
      </c>
      <c r="E135" s="3">
        <v>2292</v>
      </c>
      <c r="F135" s="3">
        <v>2191</v>
      </c>
      <c r="G135" s="3">
        <v>5525</v>
      </c>
      <c r="H135" s="3">
        <v>9261</v>
      </c>
      <c r="I135" s="3">
        <v>16148</v>
      </c>
      <c r="J135" s="3">
        <f>I135*4/3</f>
        <v>21530.6666666667</v>
      </c>
      <c r="K135" s="15">
        <f>J135*(1+K7)</f>
        <v>22176.5866666667</v>
      </c>
      <c r="L135" s="15">
        <f>K135*(1+L7)</f>
        <v>22841.8842666667</v>
      </c>
      <c r="M135" s="15">
        <f>L135*(1+M7)</f>
        <v>23527.1407946667</v>
      </c>
      <c r="N135" s="15">
        <f>M135*(1+N7)</f>
        <v>24232.9550185067</v>
      </c>
      <c r="O135" s="15">
        <f>N135*(1+O7)</f>
        <v>24717.6141188768</v>
      </c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</row>
    <row r="136" spans="2:39">
      <c r="B136" t="s">
        <v>114</v>
      </c>
      <c r="C136" s="3">
        <f t="shared" ref="C136:O136" si="32">SUM(C133:C135)</f>
        <v>299</v>
      </c>
      <c r="D136" s="3">
        <f t="shared" si="32"/>
        <v>912</v>
      </c>
      <c r="E136" s="3">
        <f t="shared" si="32"/>
        <v>2292</v>
      </c>
      <c r="F136" s="3">
        <f t="shared" si="32"/>
        <v>2191</v>
      </c>
      <c r="G136" s="3">
        <f t="shared" si="32"/>
        <v>11044</v>
      </c>
      <c r="H136" s="3">
        <f t="shared" si="32"/>
        <v>37974</v>
      </c>
      <c r="I136" s="3">
        <f t="shared" si="32"/>
        <v>45093</v>
      </c>
      <c r="J136" s="3">
        <f t="shared" si="32"/>
        <v>60124</v>
      </c>
      <c r="K136" s="3">
        <f t="shared" si="32"/>
        <v>61927.72</v>
      </c>
      <c r="L136" s="3">
        <f t="shared" si="32"/>
        <v>63785.5516</v>
      </c>
      <c r="M136" s="3">
        <f t="shared" si="32"/>
        <v>65699.118148</v>
      </c>
      <c r="N136" s="3">
        <f t="shared" si="32"/>
        <v>67670.09169244</v>
      </c>
      <c r="O136" s="3">
        <f t="shared" si="32"/>
        <v>69023.4935262888</v>
      </c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</row>
    <row r="137" spans="2:39">
      <c r="B137" s="6" t="s">
        <v>115</v>
      </c>
      <c r="C137" s="3">
        <f t="shared" ref="C137:O137" si="33">C131+C136</f>
        <v>33612</v>
      </c>
      <c r="D137" s="3">
        <f t="shared" si="33"/>
        <v>39338</v>
      </c>
      <c r="E137" s="3">
        <f t="shared" si="33"/>
        <v>44067</v>
      </c>
      <c r="F137" s="3">
        <f t="shared" si="33"/>
        <v>52068</v>
      </c>
      <c r="G137" s="3">
        <f t="shared" si="33"/>
        <v>79952</v>
      </c>
      <c r="H137" s="3">
        <f t="shared" si="33"/>
        <v>130647</v>
      </c>
      <c r="I137" s="3">
        <f t="shared" si="33"/>
        <v>170557</v>
      </c>
      <c r="J137" s="3">
        <f t="shared" si="33"/>
        <v>227409.333333333</v>
      </c>
      <c r="K137" s="3">
        <f t="shared" si="33"/>
        <v>232300.133333333</v>
      </c>
      <c r="L137" s="3">
        <f t="shared" si="33"/>
        <v>237337.657333333</v>
      </c>
      <c r="M137" s="3">
        <f t="shared" si="33"/>
        <v>242526.307053333</v>
      </c>
      <c r="N137" s="3">
        <f t="shared" si="33"/>
        <v>247870.616264933</v>
      </c>
      <c r="O137" s="3">
        <f t="shared" si="33"/>
        <v>251540.375256899</v>
      </c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</row>
    <row r="138" spans="2:39">
      <c r="B138" s="6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</row>
    <row r="139" spans="2:39">
      <c r="B139" t="s">
        <v>116</v>
      </c>
      <c r="C139" s="3">
        <v>20673</v>
      </c>
      <c r="D139" s="3">
        <v>22820</v>
      </c>
      <c r="E139" s="3">
        <v>26240</v>
      </c>
      <c r="F139" s="3">
        <v>28647</v>
      </c>
      <c r="G139" s="3">
        <v>32515</v>
      </c>
      <c r="H139" s="3">
        <v>107931</v>
      </c>
      <c r="I139" s="3">
        <v>193802</v>
      </c>
      <c r="J139" s="3">
        <f>I139*4/3</f>
        <v>258402.666666667</v>
      </c>
      <c r="K139" s="15">
        <f>J139*(1+K7)</f>
        <v>266154.746666667</v>
      </c>
      <c r="L139" s="15">
        <f>K139*(1+L7)</f>
        <v>274139.389066667</v>
      </c>
      <c r="M139" s="15">
        <f>L139*(1+M7)</f>
        <v>282363.570738667</v>
      </c>
      <c r="N139" s="15">
        <f>M139*(1+N7)</f>
        <v>290834.477860827</v>
      </c>
      <c r="O139" s="15">
        <f>N139*(1+O7)</f>
        <v>296651.167418043</v>
      </c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</row>
    <row r="140" spans="2:39">
      <c r="B140" t="s">
        <v>117</v>
      </c>
      <c r="C140" s="3">
        <v>458</v>
      </c>
      <c r="D140" s="3">
        <v>472</v>
      </c>
      <c r="E140" s="3">
        <v>541</v>
      </c>
      <c r="F140" s="3">
        <v>1065</v>
      </c>
      <c r="G140" s="3">
        <v>1817</v>
      </c>
      <c r="H140" s="3">
        <v>2002</v>
      </c>
      <c r="I140" s="3">
        <v>4886</v>
      </c>
      <c r="J140" s="3">
        <f>I140*4/3</f>
        <v>6514.66666666667</v>
      </c>
      <c r="K140" s="15">
        <f>J140*(1+K7)</f>
        <v>6710.10666666667</v>
      </c>
      <c r="L140" s="15">
        <f>K140*(1+L7)</f>
        <v>6911.40986666667</v>
      </c>
      <c r="M140" s="15">
        <f>L140*(1+M7)</f>
        <v>7118.75216266667</v>
      </c>
      <c r="N140" s="15">
        <f>M140*(1+N7)</f>
        <v>7332.31472754667</v>
      </c>
      <c r="O140" s="15">
        <f>N140*(1+O7)</f>
        <v>7478.9610220976</v>
      </c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</row>
    <row r="141" spans="2:39">
      <c r="B141" t="s">
        <v>118</v>
      </c>
      <c r="C141" s="3">
        <v>50633</v>
      </c>
      <c r="D141" s="3">
        <v>55906</v>
      </c>
      <c r="E141" s="3">
        <v>62776</v>
      </c>
      <c r="F141" s="3">
        <v>70521</v>
      </c>
      <c r="G141" s="3">
        <v>81608</v>
      </c>
      <c r="H141" s="3">
        <v>92030</v>
      </c>
      <c r="I141" s="3">
        <v>93422</v>
      </c>
      <c r="J141" s="3">
        <f>I141*4/3</f>
        <v>124562.666666667</v>
      </c>
      <c r="K141" s="3">
        <f>J141+K49+K86</f>
        <v>146191.893279749</v>
      </c>
      <c r="L141" s="3">
        <f>K141+L49+L86</f>
        <v>168469.996691224</v>
      </c>
      <c r="M141" s="3">
        <f>L141+M49+M86</f>
        <v>191416.443205043</v>
      </c>
      <c r="N141" s="3">
        <f>M141+N49+N86</f>
        <v>215051.283114277</v>
      </c>
      <c r="O141" s="3">
        <f>N141+O49+O86</f>
        <v>239158.819821695</v>
      </c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</row>
    <row r="142" spans="2:39">
      <c r="B142" t="s">
        <v>119</v>
      </c>
      <c r="C142" s="3">
        <v>-3049</v>
      </c>
      <c r="D142" s="3">
        <v>-877</v>
      </c>
      <c r="E142" s="3">
        <v>-70</v>
      </c>
      <c r="F142" s="3">
        <v>-183</v>
      </c>
      <c r="G142" s="3">
        <v>-866</v>
      </c>
      <c r="H142" s="3">
        <v>-1557</v>
      </c>
      <c r="I142" s="3">
        <v>2733</v>
      </c>
      <c r="J142" s="3">
        <f>I142*4/3</f>
        <v>3644</v>
      </c>
      <c r="K142" s="15">
        <f>J142*(1+K7)</f>
        <v>3753.32</v>
      </c>
      <c r="L142" s="15">
        <f>K142*(1+L7)</f>
        <v>3865.9196</v>
      </c>
      <c r="M142" s="15">
        <f>L142*(1+M7)</f>
        <v>3981.897188</v>
      </c>
      <c r="N142" s="15">
        <f>M142*(1+N7)</f>
        <v>4101.35410364</v>
      </c>
      <c r="O142" s="15">
        <f>N142*(1+O7)</f>
        <v>4183.3811857128</v>
      </c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</row>
    <row r="143" spans="2:39">
      <c r="B143" s="6" t="s">
        <v>120</v>
      </c>
      <c r="C143" s="3">
        <f t="shared" ref="C143:O143" si="34">SUM(C139:C142)</f>
        <v>68715</v>
      </c>
      <c r="D143" s="3">
        <f t="shared" si="34"/>
        <v>78321</v>
      </c>
      <c r="E143" s="3">
        <f t="shared" si="34"/>
        <v>89487</v>
      </c>
      <c r="F143" s="3">
        <f t="shared" si="34"/>
        <v>100050</v>
      </c>
      <c r="G143" s="3">
        <f t="shared" si="34"/>
        <v>115074</v>
      </c>
      <c r="H143" s="3">
        <f t="shared" si="34"/>
        <v>200406</v>
      </c>
      <c r="I143" s="3">
        <f t="shared" si="34"/>
        <v>294843</v>
      </c>
      <c r="J143" s="3">
        <f t="shared" si="34"/>
        <v>393124</v>
      </c>
      <c r="K143" s="3">
        <f t="shared" si="34"/>
        <v>422810.066613083</v>
      </c>
      <c r="L143" s="3">
        <f t="shared" si="34"/>
        <v>453386.715224558</v>
      </c>
      <c r="M143" s="3">
        <f t="shared" si="34"/>
        <v>484880.663294377</v>
      </c>
      <c r="N143" s="3">
        <f t="shared" si="34"/>
        <v>517319.42980629</v>
      </c>
      <c r="O143" s="3">
        <f t="shared" si="34"/>
        <v>547472.329447548</v>
      </c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</row>
    <row r="144" spans="2:39">
      <c r="B144" s="6" t="s">
        <v>121</v>
      </c>
      <c r="C144" s="3">
        <f t="shared" ref="C144:O144" si="35">C137+C143</f>
        <v>102327</v>
      </c>
      <c r="D144" s="3">
        <f t="shared" si="35"/>
        <v>117659</v>
      </c>
      <c r="E144" s="3">
        <f t="shared" si="35"/>
        <v>133554</v>
      </c>
      <c r="F144" s="3">
        <f t="shared" si="35"/>
        <v>152118</v>
      </c>
      <c r="G144" s="3">
        <f t="shared" si="35"/>
        <v>195026</v>
      </c>
      <c r="H144" s="3">
        <f t="shared" si="35"/>
        <v>331053</v>
      </c>
      <c r="I144" s="3">
        <f t="shared" si="35"/>
        <v>465400</v>
      </c>
      <c r="J144" s="3">
        <f t="shared" si="35"/>
        <v>620533.333333333</v>
      </c>
      <c r="K144" s="3">
        <f t="shared" si="35"/>
        <v>655110.199946416</v>
      </c>
      <c r="L144" s="3">
        <f t="shared" si="35"/>
        <v>690724.372557891</v>
      </c>
      <c r="M144" s="3">
        <f t="shared" si="35"/>
        <v>727406.97034771</v>
      </c>
      <c r="N144" s="3">
        <f t="shared" si="35"/>
        <v>765190.046071223</v>
      </c>
      <c r="O144" s="3">
        <f t="shared" si="35"/>
        <v>799012.704704447</v>
      </c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</row>
    <row r="145" spans="2:39">
      <c r="B145" t="s">
        <v>122</v>
      </c>
      <c r="C145" s="3">
        <f t="shared" ref="C145:O145" si="36">C121-C144</f>
        <v>0</v>
      </c>
      <c r="D145" s="3">
        <f t="shared" si="36"/>
        <v>0</v>
      </c>
      <c r="E145" s="3">
        <f t="shared" si="36"/>
        <v>0</v>
      </c>
      <c r="F145" s="3">
        <f t="shared" si="36"/>
        <v>0</v>
      </c>
      <c r="G145" s="3">
        <f t="shared" si="36"/>
        <v>0</v>
      </c>
      <c r="H145" s="3">
        <f t="shared" si="36"/>
        <v>0</v>
      </c>
      <c r="I145" s="3">
        <f t="shared" si="36"/>
        <v>1</v>
      </c>
      <c r="J145" s="3">
        <f t="shared" si="36"/>
        <v>13646.8648881054</v>
      </c>
      <c r="K145" s="3">
        <f t="shared" si="36"/>
        <v>19683.6042816221</v>
      </c>
      <c r="L145" s="3">
        <f t="shared" si="36"/>
        <v>28131.7240847808</v>
      </c>
      <c r="M145" s="3">
        <f t="shared" si="36"/>
        <v>28949.6627073636</v>
      </c>
      <c r="N145" s="3">
        <f t="shared" si="36"/>
        <v>32325.8348065349</v>
      </c>
      <c r="O145" s="3">
        <f t="shared" si="36"/>
        <v>27295.5302955146</v>
      </c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</row>
    <row r="146" spans="2:39">
      <c r="B146" t="s">
        <v>123</v>
      </c>
      <c r="C146" s="3">
        <f>C145/C121</f>
        <v>0</v>
      </c>
      <c r="D146" s="3">
        <f t="shared" ref="D146:R146" si="37">D145/D121</f>
        <v>0</v>
      </c>
      <c r="E146" s="3">
        <f t="shared" si="37"/>
        <v>0</v>
      </c>
      <c r="F146" s="3">
        <f t="shared" si="37"/>
        <v>0</v>
      </c>
      <c r="G146" s="3">
        <f t="shared" si="37"/>
        <v>0</v>
      </c>
      <c r="H146" s="3">
        <f t="shared" si="37"/>
        <v>0</v>
      </c>
      <c r="I146" s="3">
        <f t="shared" si="37"/>
        <v>2.1486846826715e-6</v>
      </c>
      <c r="J146" s="3">
        <f t="shared" si="37"/>
        <v>0.0215189072859388</v>
      </c>
      <c r="K146" s="3">
        <f t="shared" si="37"/>
        <v>0.0291698058848363</v>
      </c>
      <c r="L146" s="3">
        <f t="shared" si="37"/>
        <v>0.0391340133528345</v>
      </c>
      <c r="M146" s="3">
        <f t="shared" si="37"/>
        <v>0.0382751488414007</v>
      </c>
      <c r="N146" s="3">
        <f t="shared" si="37"/>
        <v>0.0405331549899127</v>
      </c>
      <c r="O146" s="3">
        <f t="shared" si="37"/>
        <v>0.0330331093644684</v>
      </c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</row>
    <row r="147" spans="3:39"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</row>
    <row r="148" spans="3:39"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</row>
    <row r="149" spans="3:39">
      <c r="C149" s="3"/>
      <c r="D149" s="3"/>
      <c r="E149" s="3"/>
      <c r="F149" s="3"/>
      <c r="G149" s="3"/>
      <c r="H149" s="3"/>
      <c r="I149" s="16" t="s">
        <v>124</v>
      </c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</row>
    <row r="150" spans="3:39">
      <c r="C150" s="3"/>
      <c r="D150" s="3"/>
      <c r="E150" s="3"/>
      <c r="F150" s="3"/>
      <c r="G150" s="3"/>
      <c r="H150" s="3"/>
      <c r="I150" s="17" t="s">
        <v>125</v>
      </c>
      <c r="J150" s="3">
        <v>0.1</v>
      </c>
      <c r="K150" s="3">
        <v>0.1</v>
      </c>
      <c r="L150" s="3">
        <v>0.1</v>
      </c>
      <c r="M150" s="3">
        <v>0.1</v>
      </c>
      <c r="N150" s="3">
        <v>0.1</v>
      </c>
      <c r="O150" s="3">
        <v>0.1</v>
      </c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</row>
    <row r="151" spans="3:39">
      <c r="C151" s="3"/>
      <c r="D151" s="3"/>
      <c r="E151" s="3"/>
      <c r="F151" s="3"/>
      <c r="G151" s="3"/>
      <c r="H151" s="3"/>
      <c r="I151" s="17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</row>
    <row r="152" spans="3:39">
      <c r="C152" s="3"/>
      <c r="D152" s="3"/>
      <c r="E152" s="3"/>
      <c r="F152" s="3"/>
      <c r="G152" s="3"/>
      <c r="H152" s="3"/>
      <c r="I152" s="17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</row>
    <row r="153" spans="3:39">
      <c r="C153" s="3"/>
      <c r="D153" s="3"/>
      <c r="E153" s="3"/>
      <c r="F153" s="3"/>
      <c r="G153" s="3"/>
      <c r="H153" s="3"/>
      <c r="I153" s="17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</row>
    <row r="154" spans="3:39">
      <c r="C154" s="3"/>
      <c r="D154" s="3"/>
      <c r="E154" s="3"/>
      <c r="F154" s="3"/>
      <c r="G154" s="3"/>
      <c r="H154" s="3"/>
      <c r="I154" s="17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</row>
    <row r="155" spans="3:39">
      <c r="C155" s="3"/>
      <c r="D155" s="3"/>
      <c r="E155" s="3"/>
      <c r="F155" s="3"/>
      <c r="G155" s="3"/>
      <c r="H155" s="3"/>
      <c r="I155" s="17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</row>
    <row r="156" spans="3:39">
      <c r="C156" s="3"/>
      <c r="D156" s="3"/>
      <c r="E156" s="3"/>
      <c r="F156" s="3"/>
      <c r="G156" s="3"/>
      <c r="H156" s="3"/>
      <c r="J156" s="13" t="s">
        <v>22</v>
      </c>
      <c r="K156" s="13" t="s">
        <v>23</v>
      </c>
      <c r="L156" s="13" t="s">
        <v>24</v>
      </c>
      <c r="M156" s="13" t="s">
        <v>25</v>
      </c>
      <c r="N156" s="13" t="s">
        <v>26</v>
      </c>
      <c r="O156" s="14" t="s">
        <v>126</v>
      </c>
      <c r="P156" s="16" t="s">
        <v>127</v>
      </c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</row>
    <row r="157" spans="3:39">
      <c r="C157" s="3"/>
      <c r="D157" s="3"/>
      <c r="E157" s="3"/>
      <c r="F157" s="3"/>
      <c r="G157" s="3"/>
      <c r="H157" s="3"/>
      <c r="I157" t="s">
        <v>128</v>
      </c>
      <c r="J157" s="3">
        <f>J83+J44*(1-J16)-(SUM(J114:J116)-SUM(I114:I116))-(J34-J35)</f>
        <v>33539.8767547698</v>
      </c>
      <c r="K157" s="3">
        <f>K83+K44*(1-J16)-(SUM(K114:K116)-SUM(J114:J116))-(K34-K35)</f>
        <v>42221.561647348</v>
      </c>
      <c r="L157" s="3">
        <f>L83+L44*(1-J16)-(SUM(L114:L116)-SUM(K114:K116))-(L34-L35)</f>
        <v>48067.3067246044</v>
      </c>
      <c r="M157" s="3">
        <f>M83+M44*(1-J16)-(SUM(M114:M116)-SUM(L114:L116))-(M34-M35)</f>
        <v>43974.5211516723</v>
      </c>
      <c r="N157" s="3">
        <f>N83+N44*(1-J16)-(SUM(N114:N116)-SUM(M114:M116))-(N34-N35)</f>
        <v>50176.2721041335</v>
      </c>
      <c r="O157" s="3">
        <f>O83+O44*(1-J16)-(SUM(O114:O116)-SUM(N114:N116))-(O34-O35)</f>
        <v>46029.379867466</v>
      </c>
      <c r="P157" s="3">
        <f>O157*(1+O7)/(O150-O7)</f>
        <v>586874.593310191</v>
      </c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</row>
    <row r="158" spans="3:39">
      <c r="C158" s="3"/>
      <c r="D158" s="3"/>
      <c r="E158" s="3"/>
      <c r="F158" s="3"/>
      <c r="G158" s="3"/>
      <c r="H158" s="3"/>
      <c r="I158" s="3" t="s">
        <v>129</v>
      </c>
      <c r="J158" s="3">
        <f>J157</f>
        <v>33539.8767547698</v>
      </c>
      <c r="K158" s="3">
        <f>K157/(1+K150)</f>
        <v>38383.2378612255</v>
      </c>
      <c r="L158" s="3">
        <f>L157/((1+L150)^2)</f>
        <v>39725.0468798383</v>
      </c>
      <c r="M158" s="3">
        <f>M157/(1+M150)^3</f>
        <v>33038.7086038109</v>
      </c>
      <c r="N158" s="3">
        <f>N157/((1+N150)^4)</f>
        <v>34271.0689871822</v>
      </c>
      <c r="O158" s="3">
        <f>O157/(1+O150)^5</f>
        <v>28580.6234468994</v>
      </c>
      <c r="P158" s="3">
        <f>P157/(1+O150)^5</f>
        <v>364402.948947967</v>
      </c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</row>
    <row r="159" spans="3:39">
      <c r="C159" s="3"/>
      <c r="D159" s="3"/>
      <c r="E159" s="3"/>
      <c r="F159" s="3"/>
      <c r="G159" s="3"/>
      <c r="H159" s="3"/>
      <c r="I159" s="18" t="s">
        <v>130</v>
      </c>
      <c r="J159" s="3">
        <f>SUM(J158:P158)</f>
        <v>571941.511481693</v>
      </c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</row>
    <row r="160" spans="3:39">
      <c r="C160" s="3"/>
      <c r="D160" s="3"/>
      <c r="E160" s="3"/>
      <c r="F160" s="3"/>
      <c r="G160" s="3"/>
      <c r="H160" s="3" t="s">
        <v>131</v>
      </c>
      <c r="I160" s="3" t="s">
        <v>132</v>
      </c>
      <c r="J160" s="3">
        <f>J137</f>
        <v>227409.333333333</v>
      </c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</row>
    <row r="161" spans="3:39">
      <c r="C161" s="3"/>
      <c r="D161" s="3"/>
      <c r="E161" s="3"/>
      <c r="F161" s="3"/>
      <c r="G161" s="3"/>
      <c r="H161" s="3" t="s">
        <v>131</v>
      </c>
      <c r="I161" s="3" t="s">
        <v>133</v>
      </c>
      <c r="J161" s="3">
        <v>0</v>
      </c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</row>
    <row r="162" spans="3:39">
      <c r="C162" s="3"/>
      <c r="D162" s="3"/>
      <c r="E162" s="3"/>
      <c r="F162" s="3"/>
      <c r="G162" s="3"/>
      <c r="H162" s="3" t="s">
        <v>131</v>
      </c>
      <c r="I162" s="3" t="s">
        <v>134</v>
      </c>
      <c r="J162" s="3">
        <v>0</v>
      </c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</row>
    <row r="163" spans="3:39">
      <c r="C163" s="3"/>
      <c r="D163" s="3"/>
      <c r="E163" s="3"/>
      <c r="F163" s="3"/>
      <c r="G163" s="3"/>
      <c r="H163" s="3" t="s">
        <v>135</v>
      </c>
      <c r="I163" s="3" t="s">
        <v>136</v>
      </c>
      <c r="J163" s="3">
        <f>J105</f>
        <v>88380.1982214391</v>
      </c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</row>
    <row r="164" spans="3:39"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</row>
    <row r="165" spans="3:39">
      <c r="C165" s="3"/>
      <c r="D165" s="3"/>
      <c r="E165" s="3"/>
      <c r="F165" s="3"/>
      <c r="G165" s="3"/>
      <c r="H165" s="3"/>
      <c r="I165" s="19" t="s">
        <v>137</v>
      </c>
      <c r="J165" s="3">
        <f>J159-J160-J161-J162+J163</f>
        <v>432912.376369799</v>
      </c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</row>
    <row r="166" spans="3:39">
      <c r="C166" s="3"/>
      <c r="D166" s="3"/>
      <c r="E166" s="3"/>
      <c r="F166" s="3"/>
      <c r="G166" s="3"/>
      <c r="H166" s="3"/>
      <c r="I166" s="3" t="s">
        <v>138</v>
      </c>
      <c r="J166" s="3">
        <f>J53</f>
        <v>12263223.9219505</v>
      </c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</row>
    <row r="167" spans="3:39">
      <c r="C167" s="3"/>
      <c r="D167" s="3"/>
      <c r="E167" s="3"/>
      <c r="F167" s="3"/>
      <c r="G167" s="3"/>
      <c r="H167" s="3"/>
      <c r="I167" s="20" t="s">
        <v>139</v>
      </c>
      <c r="J167" s="3">
        <f>(J165/J166)*1000</f>
        <v>35.301677529912</v>
      </c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</row>
    <row r="168" spans="3:39"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</row>
    <row r="169" spans="3:39"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</row>
    <row r="170" spans="3:39"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</row>
    <row r="171" spans="3:39"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</row>
    <row r="172" spans="3:39"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</row>
    <row r="173" spans="3:39"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</row>
    <row r="174" spans="3:39"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</row>
    <row r="175" spans="3:39"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</row>
    <row r="176" spans="3:39"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</row>
    <row r="177" spans="3:39"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</row>
    <row r="178" spans="3:39"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</row>
    <row r="179" spans="3:39"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</row>
    <row r="180" spans="3:39"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</row>
    <row r="181" spans="3:39"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</row>
    <row r="182" spans="3:39"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</row>
    <row r="183" spans="3:39"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</row>
    <row r="184" spans="3:39"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</row>
    <row r="185" spans="3:39"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</row>
    <row r="186" spans="3:39"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</row>
    <row r="187" spans="3:39"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</row>
    <row r="188" spans="3:39"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</row>
    <row r="189" spans="3:39"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</row>
    <row r="190" spans="3:39"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</row>
    <row r="191" spans="3:39"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</row>
    <row r="192" spans="3:39"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</row>
    <row r="193" spans="3:39"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</row>
    <row r="194" spans="3:39"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</row>
    <row r="195" spans="3:39"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</row>
    <row r="196" spans="3:39"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</row>
    <row r="197" spans="3:39"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</row>
    <row r="198" spans="3:39"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</row>
    <row r="199" spans="3:39"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</row>
    <row r="200" spans="3:39"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</row>
    <row r="201" spans="3:39"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</row>
    <row r="202" spans="3:39"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</row>
    <row r="203" spans="3:39"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</row>
    <row r="204" spans="3:39"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</row>
    <row r="205" spans="3:39"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</row>
    <row r="206" spans="3:39"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</row>
  </sheetData>
  <mergeCells count="2">
    <mergeCell ref="C19:I19"/>
    <mergeCell ref="J19:O19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Financial statements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LIN</dc:creator>
  <cp:lastModifiedBy>HAO LIN</cp:lastModifiedBy>
  <dcterms:created xsi:type="dcterms:W3CDTF">2021-08-14T19:09:00Z</dcterms:created>
  <dcterms:modified xsi:type="dcterms:W3CDTF">2021-08-18T22:16:51Z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5FC69CE2FFB44EDBACBBDA540D703A55</vt:lpwstr>
  </property>
  <property fmtid="{D5CDD505-2E9C-101B-9397-08002B2CF9AE}" pid="3" name="KSOProductBuildVer">
    <vt:lpwstr>1033-11.2.0.10258</vt:lpwstr>
  </property>
</Properties>
</file>