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BBG Adjusted" sheetId="2" r:id="rId1"/>
  </sheets>
  <definedNames>
    <definedName name="CIQWBGuid" hidden="1">"c31d0393-d36e-4487-a481-595e5d43db2b"</definedName>
    <definedName name="CIQWBInfo" hidden="1">"{ ""CIQVersion"":""9.45.614.5792"" }"</definedName>
  </definedNames>
  <calcPr calcId="144525"/>
</workbook>
</file>

<file path=xl/comments1.xml><?xml version="1.0" encoding="utf-8"?>
<comments xmlns="http://schemas.openxmlformats.org/spreadsheetml/2006/main">
  <authors>
    <author>HAO LIN</author>
  </authors>
  <commentList>
    <comment ref="A167" authorId="0">
      <text>
        <r>
          <rPr>
            <b/>
            <sz val="9"/>
            <rFont val="Times New Roman"/>
            <charset val="0"/>
          </rPr>
          <t>HAO LIN:</t>
        </r>
        <r>
          <rPr>
            <sz val="9"/>
            <rFont val="Times New Roman"/>
            <charset val="0"/>
          </rPr>
          <t xml:space="preserve">
I realized RE(BOP)+NI not equal to RE(EOP), and LULU doesnt play dividend</t>
        </r>
      </text>
    </comment>
    <comment ref="A234" authorId="0">
      <text>
        <r>
          <rPr>
            <b/>
            <sz val="9"/>
            <rFont val="Times New Roman"/>
            <charset val="0"/>
          </rPr>
          <t>HAO LIN:</t>
        </r>
        <r>
          <rPr>
            <sz val="9"/>
            <rFont val="Times New Roman"/>
            <charset val="0"/>
          </rPr>
          <t xml:space="preserve">
FCFE = Cash from Operating Activities – Capital Expenditures + Net Debt Issued (Repaid</t>
        </r>
      </text>
    </comment>
    <comment ref="D254" authorId="0">
      <text>
        <r>
          <rPr>
            <b/>
            <sz val="9"/>
            <rFont val="Times New Roman"/>
            <charset val="0"/>
          </rPr>
          <t>HAO LIN:</t>
        </r>
        <r>
          <rPr>
            <sz val="9"/>
            <rFont val="Times New Roman"/>
            <charset val="0"/>
          </rPr>
          <t xml:space="preserve">
LULU and SPX Index
</t>
        </r>
      </text>
    </comment>
    <comment ref="F254" authorId="0">
      <text>
        <r>
          <rPr>
            <b/>
            <sz val="9"/>
            <rFont val="Times New Roman"/>
            <charset val="0"/>
          </rPr>
          <t>HAO LIN:</t>
        </r>
        <r>
          <rPr>
            <sz val="9"/>
            <rFont val="Times New Roman"/>
            <charset val="0"/>
          </rPr>
          <t xml:space="preserve">
10 Year Treasury Rate</t>
        </r>
      </text>
    </comment>
  </commentList>
</comments>
</file>

<file path=xl/sharedStrings.xml><?xml version="1.0" encoding="utf-8"?>
<sst xmlns="http://schemas.openxmlformats.org/spreadsheetml/2006/main" count="567" uniqueCount="404">
  <si>
    <t xml:space="preserve">Lululemon Athletica Inc (LULU US) </t>
  </si>
  <si>
    <t>Terminal Value</t>
  </si>
  <si>
    <t>Assumptions</t>
  </si>
  <si>
    <t>growth rate</t>
  </si>
  <si>
    <t>Revenue growth</t>
  </si>
  <si>
    <t>Direct to customer</t>
  </si>
  <si>
    <t>Corporate owned stores</t>
  </si>
  <si>
    <t>others</t>
  </si>
  <si>
    <t>COGS/Revenue</t>
  </si>
  <si>
    <t>SG&amp;A/Revenue</t>
  </si>
  <si>
    <t>Current  income tax/Pre-tax income</t>
  </si>
  <si>
    <t>Deferred Income Tax/Pre-tax income</t>
  </si>
  <si>
    <t>AR days</t>
  </si>
  <si>
    <t>Finished Goods days</t>
  </si>
  <si>
    <t>Other Inventory days</t>
  </si>
  <si>
    <t>Taxes Receivable days</t>
  </si>
  <si>
    <t>Misc ST Assets</t>
  </si>
  <si>
    <t>D&amp;A/PP&amp;E(gross)</t>
  </si>
  <si>
    <t>PP&amp;E growth rate</t>
  </si>
  <si>
    <t>Misc LT Assets growth rate</t>
  </si>
  <si>
    <t>Payables &amp; Accruals days</t>
  </si>
  <si>
    <t>Accounts Payable days</t>
  </si>
  <si>
    <t>Misc ST Liabilities</t>
  </si>
  <si>
    <t>Additional Paid in Capital growth rate</t>
  </si>
  <si>
    <t>Income Statement</t>
  </si>
  <si>
    <t>In Millions of USD except Per Share</t>
  </si>
  <si>
    <t>FY 2015</t>
  </si>
  <si>
    <t>FY 2016</t>
  </si>
  <si>
    <t>FY 2017</t>
  </si>
  <si>
    <t>FY 2018</t>
  </si>
  <si>
    <t>FY 2019</t>
  </si>
  <si>
    <t>FY 2020</t>
  </si>
  <si>
    <t>FY 2021</t>
  </si>
  <si>
    <t>FY 2022 Est</t>
  </si>
  <si>
    <t>FY 2023 Est</t>
  </si>
  <si>
    <t>FY 2024 Est</t>
  </si>
  <si>
    <t>FY 2025 Est</t>
  </si>
  <si>
    <t>FY 2026 Est and after</t>
  </si>
  <si>
    <t>12 Months Ending</t>
  </si>
  <si>
    <t>02/01/2015</t>
  </si>
  <si>
    <t>01/31/2016</t>
  </si>
  <si>
    <t>01/29/2017</t>
  </si>
  <si>
    <t>01/28/2018</t>
  </si>
  <si>
    <t>02/03/2019</t>
  </si>
  <si>
    <t>02/02/2020</t>
  </si>
  <si>
    <t>01/31/2021</t>
  </si>
  <si>
    <t>01/31/2022</t>
  </si>
  <si>
    <t>01/31/2023</t>
  </si>
  <si>
    <t>01/31/2024</t>
  </si>
  <si>
    <t>01/31/2025</t>
  </si>
  <si>
    <t>01/31/2026</t>
  </si>
  <si>
    <t>Revenue</t>
  </si>
  <si>
    <t>SALES_REV_TURN</t>
  </si>
  <si>
    <t xml:space="preserve">  Direct to consumer</t>
  </si>
  <si>
    <t xml:space="preserve">  Corporate-owned stores</t>
  </si>
  <si>
    <t xml:space="preserve">  Other</t>
  </si>
  <si>
    <t xml:space="preserve">    + Sales &amp; Services Revenue</t>
  </si>
  <si>
    <t>IS_SALES_AND_SERVICES_REVENUES</t>
  </si>
  <si>
    <t xml:space="preserve">  - Cost of Revenue</t>
  </si>
  <si>
    <t>IS_COGS_TO_FE_AND_PP_AND_G</t>
  </si>
  <si>
    <t xml:space="preserve">    + Cost of Goods &amp; Services</t>
  </si>
  <si>
    <t>IS_COG_AND_SERVICES_SOLD</t>
  </si>
  <si>
    <t>Gross Profit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</si>
  <si>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</si>
  <si>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</si>
  <si>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</si>
  <si>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</si>
  <si>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</si>
  <si>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</si>
  <si>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IS_SG&amp;A_EXPENSE</t>
  </si>
  <si>
    <t xml:space="preserve">    + Research &amp; Development</t>
  </si>
  <si>
    <t>IS_OPEX_R&amp;D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</si>
  <si>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</si>
  <si>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</si>
  <si>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</si>
  <si>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</si>
  <si>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</si>
  <si>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</si>
  <si>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</t>
  </si>
  <si>
    <t>IS_INT_EXPENSE</t>
  </si>
  <si>
    <t>—</t>
  </si>
  <si>
    <t xml:space="preserve">    + Foreign Exch (Gain) Loss</t>
  </si>
  <si>
    <t>IS_FOREIGN_EXCH_LOSS</t>
  </si>
  <si>
    <t xml:space="preserve">    + (Income) Loss from Affiliates</t>
  </si>
  <si>
    <t>INCOME_LOSS_FROM_AFFILIATES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</si>
  <si>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</si>
  <si>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</si>
  <si>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</si>
  <si>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</si>
  <si>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</si>
  <si>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</si>
  <si>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Merger/Acquisition Expense</t>
  </si>
  <si>
    <t>IS_MERGER_ACQUISITION_EXPENSE</t>
  </si>
  <si>
    <t xml:space="preserve">    + Unrealized Investments</t>
  </si>
  <si>
    <t>IS_UNREALIZED_INVESTMENTS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</si>
  <si>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</si>
  <si>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</si>
  <si>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</si>
  <si>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</si>
  <si>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</si>
  <si>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</si>
  <si>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</si>
  <si>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</si>
  <si>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</si>
  <si>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 xml:space="preserve">    + Tax Allowance/Credit</t>
  </si>
  <si>
    <t>IS_TAX_VALN_ALLOWNCE_CREDITS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</si>
  <si>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</si>
  <si>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</si>
  <si>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</si>
  <si>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</si>
  <si>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</si>
  <si>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</si>
  <si>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</si>
  <si>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IS_EXTRAORD_ITEMS_&amp;_ACCTG_CHNG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</si>
  <si>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</si>
  <si>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</si>
  <si>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</si>
  <si>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</si>
  <si>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</si>
  <si>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</si>
  <si>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</si>
  <si>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</si>
  <si>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</si>
  <si>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</si>
  <si>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</si>
  <si>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</si>
  <si>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</si>
  <si>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</si>
  <si>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</si>
  <si>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</si>
  <si>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</si>
  <si>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</si>
  <si>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</si>
  <si>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</si>
  <si>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Ops, GAAP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</si>
  <si>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</si>
  <si>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</si>
  <si>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</si>
  <si>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</si>
  <si>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</si>
  <si>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</si>
  <si>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</si>
  <si>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Ops, GAAP</t>
  </si>
  <si>
    <t>IS_DIL_EPS_BEF_XO</t>
  </si>
  <si>
    <t>Diluted EPS from Cont Ops, Adjusted</t>
  </si>
  <si>
    <t>IS_DIL_EPS_CONT_OPS</t>
  </si>
  <si>
    <t>Balance Sheet</t>
  </si>
  <si>
    <t>Total Assets</t>
  </si>
  <si>
    <t xml:space="preserve">  + Cash, Cash Equivalents &amp; STI</t>
  </si>
  <si>
    <t>C&amp;CE_AND_STI_DETAILED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</si>
  <si>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</si>
  <si>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</si>
  <si>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</si>
  <si>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</si>
  <si>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</si>
  <si>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</si>
  <si>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</si>
  <si>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</si>
  <si>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</si>
  <si>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</si>
  <si>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</si>
  <si>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</si>
  <si>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</si>
  <si>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</si>
  <si>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</si>
  <si>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</si>
  <si>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</si>
  <si>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</si>
  <si>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</si>
  <si>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</si>
  <si>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</si>
  <si>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</si>
  <si>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Derivative &amp; Hedging Assets</t>
  </si>
  <si>
    <t>BS_DERIV_&amp;_HEDGING_ASSETS_ST</t>
  </si>
  <si>
    <t xml:space="preserve">    + Taxes Receivable</t>
  </si>
  <si>
    <t>BS_TAXES_RECEIVABLE_SHORT_TERM</t>
  </si>
  <si>
    <t xml:space="preserve">    + Misc ST Assets</t>
  </si>
  <si>
    <t>BS_OTHER_CUR_ASSET_LESS_PREPAY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</si>
  <si>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</si>
  <si>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</si>
  <si>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</si>
  <si>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</si>
  <si>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</si>
  <si>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</si>
  <si>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</si>
  <si>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</si>
  <si>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</si>
  <si>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</si>
  <si>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</si>
  <si>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</si>
  <si>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</si>
  <si>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</si>
  <si>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</si>
  <si>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</si>
  <si>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</si>
  <si>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</si>
  <si>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Deferred Tax Assets</t>
  </si>
  <si>
    <t>BS_DEFERRED_TAX_ASSETS_LT</t>
  </si>
  <si>
    <t>BS_DERIV_&amp;_HEDGING_ASSETS_LT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</si>
  <si>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</si>
  <si>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</si>
  <si>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</si>
  <si>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</si>
  <si>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</si>
  <si>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</si>
  <si>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</si>
  <si>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ACCT_PAYABLE_&amp;_ACCRUALS_DETAILED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</si>
  <si>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</si>
  <si>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</si>
  <si>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</si>
  <si>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</si>
  <si>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Interest &amp; Dividends Payable</t>
  </si>
  <si>
    <t>BS_INTEREST_&amp;_DIVIDENDS_PAYABLE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</si>
  <si>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</si>
  <si>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</si>
  <si>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</si>
  <si>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</si>
  <si>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</si>
  <si>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</si>
  <si>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</si>
  <si>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</si>
  <si>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</si>
  <si>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</si>
  <si>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  + ST Operating Leases</t>
  </si>
  <si>
    <t>BS_ST_OPERATING_LEASE_LIABS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</si>
  <si>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</si>
  <si>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</si>
  <si>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</si>
  <si>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</si>
  <si>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</si>
  <si>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BS_DERIVATIVE_&amp;_HEDGING_LIABS_ST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</si>
  <si>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</si>
  <si>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</si>
  <si>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</si>
  <si>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</si>
  <si>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</si>
  <si>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</si>
  <si>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</si>
  <si>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</si>
  <si>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</si>
  <si>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</si>
  <si>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+ LT Finance Leases</t>
  </si>
  <si>
    <t>LT_CAPITAL_LEASE_OBLIGATIONS</t>
  </si>
  <si>
    <t xml:space="preserve">    + LT Operating Leases</t>
  </si>
  <si>
    <t>BS_LT_OPERATING_LEASE_LIABS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</si>
  <si>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</si>
  <si>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</si>
  <si>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</si>
  <si>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</si>
  <si>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</si>
  <si>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</si>
  <si>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</si>
  <si>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</si>
  <si>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</si>
  <si>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</si>
  <si>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>LT_DEFERRED_REVENUE</t>
  </si>
  <si>
    <t xml:space="preserve">    + Deferred Tax Liabilities</t>
  </si>
  <si>
    <t>BS_DEFERRED_TAX_LIABILITIES_LT</t>
  </si>
  <si>
    <t>BS_DERIVATIVE_&amp;_HEDGING_LIABS_LT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</si>
  <si>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</si>
  <si>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</si>
  <si>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</si>
  <si>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</si>
  <si>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</si>
  <si>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</si>
  <si>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</si>
  <si>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BS_PFD_EQTY_&amp;_HYBRID_CPTL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</si>
  <si>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</si>
  <si>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</si>
  <si>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</si>
  <si>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</si>
  <si>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</si>
  <si>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</si>
  <si>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</si>
  <si>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</si>
  <si>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</si>
  <si>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</si>
  <si>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+Mock Dividend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</si>
  <si>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</si>
  <si>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</si>
  <si>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</si>
  <si>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</si>
  <si>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</si>
  <si>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</si>
  <si>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</si>
  <si>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</si>
  <si>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</si>
  <si>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</si>
  <si>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Balance Check</t>
  </si>
  <si>
    <t>Cash Flow Statement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</si>
  <si>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</si>
  <si>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</si>
  <si>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</si>
  <si>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</si>
  <si>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</si>
  <si>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</si>
  <si>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</si>
  <si>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</si>
  <si>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</si>
  <si>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</si>
  <si>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</si>
  <si>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</si>
  <si>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</si>
  <si>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</si>
  <si>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</si>
  <si>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</si>
  <si>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</si>
  <si>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</si>
  <si>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</si>
  <si>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</si>
  <si>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</si>
  <si>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</si>
  <si>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</si>
  <si>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</si>
  <si>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</si>
  <si>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</si>
  <si>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</si>
  <si>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</si>
  <si>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</si>
  <si>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</si>
  <si>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</si>
  <si>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</si>
  <si>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</si>
  <si>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</si>
  <si>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</si>
  <si>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</si>
  <si>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ACQUIS_FXD_&amp;_INTANG_DETAILED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</si>
  <si>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</si>
  <si>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</si>
  <si>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</si>
  <si>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</si>
  <si>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</si>
  <si>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</si>
  <si>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</si>
  <si>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</si>
  <si>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</si>
  <si>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</si>
  <si>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</si>
  <si>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</si>
  <si>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</si>
  <si>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</si>
  <si>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</si>
  <si>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</si>
  <si>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</si>
  <si>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</si>
  <si>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</si>
  <si>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</si>
  <si>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</si>
  <si>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</si>
  <si>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</si>
  <si>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</si>
  <si>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</si>
  <si>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</si>
  <si>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</si>
  <si>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</si>
  <si>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CF_NET_CHG_IN_ST_DBT_&amp;_CPTL_LEAS</t>
  </si>
  <si>
    <t xml:space="preserve">    + Cash From LT Debt</t>
  </si>
  <si>
    <t>CF_PROC_LT_DEBT_&amp;_CAPITAL_LEASE</t>
  </si>
  <si>
    <t xml:space="preserve">    + Repayments of LT Debt</t>
  </si>
  <si>
    <t>CF_PYMT_LT_DEBT_&amp;_CAPITAL_LEASE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</si>
  <si>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</si>
  <si>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</si>
  <si>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</si>
  <si>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</si>
  <si>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</si>
  <si>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</si>
  <si>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</si>
  <si>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</si>
  <si>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</si>
  <si>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</si>
  <si>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</si>
  <si>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</si>
  <si>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</si>
  <si>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</si>
  <si>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DCF Analysis</t>
  </si>
  <si>
    <t>Net debt</t>
  </si>
  <si>
    <t>Capex</t>
  </si>
  <si>
    <t>Free Cash Flow to Equity (FCFE)</t>
  </si>
  <si>
    <t>Free Cash Flow to Firm (FCFF)</t>
  </si>
  <si>
    <t>Cost of Equity</t>
  </si>
  <si>
    <t>Discount Factor</t>
  </si>
  <si>
    <t>Discounted FCFE</t>
  </si>
  <si>
    <t>Equity Value</t>
  </si>
  <si>
    <t>Basic Share outstanding</t>
  </si>
  <si>
    <t>Per share price</t>
  </si>
  <si>
    <t>Debt/Asset</t>
  </si>
  <si>
    <t>Cost of Debt</t>
  </si>
  <si>
    <t>Beta</t>
  </si>
  <si>
    <t>RP</t>
  </si>
  <si>
    <t>RFR</t>
  </si>
  <si>
    <t>WACC</t>
  </si>
  <si>
    <t>Comparable Company analysis</t>
  </si>
  <si>
    <t>P/E</t>
  </si>
  <si>
    <t>EV/EBITDA</t>
  </si>
  <si>
    <t>EV/Revenue</t>
  </si>
  <si>
    <t>P/B</t>
  </si>
  <si>
    <t>VF Corp</t>
  </si>
  <si>
    <t>Adidas AG</t>
  </si>
  <si>
    <t>Under Armour Inc.</t>
  </si>
  <si>
    <t>Puma SE</t>
  </si>
  <si>
    <t>Nike Inc.</t>
  </si>
  <si>
    <t>Peer Group Average</t>
  </si>
  <si>
    <t>Lululemon Athletica Inc</t>
  </si>
  <si>
    <t>Lululemon Athletica  Inc. 5Y average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</si>
</sst>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#,##0.0"/>
    <numFmt numFmtId="177" formatCode="_-&quot;$&quot;* #,##0_-;\-&quot;$&quot;* #,##0_-;_-&quot;$&quot;* &quot;-&quot;_-;_-@_-"/>
    <numFmt numFmtId="43" formatCode="_-* #,##0.00_-;\-* #,##0.00_-;_-* &quot;-&quot;??_-;_-@_-"/>
    <numFmt numFmtId="178" formatCode="_-&quot;$&quot;* #,##0.00_-;\-&quot;$&quot;* #,##0.00_-;_-&quot;$&quot;* \-??_-;_-@_-"/>
    <numFmt numFmtId="179" formatCode="0.0%"/>
  </numFmts>
  <fonts count="33">
    <font>
      <sz val="11"/>
      <color theme="1"/>
      <name val="Calibri"/>
      <charset val="134"/>
      <scheme val="minor"/>
    </font>
    <font>
      <b/>
      <sz val="11"/>
      <color indexed="9"/>
      <name val="Calibri"/>
      <charset val="134"/>
    </font>
    <font>
      <b/>
      <sz val="16"/>
      <color indexed="9"/>
      <name val="Arial"/>
      <charset val="134"/>
    </font>
    <font>
      <b/>
      <sz val="10"/>
      <name val="Arial"/>
      <charset val="134"/>
    </font>
    <font>
      <sz val="10"/>
      <name val="Calibri"/>
      <charset val="134"/>
    </font>
    <font>
      <b/>
      <sz val="10"/>
      <color indexed="9"/>
      <name val="Arial"/>
      <charset val="134"/>
    </font>
    <font>
      <b/>
      <sz val="10"/>
      <color indexed="8"/>
      <name val="Arial"/>
      <charset val="134"/>
    </font>
    <font>
      <sz val="10"/>
      <color indexed="63"/>
      <name val="Arial"/>
      <charset val="134"/>
    </font>
    <font>
      <sz val="10"/>
      <color indexed="8"/>
      <name val="Arial"/>
      <charset val="134"/>
    </font>
    <font>
      <i/>
      <sz val="10"/>
      <color indexed="63"/>
      <name val="Arial"/>
      <charset val="134"/>
    </font>
    <font>
      <i/>
      <sz val="10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0" fillId="9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3" borderId="0" applyNumberFormat="0" applyBorder="0" applyProtection="0">
      <alignment horizontal="center"/>
    </xf>
    <xf numFmtId="0" fontId="20" fillId="14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2" fillId="16" borderId="14" applyNumberFormat="0" applyAlignment="0" applyProtection="0"/>
    <xf numFmtId="0" fontId="23" fillId="0" borderId="16" applyNumberFormat="0" applyFill="0" applyAlignment="0" applyProtection="0"/>
    <xf numFmtId="0" fontId="0" fillId="10" borderId="12" applyNumberFormat="0" applyFont="0" applyAlignment="0" applyProtection="0"/>
    <xf numFmtId="0" fontId="0" fillId="13" borderId="0" applyNumberFormat="0" applyBorder="0" applyAlignment="0" applyProtection="0"/>
    <xf numFmtId="0" fontId="24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7" applyNumberFormat="0" applyFill="0" applyAlignment="0" applyProtection="0"/>
    <xf numFmtId="0" fontId="17" fillId="0" borderId="10" applyNumberFormat="0" applyFill="0" applyAlignment="0" applyProtection="0"/>
    <xf numFmtId="0" fontId="17" fillId="0" borderId="0" applyNumberFormat="0" applyFill="0" applyBorder="0" applyAlignment="0" applyProtection="0"/>
    <xf numFmtId="176" fontId="10" fillId="8" borderId="3">
      <alignment horizontal="right"/>
    </xf>
    <xf numFmtId="0" fontId="21" fillId="15" borderId="13" applyNumberFormat="0" applyAlignment="0" applyProtection="0"/>
    <xf numFmtId="0" fontId="20" fillId="12" borderId="0" applyNumberFormat="0" applyBorder="0" applyAlignment="0" applyProtection="0"/>
    <xf numFmtId="0" fontId="28" fillId="22" borderId="0" applyNumberFormat="0" applyBorder="0" applyAlignment="0" applyProtection="0"/>
    <xf numFmtId="0" fontId="18" fillId="6" borderId="11" applyNumberFormat="0" applyAlignment="0" applyProtection="0"/>
    <xf numFmtId="0" fontId="0" fillId="23" borderId="0" applyNumberFormat="0" applyBorder="0" applyAlignment="0" applyProtection="0"/>
    <xf numFmtId="0" fontId="29" fillId="6" borderId="13" applyNumberFormat="0" applyAlignment="0" applyProtection="0"/>
    <xf numFmtId="0" fontId="15" fillId="0" borderId="9" applyNumberFormat="0" applyFill="0" applyAlignment="0" applyProtection="0"/>
    <xf numFmtId="0" fontId="11" fillId="0" borderId="18" applyNumberFormat="0" applyFill="0" applyAlignment="0" applyProtection="0"/>
    <xf numFmtId="0" fontId="14" fillId="7" borderId="0" applyNumberFormat="0" applyBorder="0" applyAlignment="0" applyProtection="0"/>
    <xf numFmtId="0" fontId="30" fillId="25" borderId="0" applyNumberFormat="0" applyBorder="0" applyAlignment="0" applyProtection="0"/>
    <xf numFmtId="0" fontId="20" fillId="24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2" borderId="0" applyNumberFormat="0" applyBorder="0" applyAlignment="0" applyProtection="0"/>
    <xf numFmtId="0" fontId="20" fillId="21" borderId="0" applyNumberFormat="0" applyBorder="0" applyAlignment="0" applyProtection="0"/>
    <xf numFmtId="0" fontId="5" fillId="2" borderId="4">
      <alignment horizontal="right"/>
    </xf>
    <xf numFmtId="0" fontId="0" fillId="27" borderId="0" applyNumberFormat="0" applyBorder="0" applyAlignment="0" applyProtection="0"/>
    <xf numFmtId="0" fontId="20" fillId="17" borderId="0" applyNumberFormat="0" applyBorder="0" applyAlignment="0" applyProtection="0"/>
    <xf numFmtId="176" fontId="6" fillId="3" borderId="3">
      <alignment horizontal="right"/>
    </xf>
    <xf numFmtId="0" fontId="0" fillId="19" borderId="0" applyNumberFormat="0" applyBorder="0" applyAlignment="0" applyProtection="0"/>
    <xf numFmtId="0" fontId="20" fillId="11" borderId="0" applyNumberFormat="0" applyBorder="0" applyAlignment="0" applyProtection="0"/>
    <xf numFmtId="0" fontId="0" fillId="20" borderId="0" applyNumberFormat="0" applyBorder="0" applyAlignment="0" applyProtection="0"/>
    <xf numFmtId="0" fontId="0" fillId="33" borderId="0" applyNumberFormat="0" applyBorder="0" applyAlignment="0" applyProtection="0"/>
    <xf numFmtId="0" fontId="20" fillId="26" borderId="0" applyNumberFormat="0" applyBorder="0" applyAlignment="0" applyProtection="0"/>
    <xf numFmtId="176" fontId="6" fillId="3" borderId="5">
      <alignment horizontal="right"/>
    </xf>
    <xf numFmtId="0" fontId="0" fillId="34" borderId="0" applyNumberFormat="0" applyBorder="0" applyAlignment="0" applyProtection="0"/>
    <xf numFmtId="176" fontId="6" fillId="8" borderId="3">
      <alignment horizontal="right"/>
    </xf>
    <xf numFmtId="0" fontId="20" fillId="31" borderId="0" applyNumberFormat="0" applyBorder="0" applyAlignment="0" applyProtection="0"/>
    <xf numFmtId="0" fontId="20" fillId="35" borderId="0" applyNumberFormat="0" applyBorder="0" applyAlignment="0" applyProtection="0"/>
    <xf numFmtId="0" fontId="5" fillId="2" borderId="7">
      <alignment horizontal="right"/>
    </xf>
    <xf numFmtId="0" fontId="0" fillId="36" borderId="0" applyNumberFormat="0" applyBorder="0" applyAlignment="0" applyProtection="0"/>
    <xf numFmtId="3" fontId="6" fillId="8" borderId="3">
      <alignment horizontal="right"/>
    </xf>
    <xf numFmtId="0" fontId="5" fillId="2" borderId="7">
      <alignment horizontal="left"/>
    </xf>
    <xf numFmtId="0" fontId="20" fillId="37" borderId="0" applyNumberFormat="0" applyBorder="0" applyAlignment="0" applyProtection="0"/>
    <xf numFmtId="0" fontId="1" fillId="2" borderId="0"/>
    <xf numFmtId="0" fontId="2" fillId="2" borderId="1" applyNumberFormat="0" applyProtection="0">
      <alignment horizontal="left" vertical="center" readingOrder="1"/>
    </xf>
    <xf numFmtId="4" fontId="6" fillId="8" borderId="3">
      <alignment horizontal="right"/>
    </xf>
    <xf numFmtId="0" fontId="5" fillId="2" borderId="4">
      <alignment horizontal="left"/>
    </xf>
    <xf numFmtId="3" fontId="8" fillId="8" borderId="3">
      <alignment horizontal="right"/>
    </xf>
    <xf numFmtId="3" fontId="6" fillId="3" borderId="3">
      <alignment horizontal="right"/>
    </xf>
    <xf numFmtId="4" fontId="6" fillId="3" borderId="3">
      <alignment horizontal="right"/>
    </xf>
    <xf numFmtId="176" fontId="8" fillId="8" borderId="3">
      <alignment horizontal="right"/>
    </xf>
    <xf numFmtId="4" fontId="8" fillId="8" borderId="3">
      <alignment horizontal="right"/>
    </xf>
    <xf numFmtId="176" fontId="10" fillId="3" borderId="3">
      <alignment horizontal="right"/>
    </xf>
    <xf numFmtId="3" fontId="8" fillId="3" borderId="3">
      <alignment horizontal="right"/>
    </xf>
    <xf numFmtId="176" fontId="8" fillId="3" borderId="3">
      <alignment horizontal="right"/>
    </xf>
    <xf numFmtId="4" fontId="8" fillId="3" borderId="3">
      <alignment horizontal="right"/>
    </xf>
    <xf numFmtId="0" fontId="10" fillId="6" borderId="6" applyNumberFormat="0" applyAlignment="0" applyProtection="0"/>
    <xf numFmtId="0" fontId="6" fillId="3" borderId="5"/>
    <xf numFmtId="0" fontId="9" fillId="3" borderId="5"/>
    <xf numFmtId="0" fontId="7" fillId="3" borderId="5"/>
    <xf numFmtId="10" fontId="6" fillId="3" borderId="15">
      <alignment horizontal="right"/>
    </xf>
    <xf numFmtId="0" fontId="5" fillId="2" borderId="7">
      <alignment horizontal="centerContinuous"/>
    </xf>
    <xf numFmtId="0" fontId="5" fillId="2" borderId="4">
      <alignment horizontal="centerContinuous"/>
    </xf>
    <xf numFmtId="179" fontId="6" fillId="3" borderId="15">
      <alignment horizontal="right"/>
    </xf>
    <xf numFmtId="179" fontId="8" fillId="3" borderId="15">
      <alignment horizontal="right"/>
    </xf>
    <xf numFmtId="4" fontId="6" fillId="3" borderId="5">
      <alignment horizontal="right"/>
    </xf>
    <xf numFmtId="176" fontId="8" fillId="3" borderId="5">
      <alignment horizontal="right"/>
    </xf>
    <xf numFmtId="4" fontId="8" fillId="3" borderId="5">
      <alignment horizontal="right"/>
    </xf>
    <xf numFmtId="10" fontId="8" fillId="3" borderId="15">
      <alignment horizontal="right"/>
    </xf>
  </cellStyleXfs>
  <cellXfs count="45">
    <xf numFmtId="0" fontId="0" fillId="0" borderId="0" xfId="0"/>
    <xf numFmtId="0" fontId="1" fillId="2" borderId="0" xfId="58" applyNumberFormat="1" applyFont="1" applyFill="1" applyBorder="1" applyAlignment="1" applyProtection="1"/>
    <xf numFmtId="0" fontId="2" fillId="2" borderId="1" xfId="59" applyFont="1" applyFill="1" applyBorder="1" applyAlignment="1">
      <alignment horizontal="left" vertical="center" readingOrder="1"/>
    </xf>
    <xf numFmtId="10" fontId="0" fillId="0" borderId="0" xfId="0" applyNumberFormat="1"/>
    <xf numFmtId="176" fontId="0" fillId="0" borderId="0" xfId="0" applyNumberFormat="1"/>
    <xf numFmtId="4" fontId="0" fillId="0" borderId="0" xfId="0" applyNumberFormat="1"/>
    <xf numFmtId="0" fontId="3" fillId="3" borderId="2" xfId="8" applyFont="1" applyFill="1" applyBorder="1" applyAlignment="1">
      <alignment horizontal="center"/>
    </xf>
    <xf numFmtId="0" fontId="4" fillId="3" borderId="0" xfId="8" applyFont="1" applyFill="1" applyBorder="1" applyAlignment="1">
      <alignment horizontal="center"/>
    </xf>
    <xf numFmtId="0" fontId="4" fillId="3" borderId="2" xfId="8" applyFont="1" applyFill="1" applyBorder="1" applyAlignment="1">
      <alignment horizontal="center"/>
    </xf>
    <xf numFmtId="0" fontId="5" fillId="2" borderId="3" xfId="56" applyNumberFormat="1" applyFont="1" applyFill="1" applyBorder="1" applyAlignment="1" applyProtection="1">
      <alignment horizontal="left"/>
    </xf>
    <xf numFmtId="0" fontId="5" fillId="4" borderId="3" xfId="53" applyNumberFormat="1" applyFont="1" applyFill="1" applyBorder="1" applyAlignment="1" applyProtection="1">
      <alignment horizontal="right"/>
    </xf>
    <xf numFmtId="0" fontId="5" fillId="2" borderId="4" xfId="61">
      <alignment horizontal="left"/>
    </xf>
    <xf numFmtId="0" fontId="5" fillId="4" borderId="4" xfId="39" applyNumberFormat="1" applyFont="1" applyFill="1" applyBorder="1" applyAlignment="1" applyProtection="1">
      <alignment horizontal="right"/>
    </xf>
    <xf numFmtId="0" fontId="6" fillId="3" borderId="5" xfId="72" applyNumberFormat="1" applyFont="1" applyFill="1" applyBorder="1" applyAlignment="1" applyProtection="1"/>
    <xf numFmtId="176" fontId="6" fillId="3" borderId="3" xfId="42" applyNumberFormat="1" applyFont="1" applyFill="1" applyBorder="1" applyAlignment="1" applyProtection="1">
      <alignment horizontal="right"/>
    </xf>
    <xf numFmtId="0" fontId="7" fillId="3" borderId="5" xfId="74" applyNumberFormat="1" applyFont="1" applyFill="1" applyBorder="1" applyAlignment="1" applyProtection="1"/>
    <xf numFmtId="176" fontId="8" fillId="3" borderId="5" xfId="81" applyNumberFormat="1" applyFont="1" applyFill="1" applyBorder="1" applyAlignment="1" applyProtection="1">
      <alignment horizontal="right"/>
    </xf>
    <xf numFmtId="176" fontId="8" fillId="3" borderId="3" xfId="69" applyNumberFormat="1" applyFont="1" applyFill="1" applyBorder="1" applyAlignment="1" applyProtection="1">
      <alignment horizontal="right"/>
    </xf>
    <xf numFmtId="0" fontId="9" fillId="3" borderId="5" xfId="73" applyNumberFormat="1" applyFont="1" applyFill="1" applyBorder="1" applyAlignment="1" applyProtection="1"/>
    <xf numFmtId="176" fontId="10" fillId="3" borderId="3" xfId="67" applyNumberFormat="1" applyFont="1" applyFill="1" applyBorder="1" applyAlignment="1" applyProtection="1">
      <alignment horizontal="right"/>
    </xf>
    <xf numFmtId="0" fontId="11" fillId="5" borderId="0" xfId="0" applyFont="1" applyFill="1"/>
    <xf numFmtId="0" fontId="0" fillId="5" borderId="0" xfId="0" applyFill="1"/>
    <xf numFmtId="0" fontId="11" fillId="0" borderId="0" xfId="0" applyFont="1"/>
    <xf numFmtId="10" fontId="0" fillId="0" borderId="0" xfId="0" applyNumberFormat="1" applyFont="1" applyFill="1" applyBorder="1" applyAlignment="1" applyProtection="1"/>
    <xf numFmtId="2" fontId="0" fillId="0" borderId="0" xfId="0" applyNumberFormat="1"/>
    <xf numFmtId="0" fontId="5" fillId="2" borderId="3" xfId="53" applyNumberFormat="1" applyFont="1" applyFill="1" applyBorder="1" applyAlignment="1" applyProtection="1">
      <alignment horizontal="right"/>
    </xf>
    <xf numFmtId="0" fontId="5" fillId="2" borderId="3" xfId="53" applyNumberFormat="1" applyFont="1" applyFill="1" applyBorder="1" applyAlignment="1" applyProtection="1">
      <alignment horizontal="left"/>
    </xf>
    <xf numFmtId="0" fontId="5" fillId="2" borderId="4" xfId="39" applyNumberFormat="1" applyFont="1" applyFill="1" applyBorder="1" applyAlignment="1" applyProtection="1">
      <alignment horizontal="right"/>
    </xf>
    <xf numFmtId="176" fontId="8" fillId="3" borderId="3" xfId="81" applyNumberFormat="1" applyFont="1" applyFill="1" applyBorder="1" applyAlignment="1" applyProtection="1">
      <alignment horizontal="right"/>
    </xf>
    <xf numFmtId="176" fontId="8" fillId="3" borderId="3" xfId="42" applyNumberFormat="1" applyFont="1" applyFill="1" applyBorder="1" applyAlignment="1" applyProtection="1">
      <alignment horizontal="right"/>
    </xf>
    <xf numFmtId="3" fontId="6" fillId="3" borderId="3" xfId="63" applyNumberFormat="1" applyFont="1" applyFill="1" applyBorder="1" applyAlignment="1" applyProtection="1">
      <alignment horizontal="right"/>
    </xf>
    <xf numFmtId="4" fontId="6" fillId="3" borderId="3" xfId="64" applyNumberFormat="1" applyFont="1" applyFill="1" applyBorder="1" applyAlignment="1" applyProtection="1">
      <alignment horizontal="right"/>
    </xf>
    <xf numFmtId="0" fontId="10" fillId="6" borderId="6" xfId="71" applyFont="1" applyFill="1" applyBorder="1"/>
    <xf numFmtId="0" fontId="12" fillId="0" borderId="2" xfId="0" applyFont="1" applyBorder="1"/>
    <xf numFmtId="0" fontId="5" fillId="2" borderId="7" xfId="56" applyNumberFormat="1" applyFont="1" applyFill="1" applyBorder="1" applyAlignment="1" applyProtection="1">
      <alignment horizontal="left"/>
    </xf>
    <xf numFmtId="0" fontId="5" fillId="4" borderId="7" xfId="53" applyNumberFormat="1" applyFont="1" applyFill="1" applyBorder="1" applyAlignment="1" applyProtection="1">
      <alignment horizontal="right"/>
    </xf>
    <xf numFmtId="176" fontId="6" fillId="3" borderId="3" xfId="69" applyNumberFormat="1" applyFont="1" applyFill="1" applyBorder="1" applyAlignment="1" applyProtection="1">
      <alignment horizontal="right"/>
    </xf>
    <xf numFmtId="0" fontId="13" fillId="3" borderId="5" xfId="74" applyNumberFormat="1" applyFont="1" applyFill="1" applyBorder="1" applyAlignment="1" applyProtection="1"/>
    <xf numFmtId="176" fontId="13" fillId="3" borderId="3" xfId="69" applyNumberFormat="1" applyFont="1" applyFill="1" applyBorder="1" applyAlignment="1" applyProtection="1">
      <alignment horizontal="right"/>
    </xf>
    <xf numFmtId="0" fontId="0" fillId="0" borderId="6" xfId="0" applyBorder="1"/>
    <xf numFmtId="10" fontId="0" fillId="0" borderId="6" xfId="0" applyNumberFormat="1" applyBorder="1"/>
    <xf numFmtId="0" fontId="6" fillId="3" borderId="8" xfId="72" applyNumberFormat="1" applyFont="1" applyFill="1" applyBorder="1" applyAlignment="1" applyProtection="1"/>
    <xf numFmtId="176" fontId="6" fillId="3" borderId="4" xfId="42" applyNumberFormat="1" applyFont="1" applyFill="1" applyBorder="1" applyAlignment="1" applyProtection="1">
      <alignment horizontal="right"/>
    </xf>
    <xf numFmtId="0" fontId="0" fillId="0" borderId="0" xfId="0" applyFont="1"/>
    <xf numFmtId="0" fontId="0" fillId="0" borderId="0" xfId="0" applyAlignment="1">
      <alignment horizontal="right"/>
    </xf>
  </cellXfs>
  <cellStyles count="8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fa_column_header_empty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fa_data_current_italic_1_grouped" xfId="22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60% - Accent2" xfId="38" builtinId="36"/>
    <cellStyle name="fa_column_header_bottom" xfId="39"/>
    <cellStyle name="20% - Accent6" xfId="40" builtinId="50"/>
    <cellStyle name="Accent3" xfId="41" builtinId="37"/>
    <cellStyle name="fa_data_bold_1_grouped" xfId="42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fa_data_bold_1_grouped_single_border" xfId="48"/>
    <cellStyle name="40% - Accent5" xfId="49" builtinId="47"/>
    <cellStyle name="fa_data_current_bold_1_grouped" xfId="50"/>
    <cellStyle name="60% - Accent5" xfId="51" builtinId="48"/>
    <cellStyle name="Accent6" xfId="52" builtinId="49"/>
    <cellStyle name="fa_column_header_top" xfId="53"/>
    <cellStyle name="40% - Accent6" xfId="54" builtinId="51"/>
    <cellStyle name="fa_data_current_bold_0_grouped" xfId="55"/>
    <cellStyle name="fa_column_header_top_left" xfId="56"/>
    <cellStyle name="60% - Accent6" xfId="57" builtinId="52"/>
    <cellStyle name="blp_column_header" xfId="58"/>
    <cellStyle name="blp_title_header_row_left" xfId="59"/>
    <cellStyle name="fa_data_current_bold_2_grouped" xfId="60"/>
    <cellStyle name="fa_column_header_bottom_left" xfId="61"/>
    <cellStyle name="fa_data_current_standard_0_grouped" xfId="62"/>
    <cellStyle name="fa_data_bold_0_grouped" xfId="63"/>
    <cellStyle name="fa_data_bold_2_grouped" xfId="64"/>
    <cellStyle name="fa_data_current_standard_1_grouped" xfId="65"/>
    <cellStyle name="fa_data_current_standard_2_grouped" xfId="66"/>
    <cellStyle name="fa_data_italic_1_grouped" xfId="67"/>
    <cellStyle name="fa_data_standard_0_grouped" xfId="68"/>
    <cellStyle name="fa_data_standard_1_grouped" xfId="69"/>
    <cellStyle name="fa_data_standard_2_grouped" xfId="70"/>
    <cellStyle name="fa_footer_italic" xfId="71"/>
    <cellStyle name="fa_row_header_bold" xfId="72"/>
    <cellStyle name="fa_row_header_italic" xfId="73"/>
    <cellStyle name="fa_row_header_standard" xfId="74"/>
    <cellStyle name="fa_data_bold_2_percent_single_border" xfId="75"/>
    <cellStyle name="fa_column_header_top_centered" xfId="76"/>
    <cellStyle name="fa_column_header_bottom_centered" xfId="77"/>
    <cellStyle name="fa_data_bold_1_percent_single_border" xfId="78"/>
    <cellStyle name="fa_data_standard_1_percent_single_border" xfId="79"/>
    <cellStyle name="fa_data_bold_2_grouped_single_border" xfId="80"/>
    <cellStyle name="fa_data_standard_1_grouped_single_border" xfId="81"/>
    <cellStyle name="fa_data_standard_2_grouped_single_border" xfId="82"/>
    <cellStyle name="fa_data_standard_2_percent_single_border" xfId="8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7"/>
  <sheetViews>
    <sheetView tabSelected="1" topLeftCell="A232" workbookViewId="0">
      <selection activeCell="M9" sqref="M9"/>
    </sheetView>
  </sheetViews>
  <sheetFormatPr defaultColWidth="9" defaultRowHeight="15"/>
  <cols>
    <col min="1" max="1" width="35.1428571428571" customWidth="1"/>
    <col min="2" max="2" width="9" hidden="1" customWidth="1"/>
    <col min="3" max="3" width="14.7142857142857" customWidth="1"/>
    <col min="4" max="8" width="11.8571428571429" customWidth="1"/>
    <col min="9" max="9" width="14.1428571428571" customWidth="1"/>
    <col min="10" max="10" width="13.2857142857143" customWidth="1"/>
    <col min="11" max="11" width="13.1428571428571" customWidth="1"/>
    <col min="12" max="12" width="12.8571428571429" customWidth="1"/>
    <col min="13" max="13" width="11.8571428571429" customWidth="1"/>
    <col min="14" max="14" width="11.5714285714286" customWidth="1"/>
    <col min="15" max="15" width="12.8571428571429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20.25" spans="1:1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1" spans="10:15">
      <c r="J3" s="20" t="str">
        <f>J34</f>
        <v>FY 2022 Est</v>
      </c>
      <c r="K3" s="20" t="str">
        <f>K34</f>
        <v>FY 2023 Est</v>
      </c>
      <c r="L3" s="20" t="str">
        <f>L34</f>
        <v>FY 2024 Est</v>
      </c>
      <c r="M3" s="20" t="str">
        <f>M34</f>
        <v>FY 2025 Est</v>
      </c>
      <c r="N3" s="20" t="str">
        <f>N34</f>
        <v>FY 2026 Est and after</v>
      </c>
      <c r="O3" s="21" t="s">
        <v>1</v>
      </c>
    </row>
    <row r="4" customFormat="1" spans="1:15">
      <c r="A4" s="1" t="s">
        <v>2</v>
      </c>
      <c r="J4" s="20" t="str">
        <f>J35</f>
        <v>01/31/2022</v>
      </c>
      <c r="K4" s="20" t="str">
        <f>K35</f>
        <v>01/31/2023</v>
      </c>
      <c r="L4" s="20" t="str">
        <f>L35</f>
        <v>01/31/2024</v>
      </c>
      <c r="M4" s="20" t="str">
        <f>M35</f>
        <v>01/31/2025</v>
      </c>
      <c r="N4" s="20" t="str">
        <f>N35</f>
        <v>01/31/2026</v>
      </c>
      <c r="O4" s="21" t="s">
        <v>3</v>
      </c>
    </row>
    <row r="5" customFormat="1" spans="9:15">
      <c r="I5" s="22" t="s">
        <v>4</v>
      </c>
      <c r="O5" s="3">
        <f>0.03</f>
        <v>0.03</v>
      </c>
    </row>
    <row r="6" customFormat="1" spans="9:14">
      <c r="I6" t="s">
        <v>5</v>
      </c>
      <c r="J6" s="23">
        <f>0.5</f>
        <v>0.5</v>
      </c>
      <c r="K6" s="23">
        <f>0.3</f>
        <v>0.3</v>
      </c>
      <c r="L6" s="3">
        <f>0.3</f>
        <v>0.3</v>
      </c>
      <c r="M6" s="3">
        <f>0.1</f>
        <v>0.1</v>
      </c>
      <c r="N6" s="3">
        <f>0.05</f>
        <v>0.05</v>
      </c>
    </row>
    <row r="7" customFormat="1" spans="9:14">
      <c r="I7" t="s">
        <v>6</v>
      </c>
      <c r="J7" s="3">
        <f>0.3</f>
        <v>0.3</v>
      </c>
      <c r="K7" s="3">
        <f>0.2</f>
        <v>0.2</v>
      </c>
      <c r="L7" s="3">
        <f>0.2</f>
        <v>0.2</v>
      </c>
      <c r="M7" s="3">
        <f>0.1</f>
        <v>0.1</v>
      </c>
      <c r="N7" s="3">
        <f>0.05</f>
        <v>0.05</v>
      </c>
    </row>
    <row r="8" customFormat="1" spans="9:14">
      <c r="I8" t="s">
        <v>7</v>
      </c>
      <c r="J8" s="3">
        <f>0.4</f>
        <v>0.4</v>
      </c>
      <c r="K8" s="3">
        <f>0.2</f>
        <v>0.2</v>
      </c>
      <c r="L8" s="3">
        <f>0.2</f>
        <v>0.2</v>
      </c>
      <c r="M8" s="3">
        <f>0.1</f>
        <v>0.1</v>
      </c>
      <c r="N8" s="3">
        <f>0.05</f>
        <v>0.05</v>
      </c>
    </row>
    <row r="9" customFormat="1" spans="1:14">
      <c r="A9" t="s">
        <v>8</v>
      </c>
      <c r="C9" s="3">
        <f t="shared" ref="C9:I9" si="0">C41/C36</f>
        <v>0.49133463868779</v>
      </c>
      <c r="D9" s="3">
        <f t="shared" si="0"/>
        <v>0.516061698898775</v>
      </c>
      <c r="E9" s="3">
        <f t="shared" si="0"/>
        <v>0.488303577217462</v>
      </c>
      <c r="F9" s="3">
        <f t="shared" si="0"/>
        <v>0.471991532477396</v>
      </c>
      <c r="G9" s="3">
        <f t="shared" si="0"/>
        <v>0.447654865601543</v>
      </c>
      <c r="H9" s="3">
        <f t="shared" si="0"/>
        <v>0.441261469365436</v>
      </c>
      <c r="I9" s="3">
        <f t="shared" si="0"/>
        <v>0.440241087953576</v>
      </c>
      <c r="J9" s="3">
        <f>$H$9</f>
        <v>0.441261469365436</v>
      </c>
      <c r="K9" s="3">
        <f>0.4</f>
        <v>0.4</v>
      </c>
      <c r="L9" s="3">
        <f>0.4</f>
        <v>0.4</v>
      </c>
      <c r="M9" s="3">
        <f>0.4</f>
        <v>0.4</v>
      </c>
      <c r="N9" s="3">
        <f>0.4</f>
        <v>0.4</v>
      </c>
    </row>
    <row r="10" customFormat="1" spans="1:14">
      <c r="A10" t="s">
        <v>9</v>
      </c>
      <c r="C10" s="3">
        <f t="shared" ref="C10:I10" si="1">C46/C36</f>
        <v>0.299434179476779</v>
      </c>
      <c r="D10" s="3">
        <f t="shared" si="1"/>
        <v>0.304820669315509</v>
      </c>
      <c r="E10" s="3">
        <f t="shared" si="1"/>
        <v>0.332054110404745</v>
      </c>
      <c r="F10" s="3">
        <f t="shared" si="1"/>
        <v>0.341337190626084</v>
      </c>
      <c r="G10" s="3">
        <f t="shared" si="1"/>
        <v>0.337695643275485</v>
      </c>
      <c r="H10" s="3">
        <f t="shared" si="1"/>
        <v>0.335304536279784</v>
      </c>
      <c r="I10" s="3">
        <f t="shared" si="1"/>
        <v>0.365526403610822</v>
      </c>
      <c r="J10" s="3">
        <f>$H$10</f>
        <v>0.335304536279784</v>
      </c>
      <c r="K10" s="3">
        <f>$H$10</f>
        <v>0.335304536279784</v>
      </c>
      <c r="L10" s="3">
        <f>$H$10</f>
        <v>0.335304536279784</v>
      </c>
      <c r="M10" s="3">
        <f>$H$10</f>
        <v>0.335304536279784</v>
      </c>
      <c r="N10" s="3">
        <f>$H$10</f>
        <v>0.335304536279784</v>
      </c>
    </row>
    <row r="11" customFormat="1" spans="1:14">
      <c r="A11" t="s">
        <v>10</v>
      </c>
      <c r="C11" s="3">
        <f t="shared" ref="C11:I11" si="2">C62/C60</f>
        <v>0.372808540070732</v>
      </c>
      <c r="D11" s="3">
        <f t="shared" si="2"/>
        <v>0.258003500725926</v>
      </c>
      <c r="E11" s="3">
        <f t="shared" si="2"/>
        <v>0.325305337462062</v>
      </c>
      <c r="F11" s="3">
        <f t="shared" si="2"/>
        <v>0.43613015708764</v>
      </c>
      <c r="G11" s="3">
        <f t="shared" si="2"/>
        <v>0.297091925900035</v>
      </c>
      <c r="H11" s="3">
        <f t="shared" si="2"/>
        <v>0.253404026998205</v>
      </c>
      <c r="I11" s="3">
        <f t="shared" si="2"/>
        <v>0.239594800756697</v>
      </c>
      <c r="J11" s="3">
        <f>0.4</f>
        <v>0.4</v>
      </c>
      <c r="K11" s="3">
        <f>J11</f>
        <v>0.4</v>
      </c>
      <c r="L11" s="3">
        <f>K11</f>
        <v>0.4</v>
      </c>
      <c r="M11" s="3">
        <f>L11</f>
        <v>0.4</v>
      </c>
      <c r="N11" s="3">
        <f>M11</f>
        <v>0.4</v>
      </c>
    </row>
    <row r="12" customFormat="1" spans="1:14">
      <c r="A12" t="s">
        <v>11</v>
      </c>
      <c r="C12" s="3">
        <f>C63/C60</f>
        <v>0.00330431832121837</v>
      </c>
      <c r="D12" s="3">
        <f t="shared" ref="D12:I12" si="3">D63/D60</f>
        <v>0.0200138400792412</v>
      </c>
      <c r="E12" s="3">
        <f t="shared" si="3"/>
        <v>-0.0429778889075507</v>
      </c>
      <c r="F12" s="3">
        <f t="shared" si="3"/>
        <v>0.001558702429141</v>
      </c>
      <c r="G12" s="3">
        <f t="shared" si="3"/>
        <v>0.0264998252359315</v>
      </c>
      <c r="H12" s="3">
        <f t="shared" si="3"/>
        <v>0.0271831850705321</v>
      </c>
      <c r="I12" s="3">
        <f t="shared" si="3"/>
        <v>0.041648868005126</v>
      </c>
      <c r="J12" s="3">
        <f>0.04</f>
        <v>0.04</v>
      </c>
      <c r="K12" s="3">
        <f>0.04</f>
        <v>0.04</v>
      </c>
      <c r="L12" s="3">
        <f>0.04</f>
        <v>0.04</v>
      </c>
      <c r="M12" s="3">
        <f>0.04</f>
        <v>0.04</v>
      </c>
      <c r="N12" s="3">
        <f>0.04</f>
        <v>0.04</v>
      </c>
    </row>
    <row r="13" customFormat="1" spans="1:14">
      <c r="A13" t="s">
        <v>12</v>
      </c>
      <c r="C13" s="4">
        <f t="shared" ref="C13:I13" si="4">(C103/C36)*365</f>
        <v>2.7917058245183</v>
      </c>
      <c r="D13" s="4">
        <f t="shared" si="4"/>
        <v>2.32194447720312</v>
      </c>
      <c r="E13" s="4">
        <f t="shared" si="4"/>
        <v>1.43235431617238</v>
      </c>
      <c r="F13" s="4">
        <f t="shared" si="4"/>
        <v>2.64162584587463</v>
      </c>
      <c r="G13" s="4">
        <f t="shared" si="4"/>
        <v>3.97220890065714</v>
      </c>
      <c r="H13" s="4">
        <f t="shared" si="4"/>
        <v>3.68907841990141</v>
      </c>
      <c r="I13" s="4">
        <f t="shared" si="4"/>
        <v>5.17407111826563</v>
      </c>
      <c r="J13" s="24">
        <f>$H$13</f>
        <v>3.68907841990141</v>
      </c>
      <c r="K13" s="24">
        <f>$H$13</f>
        <v>3.68907841990141</v>
      </c>
      <c r="L13" s="24">
        <f>$H$13</f>
        <v>3.68907841990141</v>
      </c>
      <c r="M13" s="24">
        <f>$H$13</f>
        <v>3.68907841990141</v>
      </c>
      <c r="N13" s="24">
        <f>$H$13</f>
        <v>3.68907841990141</v>
      </c>
    </row>
    <row r="14" customFormat="1" spans="1:14">
      <c r="A14" t="s">
        <v>13</v>
      </c>
      <c r="C14" s="4">
        <f t="shared" ref="C14:I14" si="5">(C108/C36)*365</f>
        <v>42.2667430070893</v>
      </c>
      <c r="D14" s="4">
        <f t="shared" si="5"/>
        <v>51.5105703746088</v>
      </c>
      <c r="E14" s="4">
        <f t="shared" si="5"/>
        <v>47.6548951711147</v>
      </c>
      <c r="F14" s="4">
        <f t="shared" si="5"/>
        <v>47.4915360634098</v>
      </c>
      <c r="G14" s="4">
        <f t="shared" si="5"/>
        <v>46.7229046208716</v>
      </c>
      <c r="H14" s="4">
        <f t="shared" si="5"/>
        <v>49.5845747589523</v>
      </c>
      <c r="I14" s="4">
        <f t="shared" si="5"/>
        <v>56.2357575026483</v>
      </c>
      <c r="J14" s="24">
        <f>50</f>
        <v>50</v>
      </c>
      <c r="K14" s="24">
        <f>45</f>
        <v>45</v>
      </c>
      <c r="L14" s="24">
        <f>45</f>
        <v>45</v>
      </c>
      <c r="M14" s="24">
        <f>45</f>
        <v>45</v>
      </c>
      <c r="N14" s="24">
        <f>45</f>
        <v>45</v>
      </c>
    </row>
    <row r="15" customFormat="1" spans="1:14">
      <c r="A15" t="s">
        <v>14</v>
      </c>
      <c r="C15" s="4">
        <f t="shared" ref="C15:I15" si="6">(C109/C36)*365</f>
        <v>0</v>
      </c>
      <c r="D15" s="4">
        <f t="shared" si="6"/>
        <v>-1.20136004305703</v>
      </c>
      <c r="E15" s="4">
        <f t="shared" si="6"/>
        <v>-1.19181220546735</v>
      </c>
      <c r="F15" s="4">
        <f t="shared" si="6"/>
        <v>-2.08500098709752</v>
      </c>
      <c r="G15" s="4">
        <f t="shared" si="6"/>
        <v>-1.7858623205352</v>
      </c>
      <c r="H15" s="4">
        <f t="shared" si="6"/>
        <v>-2.02409044212846</v>
      </c>
      <c r="I15" s="4">
        <f t="shared" si="6"/>
        <v>-2.56800561760103</v>
      </c>
      <c r="J15" s="24">
        <f>AVERAGE(D15:H15)</f>
        <v>-1.65762519965711</v>
      </c>
      <c r="K15" s="24">
        <f t="shared" ref="K15:K17" si="7">AVERAGE(D15:H15)</f>
        <v>-1.65762519965711</v>
      </c>
      <c r="L15" s="24">
        <f t="shared" ref="L15:L17" si="8">AVERAGE(D15:H15)</f>
        <v>-1.65762519965711</v>
      </c>
      <c r="M15" s="24">
        <f t="shared" ref="M15:M17" si="9">AVERAGE(D15:H15)</f>
        <v>-1.65762519965711</v>
      </c>
      <c r="N15" s="24">
        <f t="shared" ref="N15:N17" si="10">AVERAGE(D15:H15)</f>
        <v>-1.65762519965711</v>
      </c>
    </row>
    <row r="16" customFormat="1" spans="1:14">
      <c r="A16" t="s">
        <v>15</v>
      </c>
      <c r="C16" s="4" t="e">
        <f t="shared" ref="C16:I16" si="11">(C112/C36)*365</f>
        <v>#VALUE!</v>
      </c>
      <c r="D16" s="4">
        <f t="shared" si="11"/>
        <v>16.1999380739744</v>
      </c>
      <c r="E16" s="4">
        <f t="shared" si="11"/>
        <v>12.6405268402213</v>
      </c>
      <c r="F16" s="4">
        <f t="shared" si="11"/>
        <v>6.743978610748</v>
      </c>
      <c r="G16" s="4">
        <f t="shared" si="11"/>
        <v>5.48168380257512</v>
      </c>
      <c r="H16" s="4">
        <f t="shared" si="11"/>
        <v>7.81118946667953</v>
      </c>
      <c r="I16" s="4">
        <f t="shared" si="11"/>
        <v>11.5362076058883</v>
      </c>
      <c r="J16" s="24">
        <f>AVERAGE(D16:H16)</f>
        <v>9.77546335883967</v>
      </c>
      <c r="K16" s="24">
        <f t="shared" si="7"/>
        <v>9.77546335883967</v>
      </c>
      <c r="L16" s="24">
        <f t="shared" si="8"/>
        <v>9.77546335883967</v>
      </c>
      <c r="M16" s="24">
        <f t="shared" si="9"/>
        <v>9.77546335883967</v>
      </c>
      <c r="N16" s="24">
        <f t="shared" si="10"/>
        <v>9.77546335883967</v>
      </c>
    </row>
    <row r="17" customFormat="1" spans="1:14">
      <c r="A17" t="s">
        <v>16</v>
      </c>
      <c r="C17" s="4">
        <f t="shared" ref="C17:I17" si="12">(C113/C36)*365</f>
        <v>13.1341777518858</v>
      </c>
      <c r="D17" s="4">
        <f t="shared" si="12"/>
        <v>4.78046350368329</v>
      </c>
      <c r="E17" s="4">
        <f t="shared" si="12"/>
        <v>6.08267943244986</v>
      </c>
      <c r="F17" s="4">
        <f t="shared" si="12"/>
        <v>6.62686694491618</v>
      </c>
      <c r="G17" s="4">
        <f t="shared" si="12"/>
        <v>6.43227892427712</v>
      </c>
      <c r="H17" s="4">
        <f t="shared" si="12"/>
        <v>6.47044854165159</v>
      </c>
      <c r="I17" s="4">
        <f t="shared" si="12"/>
        <v>10.3737642493126</v>
      </c>
      <c r="J17" s="24">
        <f>AVERAGE(D17:H17)</f>
        <v>6.07854746939561</v>
      </c>
      <c r="K17" s="24">
        <f t="shared" si="7"/>
        <v>6.07854746939561</v>
      </c>
      <c r="L17" s="24">
        <f t="shared" si="8"/>
        <v>6.07854746939561</v>
      </c>
      <c r="M17" s="24">
        <f t="shared" si="9"/>
        <v>6.07854746939561</v>
      </c>
      <c r="N17" s="24">
        <f t="shared" si="10"/>
        <v>6.07854746939561</v>
      </c>
    </row>
    <row r="18" customFormat="1" spans="1:14">
      <c r="A18" t="s">
        <v>17</v>
      </c>
      <c r="C18" s="5">
        <f t="shared" ref="C18:I18" si="13">C181/C116</f>
        <v>0.128593870837676</v>
      </c>
      <c r="D18" s="5">
        <f t="shared" si="13"/>
        <v>0.132602465459355</v>
      </c>
      <c r="E18" s="5">
        <f t="shared" si="13"/>
        <v>0.124955829381725</v>
      </c>
      <c r="F18" s="5">
        <f t="shared" si="13"/>
        <v>0.132421851104178</v>
      </c>
      <c r="G18" s="5">
        <f t="shared" si="13"/>
        <v>0.125950018560774</v>
      </c>
      <c r="H18" s="5">
        <f t="shared" si="13"/>
        <v>0.0859958375663092</v>
      </c>
      <c r="I18" s="5">
        <f t="shared" si="13"/>
        <v>0.0854300728337453</v>
      </c>
      <c r="J18">
        <f>0.09</f>
        <v>0.09</v>
      </c>
      <c r="K18">
        <f>0.1</f>
        <v>0.1</v>
      </c>
      <c r="L18">
        <f>0.1</f>
        <v>0.1</v>
      </c>
      <c r="M18">
        <f>0.1</f>
        <v>0.1</v>
      </c>
      <c r="N18">
        <f>0.1</f>
        <v>0.1</v>
      </c>
    </row>
    <row r="19" customFormat="1" spans="1:14">
      <c r="A19" t="s">
        <v>18</v>
      </c>
      <c r="D19" s="5">
        <f t="shared" ref="D19:I19" si="14">D116/C116-1</f>
        <v>0.219323892892789</v>
      </c>
      <c r="E19" s="5">
        <f t="shared" si="14"/>
        <v>0.268190081061644</v>
      </c>
      <c r="F19" s="5">
        <f t="shared" si="14"/>
        <v>0.16460822086449</v>
      </c>
      <c r="G19" s="5">
        <f t="shared" si="14"/>
        <v>0.189797516363859</v>
      </c>
      <c r="H19" s="5">
        <f t="shared" si="14"/>
        <v>0.936318550182471</v>
      </c>
      <c r="I19" s="5">
        <f t="shared" si="14"/>
        <v>0.152985104350269</v>
      </c>
      <c r="J19" s="24">
        <f>0.15</f>
        <v>0.15</v>
      </c>
      <c r="K19" s="24">
        <f>0.15</f>
        <v>0.15</v>
      </c>
      <c r="L19" s="24">
        <f>0.15</f>
        <v>0.15</v>
      </c>
      <c r="M19" s="24">
        <f>0.15</f>
        <v>0.15</v>
      </c>
      <c r="N19" s="24">
        <f>0.15</f>
        <v>0.15</v>
      </c>
    </row>
    <row r="20" customFormat="1" spans="1:14">
      <c r="A20" t="s">
        <v>19</v>
      </c>
      <c r="D20" s="5">
        <f t="shared" ref="D20:I20" si="15">D125/C125-1</f>
        <v>0.547917855105533</v>
      </c>
      <c r="E20" s="5">
        <f t="shared" si="15"/>
        <v>0.88796756955961</v>
      </c>
      <c r="F20" s="5">
        <f t="shared" si="15"/>
        <v>0.531768495022448</v>
      </c>
      <c r="G20" s="5">
        <f t="shared" si="15"/>
        <v>0.191627640256141</v>
      </c>
      <c r="H20" s="5">
        <f t="shared" si="15"/>
        <v>0.502539835311731</v>
      </c>
      <c r="I20" s="5">
        <f t="shared" si="15"/>
        <v>0.897226028006619</v>
      </c>
      <c r="J20" s="24">
        <f>0.3</f>
        <v>0.3</v>
      </c>
      <c r="K20" s="24">
        <f>0.2</f>
        <v>0.2</v>
      </c>
      <c r="L20" s="24">
        <f>0.1</f>
        <v>0.1</v>
      </c>
      <c r="M20" s="24">
        <f>0.1</f>
        <v>0.1</v>
      </c>
      <c r="N20" s="24">
        <f>0.05</f>
        <v>0.05</v>
      </c>
    </row>
    <row r="21" customFormat="1" spans="1:14">
      <c r="A21" t="s">
        <v>20</v>
      </c>
      <c r="C21" s="4">
        <f t="shared" ref="C21:I21" si="16">(C130/C36)*365</f>
        <v>23.0771672584162</v>
      </c>
      <c r="D21" s="4">
        <f t="shared" si="16"/>
        <v>29.7183384994975</v>
      </c>
      <c r="E21" s="4">
        <f t="shared" si="16"/>
        <v>18.5232994311532</v>
      </c>
      <c r="F21" s="4">
        <f t="shared" si="16"/>
        <v>17.0175650512366</v>
      </c>
      <c r="G21" s="4">
        <f t="shared" si="16"/>
        <v>32.0084380499581</v>
      </c>
      <c r="H21" s="4">
        <f t="shared" si="16"/>
        <v>22.6069447962655</v>
      </c>
      <c r="I21" s="4">
        <f t="shared" si="16"/>
        <v>44.5807267759972</v>
      </c>
      <c r="J21" s="24">
        <f>AVERAGE(C21:I21)</f>
        <v>26.7903542660749</v>
      </c>
      <c r="K21" s="24">
        <f>AVERAGE(C21:H21)</f>
        <v>23.8252921810878</v>
      </c>
      <c r="L21" s="24">
        <f>AVERAGE(C21:H21)</f>
        <v>23.8252921810878</v>
      </c>
      <c r="M21" s="24">
        <f>AVERAGE(C21:H21)</f>
        <v>23.8252921810878</v>
      </c>
      <c r="N21" s="24">
        <f>AVERAGE(C21:H21)</f>
        <v>23.8252921810878</v>
      </c>
    </row>
    <row r="22" customFormat="1" spans="1:14">
      <c r="A22" t="s">
        <v>21</v>
      </c>
      <c r="C22" s="4">
        <f t="shared" ref="C22:I22" si="17">(C131/C36)*365</f>
        <v>1.89667835698941</v>
      </c>
      <c r="D22" s="4">
        <f t="shared" si="17"/>
        <v>1.8388850791765</v>
      </c>
      <c r="E22" s="4">
        <f t="shared" si="17"/>
        <v>3.86829079778467</v>
      </c>
      <c r="F22" s="4">
        <f t="shared" si="17"/>
        <v>3.39568719540114</v>
      </c>
      <c r="G22" s="4">
        <f t="shared" si="17"/>
        <v>10.6040639609478</v>
      </c>
      <c r="H22" s="4">
        <f t="shared" si="17"/>
        <v>7.33770621738117</v>
      </c>
      <c r="I22" s="4">
        <f t="shared" si="17"/>
        <v>14.2824893642011</v>
      </c>
      <c r="J22" s="24">
        <f>AVERAGE(C22:I22)</f>
        <v>6.17482871026882</v>
      </c>
      <c r="K22" s="24">
        <f>AVERAGE(D22:J22)</f>
        <v>6.7859930464516</v>
      </c>
      <c r="L22" s="24">
        <f>AVERAGE(E22:K22)</f>
        <v>7.49272275606233</v>
      </c>
      <c r="M22" s="24">
        <f>AVERAGE(F22:L22)</f>
        <v>8.01049875010199</v>
      </c>
      <c r="N22" s="24">
        <f>AVERAGE(G22:M22)</f>
        <v>8.66975754363069</v>
      </c>
    </row>
    <row r="23" customFormat="1" spans="1:14">
      <c r="A23" t="s">
        <v>22</v>
      </c>
      <c r="C23" s="4">
        <f>(C143/C36)*365</f>
        <v>9.39342192605996</v>
      </c>
      <c r="D23" s="4">
        <f t="shared" ref="D23:I23" si="18">(D143/D36)*365</f>
        <v>10.2273257808818</v>
      </c>
      <c r="E23" s="4">
        <f t="shared" si="18"/>
        <v>19.1522898047767</v>
      </c>
      <c r="F23" s="4">
        <f t="shared" si="18"/>
        <v>23.2961281241259</v>
      </c>
      <c r="G23" s="4">
        <f t="shared" si="18"/>
        <v>23.5439901055828</v>
      </c>
      <c r="H23" s="4">
        <f t="shared" si="18"/>
        <v>22.5143945059629</v>
      </c>
      <c r="I23" s="4">
        <f t="shared" si="18"/>
        <v>14.8795071377473</v>
      </c>
      <c r="J23" s="24">
        <f>AVERAGE(C23:I23)</f>
        <v>17.5724367693053</v>
      </c>
      <c r="K23" s="24">
        <f>AVERAGE(C23:I23)</f>
        <v>17.5724367693053</v>
      </c>
      <c r="L23" s="24">
        <f>AVERAGE(C23:I23)</f>
        <v>17.5724367693053</v>
      </c>
      <c r="M23" s="24">
        <f>AVERAGE(C23:I23)</f>
        <v>17.5724367693053</v>
      </c>
      <c r="N23" s="24">
        <f>AVERAGE(C23:I23)</f>
        <v>17.5724367693053</v>
      </c>
    </row>
    <row r="24" customFormat="1" spans="1:14">
      <c r="A24" t="s">
        <v>23</v>
      </c>
      <c r="C24" s="4"/>
      <c r="D24" s="4"/>
      <c r="E24" s="4"/>
      <c r="F24" s="4"/>
      <c r="G24" s="4"/>
      <c r="H24" s="4"/>
      <c r="J24" s="3">
        <f>0.1</f>
        <v>0.1</v>
      </c>
      <c r="K24" s="3">
        <f>0.1</f>
        <v>0.1</v>
      </c>
      <c r="L24" s="3">
        <f>0.2</f>
        <v>0.2</v>
      </c>
      <c r="M24" s="3">
        <f>0.2</f>
        <v>0.2</v>
      </c>
      <c r="N24" s="3">
        <f>0.2</f>
        <v>0.2</v>
      </c>
    </row>
    <row r="25" customFormat="1" spans="3:14">
      <c r="C25" s="4"/>
      <c r="D25" s="4"/>
      <c r="E25" s="4"/>
      <c r="F25" s="4"/>
      <c r="G25" s="4"/>
      <c r="H25" s="4"/>
      <c r="J25" s="24"/>
      <c r="K25" s="24"/>
      <c r="L25" s="24"/>
      <c r="M25" s="24"/>
      <c r="N25" s="24"/>
    </row>
    <row r="26" customFormat="1" spans="3:14">
      <c r="C26" s="4"/>
      <c r="D26" s="4"/>
      <c r="E26" s="4"/>
      <c r="F26" s="4"/>
      <c r="G26" s="4"/>
      <c r="H26" s="4"/>
      <c r="J26" s="24"/>
      <c r="K26" s="24"/>
      <c r="L26" s="24"/>
      <c r="M26" s="24"/>
      <c r="N26" s="24"/>
    </row>
    <row r="27" customFormat="1" spans="3:14">
      <c r="C27" s="4"/>
      <c r="D27" s="4"/>
      <c r="E27" s="4"/>
      <c r="F27" s="4"/>
      <c r="G27" s="4"/>
      <c r="H27" s="4"/>
      <c r="J27" s="24"/>
      <c r="K27" s="24"/>
      <c r="L27" s="24"/>
      <c r="M27" s="24"/>
      <c r="N27" s="24"/>
    </row>
    <row r="28" customFormat="1" spans="3:14">
      <c r="C28" s="4"/>
      <c r="D28" s="4"/>
      <c r="E28" s="4"/>
      <c r="F28" s="4"/>
      <c r="G28" s="4"/>
      <c r="H28" s="4"/>
      <c r="J28" s="24"/>
      <c r="K28" s="24"/>
      <c r="L28" s="24"/>
      <c r="M28" s="24"/>
      <c r="N28" s="24"/>
    </row>
    <row r="29" customFormat="1" spans="3:14">
      <c r="C29" s="4"/>
      <c r="D29" s="4"/>
      <c r="E29" s="4"/>
      <c r="F29" s="4"/>
      <c r="G29" s="4"/>
      <c r="H29" s="4"/>
      <c r="J29" s="24"/>
      <c r="K29" s="24"/>
      <c r="L29" s="24"/>
      <c r="M29" s="24"/>
      <c r="N29" s="24"/>
    </row>
    <row r="33" spans="1:15">
      <c r="A33" s="6" t="s">
        <v>24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>
      <c r="A34" s="9" t="s">
        <v>25</v>
      </c>
      <c r="B34" s="9"/>
      <c r="C34" s="10" t="s">
        <v>26</v>
      </c>
      <c r="D34" s="10" t="s">
        <v>27</v>
      </c>
      <c r="E34" s="10" t="s">
        <v>28</v>
      </c>
      <c r="F34" s="10" t="s">
        <v>29</v>
      </c>
      <c r="G34" s="10" t="s">
        <v>30</v>
      </c>
      <c r="H34" s="10" t="s">
        <v>31</v>
      </c>
      <c r="I34" s="10" t="s">
        <v>32</v>
      </c>
      <c r="J34" s="25" t="s">
        <v>33</v>
      </c>
      <c r="K34" s="25" t="s">
        <v>34</v>
      </c>
      <c r="L34" s="25" t="s">
        <v>35</v>
      </c>
      <c r="M34" s="25" t="s">
        <v>36</v>
      </c>
      <c r="N34" s="26" t="s">
        <v>37</v>
      </c>
      <c r="O34" s="25"/>
    </row>
    <row r="35" spans="1:15">
      <c r="A35" s="11" t="s">
        <v>38</v>
      </c>
      <c r="B35" s="11"/>
      <c r="C35" s="12" t="s">
        <v>39</v>
      </c>
      <c r="D35" s="12" t="s">
        <v>40</v>
      </c>
      <c r="E35" s="12" t="s">
        <v>41</v>
      </c>
      <c r="F35" s="12" t="s">
        <v>42</v>
      </c>
      <c r="G35" s="12" t="s">
        <v>43</v>
      </c>
      <c r="H35" s="12" t="s">
        <v>44</v>
      </c>
      <c r="I35" s="12" t="s">
        <v>45</v>
      </c>
      <c r="J35" s="27" t="s">
        <v>46</v>
      </c>
      <c r="K35" s="27" t="s">
        <v>47</v>
      </c>
      <c r="L35" s="27" t="s">
        <v>48</v>
      </c>
      <c r="M35" s="27" t="s">
        <v>49</v>
      </c>
      <c r="N35" s="27" t="s">
        <v>50</v>
      </c>
      <c r="O35" s="27"/>
    </row>
    <row r="36" spans="1:15">
      <c r="A36" s="13" t="s">
        <v>51</v>
      </c>
      <c r="B36" s="13" t="s">
        <v>52</v>
      </c>
      <c r="C36" s="14">
        <v>1797.213</v>
      </c>
      <c r="D36" s="14">
        <v>2060.523</v>
      </c>
      <c r="E36" s="14">
        <v>2344.392</v>
      </c>
      <c r="F36" s="14">
        <v>2649.181</v>
      </c>
      <c r="G36" s="14">
        <v>3288.319</v>
      </c>
      <c r="H36" s="14">
        <v>3979.296</v>
      </c>
      <c r="I36" s="14">
        <v>4401.879</v>
      </c>
      <c r="J36" s="14">
        <f>SUM(J37:J39)</f>
        <v>6225.1567</v>
      </c>
      <c r="K36" s="14">
        <f>SUM(K37:K39)</f>
        <v>7812.79824</v>
      </c>
      <c r="L36" s="14">
        <f>SUM(L37:L39)</f>
        <v>9820.751148</v>
      </c>
      <c r="M36" s="14">
        <f>SUM(M37:M39)</f>
        <v>10802.8262628</v>
      </c>
      <c r="N36" s="14">
        <f>SUM(N37:N39)</f>
        <v>11342.96757594</v>
      </c>
      <c r="O36" s="14"/>
    </row>
    <row r="37" spans="1:15">
      <c r="A37" s="15" t="s">
        <v>53</v>
      </c>
      <c r="C37" s="16">
        <v>321.18</v>
      </c>
      <c r="D37" s="16">
        <v>401.525</v>
      </c>
      <c r="E37" s="16">
        <v>453.287</v>
      </c>
      <c r="F37" s="16">
        <v>577.59</v>
      </c>
      <c r="G37" s="16">
        <v>858.856</v>
      </c>
      <c r="H37" s="16">
        <v>1137.822</v>
      </c>
      <c r="I37" s="28">
        <v>2284.068</v>
      </c>
      <c r="J37" s="29">
        <f>I37*(1+J6)</f>
        <v>3426.102</v>
      </c>
      <c r="K37" s="29">
        <f>J37*(1+K6)</f>
        <v>4453.9326</v>
      </c>
      <c r="L37" s="29">
        <f>K37*(1+L6)</f>
        <v>5790.11238</v>
      </c>
      <c r="M37" s="29">
        <f>L37*(1+M6)</f>
        <v>6369.123618</v>
      </c>
      <c r="N37" s="29">
        <f>M37*(1+N6)</f>
        <v>6687.5797989</v>
      </c>
      <c r="O37" s="14"/>
    </row>
    <row r="38" spans="1:15">
      <c r="A38" s="15" t="s">
        <v>54</v>
      </c>
      <c r="C38" s="16">
        <v>1348.225</v>
      </c>
      <c r="D38" s="16">
        <v>1516.323</v>
      </c>
      <c r="E38" s="16">
        <v>1704.357</v>
      </c>
      <c r="F38" s="16">
        <v>1837.065</v>
      </c>
      <c r="G38" s="16">
        <v>2126.363</v>
      </c>
      <c r="H38" s="16">
        <v>2501.067</v>
      </c>
      <c r="I38" s="28">
        <v>1658.807</v>
      </c>
      <c r="J38" s="29">
        <f>I38*(1+J7)</f>
        <v>2156.4491</v>
      </c>
      <c r="K38" s="29">
        <f>J38*(1+K7)</f>
        <v>2587.73892</v>
      </c>
      <c r="L38" s="29">
        <f>K38*(1+L7)</f>
        <v>3105.286704</v>
      </c>
      <c r="M38" s="29">
        <f>L38*(1+M7)</f>
        <v>3415.8153744</v>
      </c>
      <c r="N38" s="29">
        <f>M38*(1+N7)</f>
        <v>3586.60614312</v>
      </c>
      <c r="O38" s="14"/>
    </row>
    <row r="39" spans="1:15">
      <c r="A39" s="15" t="s">
        <v>55</v>
      </c>
      <c r="C39" s="16">
        <v>127.808</v>
      </c>
      <c r="D39" s="16">
        <v>142.675</v>
      </c>
      <c r="E39" s="16">
        <v>186.748</v>
      </c>
      <c r="F39" s="16">
        <v>234.526</v>
      </c>
      <c r="G39" s="16">
        <v>303.1</v>
      </c>
      <c r="H39" s="16">
        <v>340.407</v>
      </c>
      <c r="I39" s="28">
        <v>459.004</v>
      </c>
      <c r="J39" s="29">
        <f>I39*(1+J8)</f>
        <v>642.6056</v>
      </c>
      <c r="K39" s="29">
        <f>J39*(1+K8)</f>
        <v>771.12672</v>
      </c>
      <c r="L39" s="29">
        <f>K39*(1+L8)</f>
        <v>925.352064</v>
      </c>
      <c r="M39" s="29">
        <f>L39*(1+M8)</f>
        <v>1017.8872704</v>
      </c>
      <c r="N39" s="29">
        <f>M39*(1+N8)</f>
        <v>1068.78163392</v>
      </c>
      <c r="O39" s="14"/>
    </row>
    <row r="40" spans="1:15">
      <c r="A40" s="15" t="s">
        <v>56</v>
      </c>
      <c r="B40" s="15" t="s">
        <v>57</v>
      </c>
      <c r="C40" s="17">
        <v>1797.213</v>
      </c>
      <c r="D40" s="17">
        <v>2060.523</v>
      </c>
      <c r="E40" s="17">
        <v>2344.392</v>
      </c>
      <c r="F40" s="17">
        <v>2649.181</v>
      </c>
      <c r="G40" s="17">
        <v>3288.319</v>
      </c>
      <c r="H40" s="17">
        <v>3979.296</v>
      </c>
      <c r="I40" s="17">
        <v>4401.879</v>
      </c>
      <c r="J40" s="17"/>
      <c r="K40" s="17"/>
      <c r="L40" s="17"/>
      <c r="M40" s="17"/>
      <c r="N40" s="17"/>
      <c r="O40" s="17"/>
    </row>
    <row r="41" spans="1:15">
      <c r="A41" s="15" t="s">
        <v>58</v>
      </c>
      <c r="B41" s="15" t="s">
        <v>59</v>
      </c>
      <c r="C41" s="17">
        <v>883.033</v>
      </c>
      <c r="D41" s="17">
        <v>1063.357</v>
      </c>
      <c r="E41" s="17">
        <v>1144.775</v>
      </c>
      <c r="F41" s="17">
        <v>1250.391</v>
      </c>
      <c r="G41" s="17">
        <v>1472.032</v>
      </c>
      <c r="H41" s="17">
        <v>1755.91</v>
      </c>
      <c r="I41" s="17">
        <v>1937.888</v>
      </c>
      <c r="J41" s="17">
        <f>J36*J9</f>
        <v>2746.92179247209</v>
      </c>
      <c r="K41" s="17">
        <f>K36*K9</f>
        <v>3125.119296</v>
      </c>
      <c r="L41" s="17">
        <f>L36*L9</f>
        <v>3928.3004592</v>
      </c>
      <c r="M41" s="17">
        <f>M36*M9</f>
        <v>4321.13050512</v>
      </c>
      <c r="N41" s="17">
        <f>N36*N9</f>
        <v>4537.187030376</v>
      </c>
      <c r="O41" s="17"/>
    </row>
    <row r="42" spans="1:15">
      <c r="A42" s="15" t="s">
        <v>60</v>
      </c>
      <c r="B42" s="15" t="s">
        <v>61</v>
      </c>
      <c r="C42" s="17">
        <v>883.033</v>
      </c>
      <c r="D42" s="17">
        <v>1063.357</v>
      </c>
      <c r="E42" s="17">
        <v>1144.775</v>
      </c>
      <c r="F42" s="17">
        <v>1250.391</v>
      </c>
      <c r="G42" s="17">
        <v>1472.032</v>
      </c>
      <c r="H42" s="17">
        <v>1755.91</v>
      </c>
      <c r="I42" s="17">
        <v>1937.888</v>
      </c>
      <c r="J42" s="17"/>
      <c r="K42" s="17"/>
      <c r="L42" s="17"/>
      <c r="M42" s="17"/>
      <c r="N42" s="17"/>
      <c r="O42" s="17"/>
    </row>
    <row r="43" spans="1:15">
      <c r="A43" s="13" t="s">
        <v>62</v>
      </c>
      <c r="B43" s="13" t="s">
        <v>63</v>
      </c>
      <c r="C43" s="14">
        <v>914.18</v>
      </c>
      <c r="D43" s="14">
        <v>997.166</v>
      </c>
      <c r="E43" s="14">
        <v>1199.617</v>
      </c>
      <c r="F43" s="14">
        <v>1398.79</v>
      </c>
      <c r="G43" s="14">
        <v>1816.287</v>
      </c>
      <c r="H43" s="14">
        <v>2223.386</v>
      </c>
      <c r="I43" s="14">
        <v>2463.991</v>
      </c>
      <c r="J43" s="14">
        <f>J36-J41</f>
        <v>3478.23490752791</v>
      </c>
      <c r="K43" s="14">
        <f>K36-K41</f>
        <v>4687.678944</v>
      </c>
      <c r="L43" s="14">
        <f>L36-L41</f>
        <v>5892.4506888</v>
      </c>
      <c r="M43" s="14">
        <f>M36-M41</f>
        <v>6481.69575768</v>
      </c>
      <c r="N43" s="14">
        <f>N36-N41</f>
        <v>6805.780545564</v>
      </c>
      <c r="O43" s="14"/>
    </row>
    <row r="44" spans="1:15">
      <c r="A44" s="15" t="s">
        <v>64</v>
      </c>
      <c r="B44" s="15" t="s">
        <v>65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/>
      <c r="K44" s="17"/>
      <c r="L44" s="17"/>
      <c r="M44" s="17"/>
      <c r="N44" s="17"/>
      <c r="O44" s="17"/>
    </row>
    <row r="45" spans="1:15">
      <c r="A45" s="15" t="s">
        <v>66</v>
      </c>
      <c r="B45" s="15" t="s">
        <v>67</v>
      </c>
      <c r="C45" s="17">
        <v>538.147</v>
      </c>
      <c r="D45" s="17">
        <v>628.09</v>
      </c>
      <c r="E45" s="17">
        <v>778.465</v>
      </c>
      <c r="F45" s="17">
        <v>904.264</v>
      </c>
      <c r="G45" s="17">
        <v>1110.451</v>
      </c>
      <c r="H45" s="17">
        <v>1334.276</v>
      </c>
      <c r="I45" s="17">
        <v>1613.381</v>
      </c>
      <c r="J45" s="17">
        <f>SUM(J46:J48)</f>
        <v>2087.32328056249</v>
      </c>
      <c r="K45" s="17">
        <f>SUM(K46:K48)</f>
        <v>2619.66669091071</v>
      </c>
      <c r="L45" s="17">
        <f>SUM(L46:L48)</f>
        <v>3292.9424095993</v>
      </c>
      <c r="M45" s="17">
        <f>SUM(M46:M48)</f>
        <v>3622.23665055923</v>
      </c>
      <c r="N45" s="17">
        <f>SUM(N46:N48)</f>
        <v>3803.34848308719</v>
      </c>
      <c r="O45" s="17"/>
    </row>
    <row r="46" spans="1:15">
      <c r="A46" s="15" t="s">
        <v>68</v>
      </c>
      <c r="B46" s="15" t="s">
        <v>69</v>
      </c>
      <c r="C46" s="17">
        <v>538.147</v>
      </c>
      <c r="D46" s="17">
        <v>628.09</v>
      </c>
      <c r="E46" s="17">
        <v>778.465</v>
      </c>
      <c r="F46" s="17">
        <v>904.264</v>
      </c>
      <c r="G46" s="17">
        <v>1110.451</v>
      </c>
      <c r="H46" s="17">
        <v>1334.276</v>
      </c>
      <c r="I46" s="17">
        <v>1609.003</v>
      </c>
      <c r="J46" s="17">
        <f>J36*J10</f>
        <v>2087.32328056249</v>
      </c>
      <c r="K46" s="17">
        <f>K36*K10</f>
        <v>2619.66669091071</v>
      </c>
      <c r="L46" s="17">
        <f>L36*L10</f>
        <v>3292.9424095993</v>
      </c>
      <c r="M46" s="17">
        <f>M36*M10</f>
        <v>3622.23665055923</v>
      </c>
      <c r="N46" s="17">
        <f>N36*N10</f>
        <v>3803.34848308719</v>
      </c>
      <c r="O46" s="17"/>
    </row>
    <row r="47" spans="1:15">
      <c r="A47" s="15" t="s">
        <v>70</v>
      </c>
      <c r="B47" s="15" t="s">
        <v>71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/>
    </row>
    <row r="48" spans="1:15">
      <c r="A48" s="15" t="s">
        <v>72</v>
      </c>
      <c r="B48" s="15" t="s">
        <v>73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4.378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/>
    </row>
    <row r="49" spans="1:15">
      <c r="A49" s="13" t="s">
        <v>74</v>
      </c>
      <c r="B49" s="13" t="s">
        <v>75</v>
      </c>
      <c r="C49" s="14">
        <v>376.033</v>
      </c>
      <c r="D49" s="14">
        <v>369.076</v>
      </c>
      <c r="E49" s="14">
        <v>421.152</v>
      </c>
      <c r="F49" s="14">
        <v>494.526</v>
      </c>
      <c r="G49" s="14">
        <v>705.836</v>
      </c>
      <c r="H49" s="14">
        <v>889.11</v>
      </c>
      <c r="I49" s="14">
        <v>850.61</v>
      </c>
      <c r="J49" s="14">
        <f>J43-J45</f>
        <v>1390.91162696542</v>
      </c>
      <c r="K49" s="14">
        <f>K43-K45</f>
        <v>2068.01225308929</v>
      </c>
      <c r="L49" s="14">
        <f>L43-L45</f>
        <v>2599.5082792007</v>
      </c>
      <c r="M49" s="14">
        <f>M43-M45</f>
        <v>2859.45910712077</v>
      </c>
      <c r="N49" s="14">
        <f>N43-N45</f>
        <v>3002.43206247681</v>
      </c>
      <c r="O49" s="14"/>
    </row>
    <row r="50" spans="1:15">
      <c r="A50" s="15" t="s">
        <v>76</v>
      </c>
      <c r="B50" s="15" t="s">
        <v>77</v>
      </c>
      <c r="C50" s="17">
        <v>-7.102</v>
      </c>
      <c r="D50" s="17">
        <v>-2.886</v>
      </c>
      <c r="E50" s="17">
        <v>-3.277</v>
      </c>
      <c r="F50" s="17">
        <v>-3.997</v>
      </c>
      <c r="G50" s="17">
        <v>-9.414</v>
      </c>
      <c r="H50" s="17">
        <v>-8.283</v>
      </c>
      <c r="I50" s="17">
        <v>1.418</v>
      </c>
      <c r="J50" s="17">
        <f>SUM(J51:J54)</f>
        <v>0</v>
      </c>
      <c r="K50" s="17">
        <f>SUM(K51:K54)</f>
        <v>0</v>
      </c>
      <c r="L50" s="17">
        <f>SUM(L51:L54)</f>
        <v>0</v>
      </c>
      <c r="M50" s="17">
        <f>SUM(M51:M54)</f>
        <v>0</v>
      </c>
      <c r="N50" s="17">
        <f>SUM(N51:N54)</f>
        <v>0</v>
      </c>
      <c r="O50" s="17"/>
    </row>
    <row r="51" spans="1:15">
      <c r="A51" s="18" t="s">
        <v>78</v>
      </c>
      <c r="B51" s="18" t="s">
        <v>79</v>
      </c>
      <c r="C51" s="19">
        <v>0</v>
      </c>
      <c r="D51" s="19" t="s">
        <v>80</v>
      </c>
      <c r="E51" s="19" t="s">
        <v>80</v>
      </c>
      <c r="F51" s="19" t="s">
        <v>80</v>
      </c>
      <c r="G51" s="19" t="s">
        <v>80</v>
      </c>
      <c r="H51" s="19" t="s">
        <v>80</v>
      </c>
      <c r="I51" s="19" t="s">
        <v>80</v>
      </c>
      <c r="J51" s="19" t="s">
        <v>80</v>
      </c>
      <c r="K51" s="19" t="s">
        <v>80</v>
      </c>
      <c r="L51" s="19" t="s">
        <v>80</v>
      </c>
      <c r="M51" s="19" t="s">
        <v>80</v>
      </c>
      <c r="N51" s="19" t="s">
        <v>80</v>
      </c>
      <c r="O51" s="19"/>
    </row>
    <row r="52" spans="1:15">
      <c r="A52" s="15" t="s">
        <v>81</v>
      </c>
      <c r="B52" s="15" t="s">
        <v>82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/>
    </row>
    <row r="53" spans="1:15">
      <c r="A53" s="15" t="s">
        <v>83</v>
      </c>
      <c r="B53" s="15" t="s">
        <v>84</v>
      </c>
      <c r="C53" s="17">
        <v>0</v>
      </c>
      <c r="D53" s="17" t="s">
        <v>80</v>
      </c>
      <c r="E53" s="17" t="s">
        <v>80</v>
      </c>
      <c r="F53" s="17" t="s">
        <v>80</v>
      </c>
      <c r="G53" s="17" t="s">
        <v>80</v>
      </c>
      <c r="H53" s="17" t="s">
        <v>80</v>
      </c>
      <c r="I53" s="17" t="s">
        <v>80</v>
      </c>
      <c r="J53" s="19" t="s">
        <v>80</v>
      </c>
      <c r="K53" s="19" t="s">
        <v>80</v>
      </c>
      <c r="L53" s="19" t="s">
        <v>80</v>
      </c>
      <c r="M53" s="19" t="s">
        <v>80</v>
      </c>
      <c r="N53" s="19" t="s">
        <v>80</v>
      </c>
      <c r="O53" s="17"/>
    </row>
    <row r="54" spans="1:15">
      <c r="A54" s="15" t="s">
        <v>85</v>
      </c>
      <c r="B54" s="15" t="s">
        <v>86</v>
      </c>
      <c r="C54" s="17">
        <v>-7.102</v>
      </c>
      <c r="D54" s="17">
        <v>-2.886</v>
      </c>
      <c r="E54" s="17">
        <v>-3.277</v>
      </c>
      <c r="F54" s="17">
        <v>-3.997</v>
      </c>
      <c r="G54" s="17">
        <v>-9.414</v>
      </c>
      <c r="H54" s="17">
        <v>-8.283</v>
      </c>
      <c r="I54" s="17">
        <v>1.418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/>
    </row>
    <row r="55" spans="1:15">
      <c r="A55" s="13" t="s">
        <v>87</v>
      </c>
      <c r="B55" s="13" t="s">
        <v>88</v>
      </c>
      <c r="C55" s="14">
        <v>383.135</v>
      </c>
      <c r="D55" s="14">
        <v>371.962</v>
      </c>
      <c r="E55" s="14">
        <v>424.429</v>
      </c>
      <c r="F55" s="14">
        <v>498.523</v>
      </c>
      <c r="G55" s="14">
        <v>715.25</v>
      </c>
      <c r="H55" s="14">
        <v>897.393</v>
      </c>
      <c r="I55" s="14">
        <v>849.192</v>
      </c>
      <c r="J55" s="14">
        <f>J49-J50</f>
        <v>1390.91162696542</v>
      </c>
      <c r="K55" s="14">
        <f>K49-K50</f>
        <v>2068.01225308929</v>
      </c>
      <c r="L55" s="14">
        <f>L49-L50</f>
        <v>2599.5082792007</v>
      </c>
      <c r="M55" s="14">
        <f>M49-M50</f>
        <v>2859.45910712077</v>
      </c>
      <c r="N55" s="14">
        <f>N49-N50</f>
        <v>3002.43206247681</v>
      </c>
      <c r="O55" s="14"/>
    </row>
    <row r="56" spans="1:15">
      <c r="A56" s="15" t="s">
        <v>89</v>
      </c>
      <c r="B56" s="15" t="s">
        <v>90</v>
      </c>
      <c r="C56" s="17">
        <v>0</v>
      </c>
      <c r="D56" s="17">
        <v>3.467</v>
      </c>
      <c r="E56" s="17">
        <v>1.7</v>
      </c>
      <c r="F56" s="17">
        <v>38.525</v>
      </c>
      <c r="G56" s="17">
        <v>0</v>
      </c>
      <c r="H56" s="17">
        <v>0</v>
      </c>
      <c r="I56" s="17">
        <v>29.842</v>
      </c>
      <c r="J56" s="17">
        <f>SUM(J57:J59)</f>
        <v>0</v>
      </c>
      <c r="K56" s="17">
        <f>SUM(K57:K59)</f>
        <v>0</v>
      </c>
      <c r="L56" s="17">
        <f>SUM(L57:L59)</f>
        <v>0</v>
      </c>
      <c r="M56" s="17">
        <f>SUM(M57:M59)</f>
        <v>0</v>
      </c>
      <c r="N56" s="17">
        <f>SUM(N57:N59)</f>
        <v>0</v>
      </c>
      <c r="O56" s="17"/>
    </row>
    <row r="57" spans="1:15">
      <c r="A57" s="15" t="s">
        <v>91</v>
      </c>
      <c r="B57" s="15" t="s">
        <v>92</v>
      </c>
      <c r="C57" s="17" t="s">
        <v>80</v>
      </c>
      <c r="D57" s="17" t="s">
        <v>80</v>
      </c>
      <c r="E57" s="17" t="s">
        <v>80</v>
      </c>
      <c r="F57" s="17" t="s">
        <v>80</v>
      </c>
      <c r="G57" s="17" t="s">
        <v>80</v>
      </c>
      <c r="H57" s="17" t="s">
        <v>80</v>
      </c>
      <c r="I57" s="17">
        <v>30.624</v>
      </c>
      <c r="J57" s="17" t="s">
        <v>80</v>
      </c>
      <c r="K57" s="17" t="s">
        <v>80</v>
      </c>
      <c r="L57" s="17" t="s">
        <v>80</v>
      </c>
      <c r="M57" s="17" t="s">
        <v>80</v>
      </c>
      <c r="N57" s="17" t="s">
        <v>80</v>
      </c>
      <c r="O57" s="17"/>
    </row>
    <row r="58" spans="1:15">
      <c r="A58" s="15" t="s">
        <v>93</v>
      </c>
      <c r="B58" s="15" t="s">
        <v>94</v>
      </c>
      <c r="C58" s="17" t="s">
        <v>80</v>
      </c>
      <c r="D58" s="17" t="s">
        <v>80</v>
      </c>
      <c r="E58" s="17" t="s">
        <v>80</v>
      </c>
      <c r="F58" s="17" t="s">
        <v>80</v>
      </c>
      <c r="G58" s="17" t="s">
        <v>80</v>
      </c>
      <c r="H58" s="17" t="s">
        <v>80</v>
      </c>
      <c r="I58" s="17">
        <v>-0.782</v>
      </c>
      <c r="J58" s="17" t="s">
        <v>80</v>
      </c>
      <c r="K58" s="17" t="s">
        <v>80</v>
      </c>
      <c r="L58" s="17" t="s">
        <v>80</v>
      </c>
      <c r="M58" s="17" t="s">
        <v>80</v>
      </c>
      <c r="N58" s="17" t="s">
        <v>80</v>
      </c>
      <c r="O58" s="17"/>
    </row>
    <row r="59" spans="1:15">
      <c r="A59" s="15" t="s">
        <v>95</v>
      </c>
      <c r="B59" s="15" t="s">
        <v>96</v>
      </c>
      <c r="C59" s="17" t="s">
        <v>80</v>
      </c>
      <c r="D59" s="17">
        <v>3.467</v>
      </c>
      <c r="E59" s="17">
        <v>1.7</v>
      </c>
      <c r="F59" s="17">
        <v>38.525</v>
      </c>
      <c r="G59" s="17" t="s">
        <v>80</v>
      </c>
      <c r="H59" s="17" t="s">
        <v>80</v>
      </c>
      <c r="I59" s="17" t="s">
        <v>80</v>
      </c>
      <c r="J59" s="17" t="s">
        <v>80</v>
      </c>
      <c r="K59" s="17" t="s">
        <v>80</v>
      </c>
      <c r="L59" s="17" t="s">
        <v>80</v>
      </c>
      <c r="M59" s="17" t="s">
        <v>80</v>
      </c>
      <c r="N59" s="17" t="s">
        <v>80</v>
      </c>
      <c r="O59" s="17"/>
    </row>
    <row r="60" spans="1:15">
      <c r="A60" s="13" t="s">
        <v>97</v>
      </c>
      <c r="B60" s="13" t="s">
        <v>88</v>
      </c>
      <c r="C60" s="14">
        <v>383.135</v>
      </c>
      <c r="D60" s="14">
        <v>368.495</v>
      </c>
      <c r="E60" s="14">
        <v>422.729</v>
      </c>
      <c r="F60" s="14">
        <v>459.998</v>
      </c>
      <c r="G60" s="14">
        <v>715.25</v>
      </c>
      <c r="H60" s="14">
        <v>897.393</v>
      </c>
      <c r="I60" s="14">
        <v>819.35</v>
      </c>
      <c r="J60" s="14">
        <f>J55</f>
        <v>1390.91162696542</v>
      </c>
      <c r="K60" s="14">
        <f>K55</f>
        <v>2068.01225308929</v>
      </c>
      <c r="L60" s="14">
        <f>L55</f>
        <v>2599.5082792007</v>
      </c>
      <c r="M60" s="14">
        <f>M55</f>
        <v>2859.45910712077</v>
      </c>
      <c r="N60" s="14">
        <f>N55</f>
        <v>3002.43206247681</v>
      </c>
      <c r="O60" s="14"/>
    </row>
    <row r="61" spans="1:15">
      <c r="A61" s="15" t="s">
        <v>98</v>
      </c>
      <c r="B61" s="15" t="s">
        <v>99</v>
      </c>
      <c r="C61" s="17">
        <v>144.102</v>
      </c>
      <c r="D61" s="17">
        <v>102.448</v>
      </c>
      <c r="E61" s="17">
        <v>119.348</v>
      </c>
      <c r="F61" s="17">
        <v>201.336</v>
      </c>
      <c r="G61" s="17">
        <v>231.449</v>
      </c>
      <c r="H61" s="17">
        <v>251.797</v>
      </c>
      <c r="I61" s="17">
        <v>230.437</v>
      </c>
      <c r="J61" s="17">
        <f>SUM(J62:J63)</f>
        <v>612.001115864785</v>
      </c>
      <c r="K61" s="17">
        <f>SUM(K62:K63)</f>
        <v>909.925391359286</v>
      </c>
      <c r="L61" s="17">
        <f>SUM(L62:L63)</f>
        <v>1143.78364284831</v>
      </c>
      <c r="M61" s="17">
        <f>SUM(M62:M63)</f>
        <v>1258.16200713314</v>
      </c>
      <c r="N61" s="17">
        <f>SUM(N62:N63)</f>
        <v>1321.0701074898</v>
      </c>
      <c r="O61" s="17"/>
    </row>
    <row r="62" spans="1:15">
      <c r="A62" s="15" t="s">
        <v>100</v>
      </c>
      <c r="B62" s="15" t="s">
        <v>101</v>
      </c>
      <c r="C62" s="17">
        <v>142.836</v>
      </c>
      <c r="D62" s="17">
        <v>95.073</v>
      </c>
      <c r="E62" s="17">
        <v>137.516</v>
      </c>
      <c r="F62" s="17">
        <v>200.619</v>
      </c>
      <c r="G62" s="17">
        <v>212.495</v>
      </c>
      <c r="H62" s="17">
        <v>227.403</v>
      </c>
      <c r="I62" s="17">
        <v>196.312</v>
      </c>
      <c r="J62" s="17">
        <f>J11*J60</f>
        <v>556.364650786168</v>
      </c>
      <c r="K62" s="17">
        <f>K11*K60</f>
        <v>827.204901235715</v>
      </c>
      <c r="L62" s="17">
        <f>L11*L60</f>
        <v>1039.80331168028</v>
      </c>
      <c r="M62" s="17">
        <f>M11*M60</f>
        <v>1143.78364284831</v>
      </c>
      <c r="N62" s="17">
        <f>N11*N60</f>
        <v>1200.97282499073</v>
      </c>
      <c r="O62" s="17"/>
    </row>
    <row r="63" spans="1:15">
      <c r="A63" s="15" t="s">
        <v>102</v>
      </c>
      <c r="B63" s="15" t="s">
        <v>103</v>
      </c>
      <c r="C63" s="17">
        <v>1.266</v>
      </c>
      <c r="D63" s="17">
        <v>7.375</v>
      </c>
      <c r="E63" s="17">
        <v>-18.168</v>
      </c>
      <c r="F63" s="17">
        <v>0.717</v>
      </c>
      <c r="G63" s="17">
        <v>18.954</v>
      </c>
      <c r="H63" s="17">
        <v>24.394</v>
      </c>
      <c r="I63" s="17">
        <v>34.125</v>
      </c>
      <c r="J63" s="17">
        <f>J12*J60</f>
        <v>55.6364650786168</v>
      </c>
      <c r="K63" s="17">
        <f>K12*K60</f>
        <v>82.7204901235715</v>
      </c>
      <c r="L63" s="17">
        <f>L12*L60</f>
        <v>103.980331168028</v>
      </c>
      <c r="M63" s="17">
        <f>M12*M60</f>
        <v>114.378364284831</v>
      </c>
      <c r="N63" s="17">
        <f>N12*N60</f>
        <v>120.097282499073</v>
      </c>
      <c r="O63" s="17"/>
    </row>
    <row r="64" spans="1:15">
      <c r="A64" s="15" t="s">
        <v>104</v>
      </c>
      <c r="B64" s="15" t="s">
        <v>105</v>
      </c>
      <c r="C64" s="17">
        <v>0</v>
      </c>
      <c r="D64" s="17" t="s">
        <v>80</v>
      </c>
      <c r="E64" s="17" t="s">
        <v>80</v>
      </c>
      <c r="F64" s="17" t="s">
        <v>80</v>
      </c>
      <c r="G64" s="17" t="s">
        <v>80</v>
      </c>
      <c r="H64" s="17" t="s">
        <v>80</v>
      </c>
      <c r="I64" s="17" t="s">
        <v>80</v>
      </c>
      <c r="J64" s="17" t="s">
        <v>80</v>
      </c>
      <c r="K64" s="17" t="s">
        <v>80</v>
      </c>
      <c r="L64" s="17" t="s">
        <v>80</v>
      </c>
      <c r="M64" s="17" t="s">
        <v>80</v>
      </c>
      <c r="N64" s="17" t="s">
        <v>80</v>
      </c>
      <c r="O64" s="17"/>
    </row>
    <row r="65" spans="1:15">
      <c r="A65" s="13" t="s">
        <v>106</v>
      </c>
      <c r="B65" s="13" t="s">
        <v>107</v>
      </c>
      <c r="C65" s="14">
        <v>239.033</v>
      </c>
      <c r="D65" s="14">
        <v>266.047</v>
      </c>
      <c r="E65" s="14">
        <v>303.381</v>
      </c>
      <c r="F65" s="14">
        <v>258.662</v>
      </c>
      <c r="G65" s="14">
        <v>483.801</v>
      </c>
      <c r="H65" s="14">
        <v>645.596</v>
      </c>
      <c r="I65" s="14">
        <v>588.913</v>
      </c>
      <c r="J65" s="14">
        <f>J60-J61</f>
        <v>778.910511100636</v>
      </c>
      <c r="K65" s="14">
        <f>K60-K61</f>
        <v>1158.08686173</v>
      </c>
      <c r="L65" s="14">
        <f>L60-L61</f>
        <v>1455.72463635239</v>
      </c>
      <c r="M65" s="14">
        <f>M60-M61</f>
        <v>1601.29709998763</v>
      </c>
      <c r="N65" s="14">
        <f>N60-N61</f>
        <v>1681.36195498702</v>
      </c>
      <c r="O65" s="14"/>
    </row>
    <row r="66" spans="1:15">
      <c r="A66" s="15" t="s">
        <v>108</v>
      </c>
      <c r="B66" s="15" t="s">
        <v>109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/>
    </row>
    <row r="67" spans="1:15">
      <c r="A67" s="15" t="s">
        <v>110</v>
      </c>
      <c r="B67" s="15" t="s">
        <v>111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/>
    </row>
    <row r="68" spans="1:15">
      <c r="A68" s="15" t="s">
        <v>112</v>
      </c>
      <c r="B68" s="15" t="s">
        <v>113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/>
    </row>
    <row r="69" spans="1:15">
      <c r="A69" s="13" t="s">
        <v>114</v>
      </c>
      <c r="B69" s="13" t="s">
        <v>115</v>
      </c>
      <c r="C69" s="14">
        <v>239.033</v>
      </c>
      <c r="D69" s="14">
        <v>266.047</v>
      </c>
      <c r="E69" s="14">
        <v>303.381</v>
      </c>
      <c r="F69" s="14">
        <v>258.662</v>
      </c>
      <c r="G69" s="14">
        <v>483.801</v>
      </c>
      <c r="H69" s="14">
        <v>645.596</v>
      </c>
      <c r="I69" s="14">
        <v>588.913</v>
      </c>
      <c r="J69" s="36">
        <f>J65-SUM(J66:J68)</f>
        <v>778.910511100636</v>
      </c>
      <c r="K69" s="36">
        <f>K65-SUM(K66:K68)</f>
        <v>1158.08686173</v>
      </c>
      <c r="L69" s="36">
        <f>L65-SUM(L66:L68)</f>
        <v>1455.72463635239</v>
      </c>
      <c r="M69" s="36">
        <f>M65-SUM(M66:M68)</f>
        <v>1601.29709998763</v>
      </c>
      <c r="N69" s="36">
        <f>N65-SUM(N66:N68)</f>
        <v>1681.36195498702</v>
      </c>
      <c r="O69" s="14"/>
    </row>
    <row r="70" spans="1:15">
      <c r="A70" s="15" t="s">
        <v>116</v>
      </c>
      <c r="B70" s="15" t="s">
        <v>117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/>
    </row>
    <row r="71" spans="1:15">
      <c r="A71" s="13" t="s">
        <v>118</v>
      </c>
      <c r="B71" s="13" t="s">
        <v>119</v>
      </c>
      <c r="C71" s="14">
        <v>239.033</v>
      </c>
      <c r="D71" s="14">
        <v>266.047</v>
      </c>
      <c r="E71" s="14">
        <v>303.381</v>
      </c>
      <c r="F71" s="14">
        <v>258.662</v>
      </c>
      <c r="G71" s="14">
        <v>483.801</v>
      </c>
      <c r="H71" s="14">
        <v>645.596</v>
      </c>
      <c r="I71" s="14">
        <v>588.913</v>
      </c>
      <c r="J71" s="14">
        <f>J69-J70</f>
        <v>778.910511100636</v>
      </c>
      <c r="K71" s="14">
        <f>K69-K70</f>
        <v>1158.08686173</v>
      </c>
      <c r="L71" s="14">
        <f>L69-L70</f>
        <v>1455.72463635239</v>
      </c>
      <c r="M71" s="14">
        <f>M69-M70</f>
        <v>1601.29709998763</v>
      </c>
      <c r="N71" s="14">
        <f>N69-N70</f>
        <v>1681.36195498702</v>
      </c>
      <c r="O71" s="14"/>
    </row>
    <row r="72" spans="1:15">
      <c r="A72" s="15" t="s">
        <v>120</v>
      </c>
      <c r="B72" s="15" t="s">
        <v>121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/>
    </row>
    <row r="73" spans="1:15">
      <c r="A73" s="15" t="s">
        <v>122</v>
      </c>
      <c r="B73" s="15" t="s">
        <v>123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/>
    </row>
    <row r="74" spans="1:15">
      <c r="A74" s="13" t="s">
        <v>124</v>
      </c>
      <c r="B74" s="13" t="s">
        <v>125</v>
      </c>
      <c r="C74" s="14">
        <v>239.033</v>
      </c>
      <c r="D74" s="14">
        <v>266.047</v>
      </c>
      <c r="E74" s="14">
        <v>303.381</v>
      </c>
      <c r="F74" s="14">
        <v>258.662</v>
      </c>
      <c r="G74" s="14">
        <v>483.801</v>
      </c>
      <c r="H74" s="14">
        <v>645.596</v>
      </c>
      <c r="I74" s="14">
        <v>588.913</v>
      </c>
      <c r="J74" s="14">
        <f>J71-J72-J73</f>
        <v>778.910511100636</v>
      </c>
      <c r="K74" s="14">
        <f>K71-K72-K73</f>
        <v>1158.08686173</v>
      </c>
      <c r="L74" s="14">
        <f>L71-L72-L73</f>
        <v>1455.72463635239</v>
      </c>
      <c r="M74" s="14">
        <f>M71-M72-M73</f>
        <v>1601.29709998763</v>
      </c>
      <c r="N74" s="14">
        <f>N71-N72-N73</f>
        <v>1681.36195498702</v>
      </c>
      <c r="O74" s="14"/>
    </row>
    <row r="75" spans="1:15">
      <c r="A75" s="13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>
      <c r="A76" s="13" t="s">
        <v>126</v>
      </c>
      <c r="B76" s="13" t="s">
        <v>125</v>
      </c>
      <c r="C76" s="14">
        <v>272.733</v>
      </c>
      <c r="D76" s="14">
        <v>262.071</v>
      </c>
      <c r="E76" s="14">
        <v>294.337</v>
      </c>
      <c r="F76" s="14">
        <v>352.444</v>
      </c>
      <c r="G76" s="14">
        <v>483.801</v>
      </c>
      <c r="H76" s="14">
        <v>645.596</v>
      </c>
      <c r="I76" s="14">
        <v>615.622</v>
      </c>
      <c r="J76" s="14">
        <f>J74+J77+J78</f>
        <v>778.910511100636</v>
      </c>
      <c r="K76" s="14">
        <f>K74+K77+K78</f>
        <v>1160.08686173</v>
      </c>
      <c r="L76" s="14">
        <f>L74+L77+L78</f>
        <v>1459.72463635239</v>
      </c>
      <c r="M76" s="14">
        <f>M74+M77+M78</f>
        <v>1607.29709998763</v>
      </c>
      <c r="N76" s="14">
        <f>N74+N77+N78</f>
        <v>1689.36195498702</v>
      </c>
      <c r="O76" s="14"/>
    </row>
    <row r="77" spans="1:15">
      <c r="A77" s="15" t="s">
        <v>127</v>
      </c>
      <c r="B77" s="15" t="s">
        <v>128</v>
      </c>
      <c r="C77" s="17">
        <v>33.7</v>
      </c>
      <c r="D77" s="17">
        <v>-3.976</v>
      </c>
      <c r="E77" s="17">
        <v>-9.044</v>
      </c>
      <c r="F77" s="17">
        <v>93.782</v>
      </c>
      <c r="G77" s="17">
        <v>0</v>
      </c>
      <c r="H77" s="17">
        <v>0</v>
      </c>
      <c r="I77" s="17">
        <v>26.709</v>
      </c>
      <c r="J77" s="17">
        <v>0</v>
      </c>
      <c r="K77" s="17">
        <v>1</v>
      </c>
      <c r="L77" s="17">
        <v>2</v>
      </c>
      <c r="M77" s="17">
        <v>3</v>
      </c>
      <c r="N77" s="17">
        <v>4</v>
      </c>
      <c r="O77" s="17"/>
    </row>
    <row r="78" spans="1:15">
      <c r="A78" s="15" t="s">
        <v>129</v>
      </c>
      <c r="B78" s="15" t="s">
        <v>109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1</v>
      </c>
      <c r="L78" s="17">
        <v>2</v>
      </c>
      <c r="M78" s="17">
        <v>3</v>
      </c>
      <c r="N78" s="17">
        <v>4</v>
      </c>
      <c r="O78" s="17"/>
    </row>
    <row r="79" spans="1:15">
      <c r="A79" s="13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>
      <c r="A80" s="15" t="s">
        <v>130</v>
      </c>
      <c r="B80" s="15" t="s">
        <v>131</v>
      </c>
      <c r="C80" s="17">
        <v>143.935</v>
      </c>
      <c r="D80" s="17">
        <v>140.365</v>
      </c>
      <c r="E80" s="17">
        <v>137.086</v>
      </c>
      <c r="F80" s="17">
        <v>135.988</v>
      </c>
      <c r="G80" s="17">
        <v>133.413</v>
      </c>
      <c r="H80" s="17">
        <v>130.393</v>
      </c>
      <c r="I80" s="17">
        <v>130.289</v>
      </c>
      <c r="J80" s="17">
        <f>I80</f>
        <v>130.289</v>
      </c>
      <c r="K80" s="17">
        <f>J80</f>
        <v>130.289</v>
      </c>
      <c r="L80" s="17">
        <f>K80</f>
        <v>130.289</v>
      </c>
      <c r="M80" s="17">
        <f>L80</f>
        <v>130.289</v>
      </c>
      <c r="N80" s="17">
        <f>M80</f>
        <v>130.289</v>
      </c>
      <c r="O80" s="17"/>
    </row>
    <row r="81" spans="1:15">
      <c r="A81" s="13" t="s">
        <v>132</v>
      </c>
      <c r="B81" s="13" t="s">
        <v>133</v>
      </c>
      <c r="C81" s="31">
        <v>1.66</v>
      </c>
      <c r="D81" s="31">
        <v>1.9</v>
      </c>
      <c r="E81" s="31">
        <v>2.21</v>
      </c>
      <c r="F81" s="31">
        <v>1.9</v>
      </c>
      <c r="G81" s="31">
        <v>3.63</v>
      </c>
      <c r="H81" s="31">
        <v>4.95</v>
      </c>
      <c r="I81" s="31">
        <v>4.52</v>
      </c>
      <c r="J81" s="31">
        <f>J71/J80</f>
        <v>5.97832903085169</v>
      </c>
      <c r="K81" s="31">
        <f>K71/K80</f>
        <v>8.88860043234656</v>
      </c>
      <c r="L81" s="31">
        <f>L71/L80</f>
        <v>11.1730432834114</v>
      </c>
      <c r="M81" s="31">
        <f>M71/M80</f>
        <v>12.2903476117526</v>
      </c>
      <c r="N81" s="31">
        <f>N71/N80</f>
        <v>12.9048649923402</v>
      </c>
      <c r="O81" s="31"/>
    </row>
    <row r="82" spans="1:15">
      <c r="A82" s="13" t="s">
        <v>134</v>
      </c>
      <c r="B82" s="13" t="s">
        <v>135</v>
      </c>
      <c r="C82" s="31">
        <v>1.66</v>
      </c>
      <c r="D82" s="31">
        <v>1.9</v>
      </c>
      <c r="E82" s="31">
        <v>2.21</v>
      </c>
      <c r="F82" s="31">
        <v>1.9</v>
      </c>
      <c r="G82" s="31">
        <v>3.63</v>
      </c>
      <c r="H82" s="31">
        <v>4.95</v>
      </c>
      <c r="I82" s="31">
        <v>4.52</v>
      </c>
      <c r="J82" s="31">
        <f>J74/J80</f>
        <v>5.97832903085169</v>
      </c>
      <c r="K82" s="31">
        <f>K74/K80</f>
        <v>8.88860043234656</v>
      </c>
      <c r="L82" s="31">
        <f>L74/L80</f>
        <v>11.1730432834114</v>
      </c>
      <c r="M82" s="31">
        <f>M74/M80</f>
        <v>12.2903476117526</v>
      </c>
      <c r="N82" s="31">
        <f>N74/N80</f>
        <v>12.9048649923402</v>
      </c>
      <c r="O82" s="31"/>
    </row>
    <row r="83" spans="1:15">
      <c r="A83" s="13" t="s">
        <v>136</v>
      </c>
      <c r="B83" s="13" t="s">
        <v>137</v>
      </c>
      <c r="C83" s="31">
        <v>1.8948</v>
      </c>
      <c r="D83" s="31">
        <v>1.8671</v>
      </c>
      <c r="E83" s="31">
        <v>2.1471</v>
      </c>
      <c r="F83" s="31">
        <v>2.5917</v>
      </c>
      <c r="G83" s="31">
        <v>3.63</v>
      </c>
      <c r="H83" s="31">
        <v>4.95</v>
      </c>
      <c r="I83" s="31">
        <v>4.7251</v>
      </c>
      <c r="J83" s="31">
        <f>J76/J80</f>
        <v>5.97832903085169</v>
      </c>
      <c r="K83" s="31">
        <f>K76/K80</f>
        <v>8.90395092241095</v>
      </c>
      <c r="L83" s="31">
        <f>L76/L80</f>
        <v>11.2037442635402</v>
      </c>
      <c r="M83" s="31">
        <f>M76/M80</f>
        <v>12.3363990819458</v>
      </c>
      <c r="N83" s="31">
        <f>N76/N80</f>
        <v>12.9662669525978</v>
      </c>
      <c r="O83" s="31"/>
    </row>
    <row r="84" spans="1:15">
      <c r="A84" s="13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</row>
    <row r="85" spans="1:15">
      <c r="A85" s="15" t="s">
        <v>138</v>
      </c>
      <c r="B85" s="15" t="s">
        <v>139</v>
      </c>
      <c r="C85" s="17">
        <v>144.298</v>
      </c>
      <c r="D85" s="17">
        <v>140.61</v>
      </c>
      <c r="E85" s="17">
        <v>137.302</v>
      </c>
      <c r="F85" s="17">
        <v>136.198</v>
      </c>
      <c r="G85" s="17">
        <v>133.971</v>
      </c>
      <c r="H85" s="17">
        <v>130.955</v>
      </c>
      <c r="I85" s="17">
        <v>130.871</v>
      </c>
      <c r="J85" s="17">
        <f>I85</f>
        <v>130.871</v>
      </c>
      <c r="K85" s="17">
        <f>J85</f>
        <v>130.871</v>
      </c>
      <c r="L85" s="17">
        <f>K85</f>
        <v>130.871</v>
      </c>
      <c r="M85" s="17">
        <f>L85</f>
        <v>130.871</v>
      </c>
      <c r="N85" s="17">
        <f>M85</f>
        <v>130.871</v>
      </c>
      <c r="O85" s="17"/>
    </row>
    <row r="86" spans="1:15">
      <c r="A86" s="13" t="s">
        <v>140</v>
      </c>
      <c r="B86" s="13" t="s">
        <v>141</v>
      </c>
      <c r="C86" s="31">
        <v>1.66</v>
      </c>
      <c r="D86" s="31">
        <v>1.89</v>
      </c>
      <c r="E86" s="31">
        <v>2.21</v>
      </c>
      <c r="F86" s="31">
        <v>1.9</v>
      </c>
      <c r="G86" s="31">
        <v>3.61</v>
      </c>
      <c r="H86" s="31">
        <v>4.93</v>
      </c>
      <c r="I86" s="31">
        <v>4.5</v>
      </c>
      <c r="J86" s="31">
        <f>J71/J85</f>
        <v>5.9517426404676</v>
      </c>
      <c r="K86" s="31">
        <f>K71/K85</f>
        <v>8.84907169449306</v>
      </c>
      <c r="L86" s="31">
        <f>L71/L85</f>
        <v>11.1233553373352</v>
      </c>
      <c r="M86" s="31">
        <f>M71/M85</f>
        <v>12.2356908710687</v>
      </c>
      <c r="N86" s="31">
        <f>N71/N85</f>
        <v>12.8474754146221</v>
      </c>
      <c r="O86" s="31"/>
    </row>
    <row r="87" spans="1:15">
      <c r="A87" s="13" t="s">
        <v>142</v>
      </c>
      <c r="B87" s="13" t="s">
        <v>143</v>
      </c>
      <c r="C87" s="31">
        <v>1.66</v>
      </c>
      <c r="D87" s="31">
        <v>1.89</v>
      </c>
      <c r="E87" s="31">
        <v>2.21</v>
      </c>
      <c r="F87" s="31">
        <v>1.9</v>
      </c>
      <c r="G87" s="31">
        <v>3.61</v>
      </c>
      <c r="H87" s="31">
        <v>4.93</v>
      </c>
      <c r="I87" s="31">
        <v>4.5</v>
      </c>
      <c r="J87" s="31">
        <f>J74/J85</f>
        <v>5.9517426404676</v>
      </c>
      <c r="K87" s="31">
        <f>K74/K85</f>
        <v>8.84907169449306</v>
      </c>
      <c r="L87" s="31">
        <f>L74/L85</f>
        <v>11.1233553373352</v>
      </c>
      <c r="M87" s="31">
        <f>M74/M85</f>
        <v>12.2356908710687</v>
      </c>
      <c r="N87" s="31">
        <f>N74/N85</f>
        <v>12.8474754146221</v>
      </c>
      <c r="O87" s="31"/>
    </row>
    <row r="88" spans="1:15">
      <c r="A88" s="13" t="s">
        <v>144</v>
      </c>
      <c r="B88" s="13" t="s">
        <v>145</v>
      </c>
      <c r="C88" s="31">
        <v>1.8935</v>
      </c>
      <c r="D88" s="31">
        <v>1.8617</v>
      </c>
      <c r="E88" s="31">
        <v>2.1441</v>
      </c>
      <c r="F88" s="31">
        <v>2.5886</v>
      </c>
      <c r="G88" s="31">
        <v>3.61</v>
      </c>
      <c r="H88" s="31">
        <v>4.93</v>
      </c>
      <c r="I88" s="31">
        <v>4.7041</v>
      </c>
      <c r="J88" s="31">
        <f>J76/J85</f>
        <v>5.9517426404676</v>
      </c>
      <c r="K88" s="31">
        <f>K76/K85</f>
        <v>8.86435391897365</v>
      </c>
      <c r="L88" s="31">
        <f>L76/L85</f>
        <v>11.1539197862964</v>
      </c>
      <c r="M88" s="31">
        <f>M76/M85</f>
        <v>12.2815375445105</v>
      </c>
      <c r="N88" s="31">
        <f>N76/N85</f>
        <v>12.9086043125445</v>
      </c>
      <c r="O88" s="31"/>
    </row>
    <row r="89" spans="1:15">
      <c r="A89" s="13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</row>
    <row r="90" spans="1:1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</row>
    <row r="95" spans="1:1">
      <c r="A95" s="33" t="s">
        <v>146</v>
      </c>
    </row>
    <row r="96" spans="1:15">
      <c r="A96" s="34" t="s">
        <v>25</v>
      </c>
      <c r="B96" s="34"/>
      <c r="C96" s="35" t="s">
        <v>26</v>
      </c>
      <c r="D96" s="35" t="s">
        <v>27</v>
      </c>
      <c r="E96" s="35" t="s">
        <v>28</v>
      </c>
      <c r="F96" s="35" t="s">
        <v>29</v>
      </c>
      <c r="G96" s="35" t="s">
        <v>30</v>
      </c>
      <c r="H96" s="35" t="s">
        <v>31</v>
      </c>
      <c r="I96" s="35" t="s">
        <v>32</v>
      </c>
      <c r="J96" s="25" t="s">
        <v>33</v>
      </c>
      <c r="K96" s="25" t="s">
        <v>34</v>
      </c>
      <c r="L96" s="25" t="s">
        <v>35</v>
      </c>
      <c r="M96" s="25" t="s">
        <v>36</v>
      </c>
      <c r="N96" s="26" t="s">
        <v>37</v>
      </c>
      <c r="O96" s="25"/>
    </row>
    <row r="97" spans="1:15">
      <c r="A97" s="11" t="s">
        <v>38</v>
      </c>
      <c r="B97" s="11"/>
      <c r="C97" s="12" t="s">
        <v>39</v>
      </c>
      <c r="D97" s="12" t="s">
        <v>40</v>
      </c>
      <c r="E97" s="12" t="s">
        <v>41</v>
      </c>
      <c r="F97" s="12" t="s">
        <v>42</v>
      </c>
      <c r="G97" s="12" t="s">
        <v>43</v>
      </c>
      <c r="H97" s="12" t="s">
        <v>44</v>
      </c>
      <c r="I97" s="12" t="s">
        <v>45</v>
      </c>
      <c r="J97" s="27" t="s">
        <v>46</v>
      </c>
      <c r="K97" s="27" t="s">
        <v>47</v>
      </c>
      <c r="L97" s="27" t="s">
        <v>48</v>
      </c>
      <c r="M97" s="27" t="s">
        <v>49</v>
      </c>
      <c r="N97" s="27" t="s">
        <v>50</v>
      </c>
      <c r="O97" s="27"/>
    </row>
    <row r="98" spans="1:14">
      <c r="A98" s="13" t="s">
        <v>147</v>
      </c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</row>
    <row r="99" spans="1:14">
      <c r="A99" s="15" t="s">
        <v>148</v>
      </c>
      <c r="B99" s="15" t="s">
        <v>149</v>
      </c>
      <c r="C99" s="17">
        <v>664.479</v>
      </c>
      <c r="D99" s="17">
        <v>501.482</v>
      </c>
      <c r="E99" s="17">
        <v>734.846</v>
      </c>
      <c r="F99" s="17">
        <v>990.501</v>
      </c>
      <c r="G99" s="17">
        <v>881.32</v>
      </c>
      <c r="H99" s="17">
        <v>1093.505</v>
      </c>
      <c r="I99" s="17">
        <v>1150.517</v>
      </c>
      <c r="J99" s="17">
        <f>SUM(J100:J101)</f>
        <v>1757.47781913531</v>
      </c>
      <c r="K99" s="17">
        <f>SUM(K100:K101)</f>
        <v>2930.83370428267</v>
      </c>
      <c r="L99" s="17">
        <f>SUM(L100:L101)</f>
        <v>4180.62520388525</v>
      </c>
      <c r="M99" s="17">
        <f>SUM(M100:M101)</f>
        <v>5652.11579472261</v>
      </c>
      <c r="N99" s="17">
        <f>SUM(N100:N101)</f>
        <v>7264.58913010839</v>
      </c>
    </row>
    <row r="100" spans="1:14">
      <c r="A100" s="15" t="s">
        <v>150</v>
      </c>
      <c r="B100" s="15" t="s">
        <v>151</v>
      </c>
      <c r="C100" s="17">
        <v>664.479</v>
      </c>
      <c r="D100" s="17">
        <v>501.482</v>
      </c>
      <c r="E100" s="17">
        <v>734.846</v>
      </c>
      <c r="F100" s="17">
        <v>990.501</v>
      </c>
      <c r="G100" s="17">
        <v>881.32</v>
      </c>
      <c r="H100" s="17">
        <v>1093.505</v>
      </c>
      <c r="I100" s="17">
        <v>1150.517</v>
      </c>
      <c r="J100" s="17">
        <f>I100+J228</f>
        <v>1757.47781913531</v>
      </c>
      <c r="K100" s="17">
        <f>J100+K228</f>
        <v>2930.83370428267</v>
      </c>
      <c r="L100" s="17">
        <f>K100+L228</f>
        <v>4180.62520388525</v>
      </c>
      <c r="M100" s="17">
        <f>L100+M228</f>
        <v>5652.11579472261</v>
      </c>
      <c r="N100" s="17">
        <f>M100+N228</f>
        <v>7264.58913010839</v>
      </c>
    </row>
    <row r="101" spans="1:14">
      <c r="A101" s="15" t="s">
        <v>152</v>
      </c>
      <c r="B101" s="15" t="s">
        <v>153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</row>
    <row r="102" spans="1:14">
      <c r="A102" s="15" t="s">
        <v>154</v>
      </c>
      <c r="B102" s="15" t="s">
        <v>155</v>
      </c>
      <c r="C102" s="17">
        <v>13.746</v>
      </c>
      <c r="D102" s="17">
        <v>13.108</v>
      </c>
      <c r="E102" s="17">
        <v>9.2</v>
      </c>
      <c r="F102" s="17">
        <v>19.173</v>
      </c>
      <c r="G102" s="17">
        <v>35.786</v>
      </c>
      <c r="H102" s="17">
        <v>40.219</v>
      </c>
      <c r="I102" s="17">
        <v>62.399</v>
      </c>
      <c r="J102" s="17">
        <f>J103+J104</f>
        <v>62.9180581985608</v>
      </c>
      <c r="K102" s="17">
        <f>K103+K104</f>
        <v>78.9644531129527</v>
      </c>
      <c r="L102" s="17">
        <f>L103+L104</f>
        <v>99.2589619926269</v>
      </c>
      <c r="M102" s="17">
        <f>M103+M104</f>
        <v>109.18485819189</v>
      </c>
      <c r="N102" s="17">
        <f>N103+N104</f>
        <v>114.644101101484</v>
      </c>
    </row>
    <row r="103" spans="1:14">
      <c r="A103" s="15" t="s">
        <v>156</v>
      </c>
      <c r="B103" s="15" t="s">
        <v>157</v>
      </c>
      <c r="C103" s="17">
        <v>13.746</v>
      </c>
      <c r="D103" s="17">
        <v>13.108</v>
      </c>
      <c r="E103" s="17">
        <v>9.2</v>
      </c>
      <c r="F103" s="17">
        <v>19.173</v>
      </c>
      <c r="G103" s="17">
        <v>35.786</v>
      </c>
      <c r="H103" s="17">
        <v>40.219</v>
      </c>
      <c r="I103" s="17">
        <v>62.399</v>
      </c>
      <c r="J103" s="17">
        <f>(J13*J36)/365</f>
        <v>62.9180581985608</v>
      </c>
      <c r="K103" s="17">
        <f>(K13*K36)/365</f>
        <v>78.9644531129527</v>
      </c>
      <c r="L103" s="17">
        <f>(L13*L36)/365</f>
        <v>99.2589619926269</v>
      </c>
      <c r="M103" s="17">
        <f>(M13*M36)/365</f>
        <v>109.18485819189</v>
      </c>
      <c r="N103" s="17">
        <f>(N13*N36)/365</f>
        <v>114.644101101484</v>
      </c>
    </row>
    <row r="104" spans="1:14">
      <c r="A104" s="15" t="s">
        <v>158</v>
      </c>
      <c r="B104" s="15" t="s">
        <v>159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</row>
    <row r="105" spans="1:14">
      <c r="A105" s="15" t="s">
        <v>160</v>
      </c>
      <c r="B105" s="15" t="s">
        <v>161</v>
      </c>
      <c r="C105" s="17">
        <v>208.116</v>
      </c>
      <c r="D105" s="17">
        <v>284.009</v>
      </c>
      <c r="E105" s="17">
        <v>298.432</v>
      </c>
      <c r="F105" s="17">
        <v>329.562</v>
      </c>
      <c r="G105" s="17">
        <v>404.842</v>
      </c>
      <c r="H105" s="17">
        <v>518.513</v>
      </c>
      <c r="I105" s="17">
        <v>647.23</v>
      </c>
      <c r="J105" s="17">
        <f>SUM(J106:J109)</f>
        <v>824.490022965111</v>
      </c>
      <c r="K105" s="17">
        <f>SUM(K106:K109)</f>
        <v>927.740354952163</v>
      </c>
      <c r="L105" s="17">
        <f>SUM(L106:L109)</f>
        <v>1166.17719747264</v>
      </c>
      <c r="M105" s="17">
        <f>SUM(M106:M109)</f>
        <v>1282.7949172199</v>
      </c>
      <c r="N105" s="17">
        <f>SUM(N106:N109)</f>
        <v>1346.9346630809</v>
      </c>
    </row>
    <row r="106" spans="1:14">
      <c r="A106" s="15" t="s">
        <v>162</v>
      </c>
      <c r="B106" s="15" t="s">
        <v>163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</row>
    <row r="107" spans="1:14">
      <c r="A107" s="15" t="s">
        <v>164</v>
      </c>
      <c r="B107" s="15" t="s">
        <v>165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</row>
    <row r="108" spans="1:14">
      <c r="A108" s="15" t="s">
        <v>166</v>
      </c>
      <c r="B108" s="15" t="s">
        <v>167</v>
      </c>
      <c r="C108" s="17">
        <v>208.116</v>
      </c>
      <c r="D108" s="17">
        <v>290.791</v>
      </c>
      <c r="E108" s="17">
        <v>306.087</v>
      </c>
      <c r="F108" s="17">
        <v>344.695</v>
      </c>
      <c r="G108" s="17">
        <v>420.931</v>
      </c>
      <c r="H108" s="17">
        <v>540.58</v>
      </c>
      <c r="I108" s="17">
        <v>678.2</v>
      </c>
      <c r="J108" s="17">
        <f>(J14*J36)/365</f>
        <v>852.761191780822</v>
      </c>
      <c r="K108" s="17">
        <f>(K14*K36)/365</f>
        <v>963.221700821918</v>
      </c>
      <c r="L108" s="17">
        <f>(L14*L36)/365</f>
        <v>1210.77753879452</v>
      </c>
      <c r="M108" s="17">
        <f>(M14*M36)/365</f>
        <v>1331.85529267397</v>
      </c>
      <c r="N108" s="17">
        <f>(N14*N36)/365</f>
        <v>1398.44805730767</v>
      </c>
    </row>
    <row r="109" spans="1:14">
      <c r="A109" s="15" t="s">
        <v>168</v>
      </c>
      <c r="B109" s="15" t="s">
        <v>169</v>
      </c>
      <c r="C109" s="17">
        <v>0</v>
      </c>
      <c r="D109" s="17">
        <v>-6.782</v>
      </c>
      <c r="E109" s="17">
        <v>-7.655</v>
      </c>
      <c r="F109" s="17">
        <v>-15.133</v>
      </c>
      <c r="G109" s="17">
        <v>-16.089</v>
      </c>
      <c r="H109" s="17">
        <v>-22.067</v>
      </c>
      <c r="I109" s="17">
        <v>-30.97</v>
      </c>
      <c r="J109" s="17">
        <f>(J15*J36)/365</f>
        <v>-28.2711688157104</v>
      </c>
      <c r="K109" s="17">
        <f>(K15*K36)/365</f>
        <v>-35.4813458697554</v>
      </c>
      <c r="L109" s="17">
        <f>(L15*L36)/365</f>
        <v>-44.6003413218803</v>
      </c>
      <c r="M109" s="17">
        <f>(M15*M36)/365</f>
        <v>-49.0603754540683</v>
      </c>
      <c r="N109" s="17">
        <f>(N15*N36)/365</f>
        <v>-51.5133942267717</v>
      </c>
    </row>
    <row r="110" spans="1:14">
      <c r="A110" s="15" t="s">
        <v>170</v>
      </c>
      <c r="B110" s="15" t="s">
        <v>171</v>
      </c>
      <c r="C110" s="17">
        <v>64.671</v>
      </c>
      <c r="D110" s="17">
        <v>118.44</v>
      </c>
      <c r="E110" s="17">
        <v>120.259</v>
      </c>
      <c r="F110" s="17">
        <v>97.046</v>
      </c>
      <c r="G110" s="17">
        <v>107.334</v>
      </c>
      <c r="H110" s="17">
        <v>155.701</v>
      </c>
      <c r="I110" s="17">
        <v>264.233</v>
      </c>
      <c r="J110" s="17">
        <f>SUM(J111:J113)</f>
        <v>270.393703367839</v>
      </c>
      <c r="K110" s="17">
        <f>SUM(K111:K113)</f>
        <v>339.353939440486</v>
      </c>
      <c r="L110" s="17">
        <f>SUM(L111:L113)</f>
        <v>426.570671347387</v>
      </c>
      <c r="M110" s="17">
        <f>SUM(M111:M113)</f>
        <v>469.227738482125</v>
      </c>
      <c r="N110" s="17">
        <f>SUM(N111:N113)</f>
        <v>492.689125406231</v>
      </c>
    </row>
    <row r="111" spans="1:14">
      <c r="A111" s="15" t="s">
        <v>172</v>
      </c>
      <c r="B111" s="15" t="s">
        <v>173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</row>
    <row r="112" spans="1:14">
      <c r="A112" s="15" t="s">
        <v>174</v>
      </c>
      <c r="B112" s="15" t="s">
        <v>175</v>
      </c>
      <c r="C112" s="17" t="s">
        <v>80</v>
      </c>
      <c r="D112" s="17">
        <v>91.453</v>
      </c>
      <c r="E112" s="17">
        <v>81.19</v>
      </c>
      <c r="F112" s="17">
        <v>48.948</v>
      </c>
      <c r="G112" s="17">
        <v>49.385</v>
      </c>
      <c r="H112" s="17">
        <v>85.159</v>
      </c>
      <c r="I112" s="17">
        <v>139.126</v>
      </c>
      <c r="J112" s="17">
        <f>(J16*J36)/365</f>
        <v>166.722715681877</v>
      </c>
      <c r="K112" s="17">
        <f>(K16*K36)/365</f>
        <v>209.243076507197</v>
      </c>
      <c r="L112" s="17">
        <f>(L16*L36)/365</f>
        <v>263.020254804265</v>
      </c>
      <c r="M112" s="17">
        <f>(M16*M36)/365</f>
        <v>289.322280284691</v>
      </c>
      <c r="N112" s="17">
        <f>(N16*N36)/365</f>
        <v>303.788394298926</v>
      </c>
    </row>
    <row r="113" spans="1:14">
      <c r="A113" s="15" t="s">
        <v>176</v>
      </c>
      <c r="B113" s="15" t="s">
        <v>177</v>
      </c>
      <c r="C113" s="17">
        <v>64.671</v>
      </c>
      <c r="D113" s="17">
        <v>26.987</v>
      </c>
      <c r="E113" s="17">
        <v>39.069</v>
      </c>
      <c r="F113" s="17">
        <v>48.098</v>
      </c>
      <c r="G113" s="17">
        <v>57.949</v>
      </c>
      <c r="H113" s="17">
        <v>70.542</v>
      </c>
      <c r="I113" s="17">
        <v>125.107</v>
      </c>
      <c r="J113" s="17">
        <f>(J17*J36)/365</f>
        <v>103.670987685962</v>
      </c>
      <c r="K113" s="17">
        <f>(K17*K36)/365</f>
        <v>130.110862933289</v>
      </c>
      <c r="L113" s="17">
        <f>(L17*L36)/365</f>
        <v>163.550416543122</v>
      </c>
      <c r="M113" s="17">
        <f>(M17*M36)/365</f>
        <v>179.905458197434</v>
      </c>
      <c r="N113" s="17">
        <f>(N17*N36)/365</f>
        <v>188.900731107306</v>
      </c>
    </row>
    <row r="114" spans="1:14">
      <c r="A114" s="13" t="s">
        <v>178</v>
      </c>
      <c r="B114" s="13" t="s">
        <v>179</v>
      </c>
      <c r="C114" s="14">
        <v>951.012</v>
      </c>
      <c r="D114" s="14">
        <v>917.039</v>
      </c>
      <c r="E114" s="14">
        <v>1162.737</v>
      </c>
      <c r="F114" s="14">
        <v>1436.282</v>
      </c>
      <c r="G114" s="14">
        <v>1429.282</v>
      </c>
      <c r="H114" s="14">
        <v>1807.938</v>
      </c>
      <c r="I114" s="14">
        <v>2124.379</v>
      </c>
      <c r="J114" s="14">
        <f>J99+J102+J105+J110</f>
        <v>2915.27960366682</v>
      </c>
      <c r="K114" s="14">
        <f>K99+K102+K105+K110</f>
        <v>4276.89245178827</v>
      </c>
      <c r="L114" s="14">
        <f>L99+L102+L105+L110</f>
        <v>5872.6320346979</v>
      </c>
      <c r="M114" s="14">
        <f>M99+M102+M105+M110</f>
        <v>7513.32330861653</v>
      </c>
      <c r="N114" s="14">
        <f>N99+N102+N105+N110</f>
        <v>9218.857019697</v>
      </c>
    </row>
    <row r="115" spans="1:14">
      <c r="A115" s="15" t="s">
        <v>180</v>
      </c>
      <c r="B115" s="15" t="s">
        <v>181</v>
      </c>
      <c r="C115" s="17">
        <v>296.008</v>
      </c>
      <c r="D115" s="17">
        <v>349.605</v>
      </c>
      <c r="E115" s="17">
        <v>423.499</v>
      </c>
      <c r="F115" s="17">
        <v>473.642</v>
      </c>
      <c r="G115" s="17">
        <v>567.237</v>
      </c>
      <c r="H115" s="17">
        <v>1361.357</v>
      </c>
      <c r="I115" s="17">
        <v>1480.522</v>
      </c>
      <c r="J115" s="17">
        <f>J116-J117</f>
        <v>1581.4785685</v>
      </c>
      <c r="K115" s="17">
        <f>K116-K117</f>
        <v>1668.86570575</v>
      </c>
      <c r="L115" s="17">
        <f>L116-L117</f>
        <v>1769.3609135875</v>
      </c>
      <c r="M115" s="17">
        <f>M116-M117</f>
        <v>1884.93040260062</v>
      </c>
      <c r="N115" s="17">
        <f>N116-N117</f>
        <v>2017.83531496572</v>
      </c>
    </row>
    <row r="116" spans="1:14">
      <c r="A116" s="15" t="s">
        <v>182</v>
      </c>
      <c r="B116" s="15" t="s">
        <v>183</v>
      </c>
      <c r="C116" s="17">
        <v>453.863</v>
      </c>
      <c r="D116" s="17">
        <v>553.406</v>
      </c>
      <c r="E116" s="17">
        <v>701.824</v>
      </c>
      <c r="F116" s="17">
        <v>817.35</v>
      </c>
      <c r="G116" s="17">
        <v>972.481</v>
      </c>
      <c r="H116" s="17">
        <v>1883.033</v>
      </c>
      <c r="I116" s="17">
        <v>2171.109</v>
      </c>
      <c r="J116" s="17">
        <f>I116*(1+J19)</f>
        <v>2496.77535</v>
      </c>
      <c r="K116" s="17">
        <f>J116*(1+K19)</f>
        <v>2871.2916525</v>
      </c>
      <c r="L116" s="17">
        <f>K116*(1+L19)</f>
        <v>3301.985400375</v>
      </c>
      <c r="M116" s="17">
        <f>L116*(1+M19)</f>
        <v>3797.28321043125</v>
      </c>
      <c r="N116" s="17">
        <f>M116*(1+N19)</f>
        <v>4366.87569199594</v>
      </c>
    </row>
    <row r="117" spans="1:14">
      <c r="A117" s="15" t="s">
        <v>184</v>
      </c>
      <c r="B117" s="15" t="s">
        <v>185</v>
      </c>
      <c r="C117" s="17">
        <v>157.855</v>
      </c>
      <c r="D117" s="17">
        <v>203.801</v>
      </c>
      <c r="E117" s="17">
        <v>278.325</v>
      </c>
      <c r="F117" s="17">
        <v>343.708</v>
      </c>
      <c r="G117" s="17">
        <v>405.244</v>
      </c>
      <c r="H117" s="17">
        <v>521.676</v>
      </c>
      <c r="I117" s="17">
        <v>690.587</v>
      </c>
      <c r="J117" s="17">
        <f>I117+J181</f>
        <v>915.2967815</v>
      </c>
      <c r="K117" s="17">
        <f>J117+K181</f>
        <v>1202.42594675</v>
      </c>
      <c r="L117" s="17">
        <f>K117+L181</f>
        <v>1532.6244867875</v>
      </c>
      <c r="M117" s="17">
        <f>L117+M181</f>
        <v>1912.35280783063</v>
      </c>
      <c r="N117" s="17">
        <f>M117+N181</f>
        <v>2349.04037703022</v>
      </c>
    </row>
    <row r="118" spans="1:14">
      <c r="A118" s="15" t="s">
        <v>186</v>
      </c>
      <c r="B118" s="15" t="s">
        <v>187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</row>
    <row r="119" spans="1:14">
      <c r="A119" s="15" t="s">
        <v>188</v>
      </c>
      <c r="B119" s="15" t="s">
        <v>189</v>
      </c>
      <c r="C119" s="17">
        <v>49.193</v>
      </c>
      <c r="D119" s="17">
        <v>47.433</v>
      </c>
      <c r="E119" s="17">
        <v>71.305</v>
      </c>
      <c r="F119" s="17">
        <v>88.559</v>
      </c>
      <c r="G119" s="17">
        <v>88.192</v>
      </c>
      <c r="H119" s="17">
        <v>112.059</v>
      </c>
      <c r="I119" s="17">
        <v>580.314</v>
      </c>
      <c r="J119" s="17">
        <f>SUM(J120:J125)</f>
        <v>287.893314285714</v>
      </c>
      <c r="K119" s="17">
        <f>SUM(K120:K125)</f>
        <v>237.235407619048</v>
      </c>
      <c r="L119" s="17">
        <f>SUM(L120:L125)</f>
        <v>253.869063619048</v>
      </c>
      <c r="M119" s="17">
        <f>SUM(M120:M125)</f>
        <v>272.166085219048</v>
      </c>
      <c r="N119" s="17">
        <f>SUM(N120:N125)</f>
        <v>282.229447099048</v>
      </c>
    </row>
    <row r="120" spans="1:14">
      <c r="A120" s="15" t="s">
        <v>190</v>
      </c>
      <c r="B120" s="15" t="s">
        <v>191</v>
      </c>
      <c r="C120" s="17">
        <v>26.163</v>
      </c>
      <c r="D120" s="17">
        <v>24.777</v>
      </c>
      <c r="E120" s="17">
        <v>24.557</v>
      </c>
      <c r="F120" s="17">
        <v>24.679</v>
      </c>
      <c r="G120" s="17">
        <v>24.239</v>
      </c>
      <c r="H120" s="17">
        <v>24.423</v>
      </c>
      <c r="I120" s="17">
        <v>466.957</v>
      </c>
      <c r="J120" s="17">
        <f>AVERAGE(C120:I120)</f>
        <v>87.9707142857143</v>
      </c>
      <c r="K120" s="17">
        <f>AVERAGE(C120:H120)</f>
        <v>24.8063333333333</v>
      </c>
      <c r="L120" s="17">
        <f>AVERAGE(C120:H120)</f>
        <v>24.8063333333333</v>
      </c>
      <c r="M120" s="17">
        <f>AVERAGE(C120:H120)</f>
        <v>24.8063333333333</v>
      </c>
      <c r="N120" s="17">
        <f>AVERAGE(C120:H120)</f>
        <v>24.8063333333333</v>
      </c>
    </row>
    <row r="121" spans="1:14">
      <c r="A121" s="18" t="s">
        <v>192</v>
      </c>
      <c r="B121" s="18" t="s">
        <v>193</v>
      </c>
      <c r="C121" s="19">
        <v>25.496</v>
      </c>
      <c r="D121" s="19">
        <v>23.83</v>
      </c>
      <c r="E121" s="19">
        <v>24.233</v>
      </c>
      <c r="F121" s="19">
        <v>24.606</v>
      </c>
      <c r="G121" s="19">
        <v>24.239</v>
      </c>
      <c r="H121" s="19">
        <v>0</v>
      </c>
      <c r="I121" s="19">
        <v>386.877</v>
      </c>
      <c r="J121" s="19">
        <f>AVERAGE(C121:G121)</f>
        <v>24.4808</v>
      </c>
      <c r="K121" s="19">
        <f>AVERAGE(C121:G121)</f>
        <v>24.4808</v>
      </c>
      <c r="L121" s="19">
        <f>AVERAGE(C121:G121)</f>
        <v>24.4808</v>
      </c>
      <c r="M121" s="19">
        <f>AVERAGE(C121:G121)</f>
        <v>24.4808</v>
      </c>
      <c r="N121" s="19">
        <f>AVERAGE(C121:G121)</f>
        <v>24.4808</v>
      </c>
    </row>
    <row r="122" spans="1:14">
      <c r="A122" s="18" t="s">
        <v>194</v>
      </c>
      <c r="B122" s="18" t="s">
        <v>195</v>
      </c>
      <c r="C122" s="19">
        <v>0.667</v>
      </c>
      <c r="D122" s="19">
        <v>0.947</v>
      </c>
      <c r="E122" s="19">
        <v>0.324</v>
      </c>
      <c r="F122" s="19">
        <v>0.073</v>
      </c>
      <c r="G122" s="19">
        <v>0</v>
      </c>
      <c r="H122" s="19">
        <v>24.423</v>
      </c>
      <c r="I122" s="19">
        <v>80.08</v>
      </c>
      <c r="J122" s="19">
        <f>AVERAGE(C122:I122)</f>
        <v>15.2162857142857</v>
      </c>
      <c r="K122" s="19">
        <v>0</v>
      </c>
      <c r="L122" s="19">
        <v>0</v>
      </c>
      <c r="M122" s="19">
        <v>0</v>
      </c>
      <c r="N122" s="19">
        <v>0</v>
      </c>
    </row>
    <row r="123" spans="1:14">
      <c r="A123" s="15" t="s">
        <v>196</v>
      </c>
      <c r="B123" s="15" t="s">
        <v>197</v>
      </c>
      <c r="C123" s="17">
        <v>16.018</v>
      </c>
      <c r="D123" s="17">
        <v>11.802</v>
      </c>
      <c r="E123" s="17">
        <v>26.256</v>
      </c>
      <c r="F123" s="17">
        <v>32.491</v>
      </c>
      <c r="G123" s="17">
        <v>26.549</v>
      </c>
      <c r="H123" s="17">
        <v>31.435</v>
      </c>
      <c r="I123" s="17">
        <v>6.731</v>
      </c>
      <c r="J123" s="17">
        <f>AVERAGE(C123:I123)</f>
        <v>21.6117142857143</v>
      </c>
      <c r="K123" s="17">
        <f>AVERAGE(C123:I123)</f>
        <v>21.6117142857143</v>
      </c>
      <c r="L123" s="17">
        <f>AVERAGE(C123:I123)</f>
        <v>21.6117142857143</v>
      </c>
      <c r="M123" s="17">
        <f>AVERAGE(C123:I123)</f>
        <v>21.6117142857143</v>
      </c>
      <c r="N123" s="17">
        <f>AVERAGE(C123:I123)</f>
        <v>21.6117142857143</v>
      </c>
    </row>
    <row r="124" spans="1:14">
      <c r="A124" s="15" t="s">
        <v>172</v>
      </c>
      <c r="B124" s="15" t="s">
        <v>198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</row>
    <row r="125" spans="1:14">
      <c r="A125" s="15" t="s">
        <v>199</v>
      </c>
      <c r="B125" s="15" t="s">
        <v>200</v>
      </c>
      <c r="C125" s="17">
        <v>7.012</v>
      </c>
      <c r="D125" s="17">
        <v>10.854</v>
      </c>
      <c r="E125" s="17">
        <v>20.492</v>
      </c>
      <c r="F125" s="17">
        <v>31.389</v>
      </c>
      <c r="G125" s="17">
        <v>37.404</v>
      </c>
      <c r="H125" s="17">
        <v>56.201</v>
      </c>
      <c r="I125" s="17">
        <v>106.626</v>
      </c>
      <c r="J125" s="17">
        <f>I125*(1+J20)</f>
        <v>138.6138</v>
      </c>
      <c r="K125" s="17">
        <f>J125*(1+K20)</f>
        <v>166.33656</v>
      </c>
      <c r="L125" s="17">
        <f>K125*(1+L20)</f>
        <v>182.970216</v>
      </c>
      <c r="M125" s="17">
        <f>L125*(1+M20)</f>
        <v>201.2672376</v>
      </c>
      <c r="N125" s="17">
        <f>M125*(1+N20)</f>
        <v>211.33059948</v>
      </c>
    </row>
    <row r="126" spans="1:14">
      <c r="A126" s="13" t="s">
        <v>201</v>
      </c>
      <c r="B126" s="13" t="s">
        <v>202</v>
      </c>
      <c r="C126" s="14">
        <v>345.201</v>
      </c>
      <c r="D126" s="14">
        <v>397.038</v>
      </c>
      <c r="E126" s="14">
        <v>494.804</v>
      </c>
      <c r="F126" s="14">
        <v>562.201</v>
      </c>
      <c r="G126" s="14">
        <v>655.429</v>
      </c>
      <c r="H126" s="14">
        <v>1473.416</v>
      </c>
      <c r="I126" s="14">
        <v>2060.836</v>
      </c>
      <c r="J126" s="14">
        <f>J115+J118+J119</f>
        <v>1869.37188278571</v>
      </c>
      <c r="K126" s="14">
        <f>K115+K118+K119</f>
        <v>1906.10111336905</v>
      </c>
      <c r="L126" s="14">
        <f>L115+L118+L119</f>
        <v>2023.22997720655</v>
      </c>
      <c r="M126" s="14">
        <f>M115+M118+M119</f>
        <v>2157.09648781967</v>
      </c>
      <c r="N126" s="14">
        <f>N115+N118+N119</f>
        <v>2300.06476206477</v>
      </c>
    </row>
    <row r="127" spans="1:14">
      <c r="A127" s="13" t="s">
        <v>147</v>
      </c>
      <c r="B127" s="13" t="s">
        <v>203</v>
      </c>
      <c r="C127" s="14">
        <v>1296.213</v>
      </c>
      <c r="D127" s="14">
        <v>1314.077</v>
      </c>
      <c r="E127" s="14">
        <v>1657.541</v>
      </c>
      <c r="F127" s="14">
        <v>1998.483</v>
      </c>
      <c r="G127" s="14">
        <v>2084.711</v>
      </c>
      <c r="H127" s="14">
        <v>3281.354</v>
      </c>
      <c r="I127" s="14">
        <v>4185.215</v>
      </c>
      <c r="J127" s="14">
        <f>J114+J126</f>
        <v>4784.65148645253</v>
      </c>
      <c r="K127" s="14">
        <f>K114+K126</f>
        <v>6182.99356515732</v>
      </c>
      <c r="L127" s="14">
        <f>L114+L126</f>
        <v>7895.86201190445</v>
      </c>
      <c r="M127" s="14">
        <f>M114+M126</f>
        <v>9670.41979643621</v>
      </c>
      <c r="N127" s="14">
        <f>N114+N126</f>
        <v>11518.9217817618</v>
      </c>
    </row>
    <row r="128" spans="1:14">
      <c r="A128" s="13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</row>
    <row r="129" spans="1:14">
      <c r="A129" s="13" t="s">
        <v>204</v>
      </c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</row>
    <row r="130" spans="1:14">
      <c r="A130" s="15" t="s">
        <v>205</v>
      </c>
      <c r="B130" s="15" t="s">
        <v>206</v>
      </c>
      <c r="C130" s="17">
        <v>113.629</v>
      </c>
      <c r="D130" s="17">
        <v>167.768</v>
      </c>
      <c r="E130" s="17">
        <v>118.975</v>
      </c>
      <c r="F130" s="17">
        <v>123.514</v>
      </c>
      <c r="G130" s="17">
        <v>288.367</v>
      </c>
      <c r="H130" s="17">
        <v>246.465</v>
      </c>
      <c r="I130" s="17">
        <v>537.641</v>
      </c>
      <c r="J130" s="17">
        <f>SUM(J131:J134)</f>
        <v>615.313085800226</v>
      </c>
      <c r="K130" s="17">
        <f>SUM(K131:K134)</f>
        <v>785.253683643752</v>
      </c>
      <c r="L130" s="17">
        <f>SUM(L131:L134)</f>
        <v>881.600453721219</v>
      </c>
      <c r="M130" s="17">
        <f>SUM(M131:M134)</f>
        <v>967.085003495146</v>
      </c>
      <c r="N130" s="17">
        <f>SUM(N131:N134)</f>
        <v>1099.42679098264</v>
      </c>
    </row>
    <row r="131" spans="1:14">
      <c r="A131" s="15" t="s">
        <v>207</v>
      </c>
      <c r="B131" s="15" t="s">
        <v>208</v>
      </c>
      <c r="C131" s="17">
        <v>9.339</v>
      </c>
      <c r="D131" s="17">
        <v>10.381</v>
      </c>
      <c r="E131" s="17">
        <v>24.846</v>
      </c>
      <c r="F131" s="17">
        <v>24.646</v>
      </c>
      <c r="G131" s="17">
        <v>95.533</v>
      </c>
      <c r="H131" s="17">
        <v>79.997</v>
      </c>
      <c r="I131" s="17">
        <v>172.246</v>
      </c>
      <c r="J131" s="17">
        <f>J22*J36/365</f>
        <v>105.313085800226</v>
      </c>
      <c r="K131" s="17">
        <f>K22*K36/365</f>
        <v>145.253683643752</v>
      </c>
      <c r="L131" s="17">
        <f>L22*L36/365</f>
        <v>201.600453721219</v>
      </c>
      <c r="M131" s="17">
        <f>M22*M36/365</f>
        <v>237.085003495146</v>
      </c>
      <c r="N131" s="17">
        <f>N22*N36/365</f>
        <v>269.426790982641</v>
      </c>
    </row>
    <row r="132" spans="1:14">
      <c r="A132" s="15" t="s">
        <v>209</v>
      </c>
      <c r="B132" s="15" t="s">
        <v>210</v>
      </c>
      <c r="C132" s="17">
        <v>20.073</v>
      </c>
      <c r="D132" s="17">
        <v>37.736</v>
      </c>
      <c r="E132" s="17">
        <v>30.29</v>
      </c>
      <c r="F132" s="17">
        <v>15.7</v>
      </c>
      <c r="G132" s="17">
        <v>67.412</v>
      </c>
      <c r="H132" s="17">
        <v>26.436</v>
      </c>
      <c r="I132" s="17">
        <v>8.357</v>
      </c>
      <c r="J132" s="17">
        <f>60</f>
        <v>60</v>
      </c>
      <c r="K132" s="17">
        <f>40</f>
        <v>40</v>
      </c>
      <c r="L132" s="17">
        <f>30</f>
        <v>30</v>
      </c>
      <c r="M132" s="17">
        <f>30</f>
        <v>30</v>
      </c>
      <c r="N132" s="17">
        <f>30</f>
        <v>30</v>
      </c>
    </row>
    <row r="133" spans="1:14">
      <c r="A133" s="15" t="s">
        <v>211</v>
      </c>
      <c r="B133" s="15" t="s">
        <v>212</v>
      </c>
      <c r="C133" s="17">
        <v>0</v>
      </c>
      <c r="D133" s="17" t="s">
        <v>80</v>
      </c>
      <c r="E133" s="17" t="s">
        <v>80</v>
      </c>
      <c r="F133" s="17" t="s">
        <v>80</v>
      </c>
      <c r="G133" s="17" t="s">
        <v>80</v>
      </c>
      <c r="H133" s="17" t="s">
        <v>80</v>
      </c>
      <c r="I133" s="17" t="s">
        <v>80</v>
      </c>
      <c r="J133" s="17" t="s">
        <v>80</v>
      </c>
      <c r="K133" s="17" t="s">
        <v>80</v>
      </c>
      <c r="L133" s="17" t="s">
        <v>80</v>
      </c>
      <c r="M133" s="17" t="s">
        <v>80</v>
      </c>
      <c r="N133" s="17" t="s">
        <v>80</v>
      </c>
    </row>
    <row r="134" spans="1:14">
      <c r="A134" s="15" t="s">
        <v>213</v>
      </c>
      <c r="B134" s="15" t="s">
        <v>214</v>
      </c>
      <c r="C134" s="17">
        <v>84.217</v>
      </c>
      <c r="D134" s="17">
        <v>119.651</v>
      </c>
      <c r="E134" s="17">
        <v>63.839</v>
      </c>
      <c r="F134" s="17">
        <v>83.168</v>
      </c>
      <c r="G134" s="17">
        <v>125.422</v>
      </c>
      <c r="H134" s="17">
        <v>140.032</v>
      </c>
      <c r="I134" s="17">
        <v>357.038</v>
      </c>
      <c r="J134" s="17">
        <f>450</f>
        <v>450</v>
      </c>
      <c r="K134" s="17">
        <f>600</f>
        <v>600</v>
      </c>
      <c r="L134" s="17">
        <f>650</f>
        <v>650</v>
      </c>
      <c r="M134" s="17">
        <f>700</f>
        <v>700</v>
      </c>
      <c r="N134" s="17">
        <f>800</f>
        <v>800</v>
      </c>
    </row>
    <row r="135" spans="1:14">
      <c r="A135" s="15" t="s">
        <v>215</v>
      </c>
      <c r="B135" s="15" t="s">
        <v>216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128.497</v>
      </c>
      <c r="I135" s="17">
        <v>166.091</v>
      </c>
      <c r="J135" s="17">
        <f>SUM(J136:J137)</f>
        <v>150</v>
      </c>
      <c r="K135" s="17">
        <f>SUM(K136:K139)</f>
        <v>200</v>
      </c>
      <c r="L135" s="17">
        <f>SUM(L136:L139)</f>
        <v>300</v>
      </c>
      <c r="M135" s="17">
        <f>SUM(M136:M139)</f>
        <v>400</v>
      </c>
      <c r="N135" s="17">
        <f>SUM(N136:N139)</f>
        <v>500</v>
      </c>
    </row>
    <row r="136" spans="1:14">
      <c r="A136" s="15" t="s">
        <v>217</v>
      </c>
      <c r="B136" s="15" t="s">
        <v>218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</row>
    <row r="137" spans="1:14">
      <c r="A137" s="15" t="s">
        <v>219</v>
      </c>
      <c r="B137" s="15" t="s">
        <v>220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128.497</v>
      </c>
      <c r="I137" s="17">
        <v>166.091</v>
      </c>
      <c r="J137" s="17">
        <f>150</f>
        <v>150</v>
      </c>
      <c r="K137" s="17">
        <f>200</f>
        <v>200</v>
      </c>
      <c r="L137" s="17">
        <f>300</f>
        <v>300</v>
      </c>
      <c r="M137" s="17">
        <f>400</f>
        <v>400</v>
      </c>
      <c r="N137" s="17">
        <f>500</f>
        <v>500</v>
      </c>
    </row>
    <row r="138" spans="1:14">
      <c r="A138" s="18" t="s">
        <v>221</v>
      </c>
      <c r="B138" s="18" t="s">
        <v>222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</row>
    <row r="139" spans="1:14">
      <c r="A139" s="18" t="s">
        <v>223</v>
      </c>
      <c r="B139" s="18" t="s">
        <v>224</v>
      </c>
      <c r="C139" s="19" t="s">
        <v>80</v>
      </c>
      <c r="D139" s="19" t="s">
        <v>80</v>
      </c>
      <c r="E139" s="19" t="s">
        <v>80</v>
      </c>
      <c r="F139" s="19" t="s">
        <v>80</v>
      </c>
      <c r="G139" s="19" t="s">
        <v>80</v>
      </c>
      <c r="H139" s="19">
        <v>128.497</v>
      </c>
      <c r="I139" s="19">
        <v>166.091</v>
      </c>
      <c r="J139" s="19" t="s">
        <v>80</v>
      </c>
      <c r="K139" s="19" t="s">
        <v>80</v>
      </c>
      <c r="L139" s="19" t="s">
        <v>80</v>
      </c>
      <c r="M139" s="19" t="s">
        <v>80</v>
      </c>
      <c r="N139" s="19" t="s">
        <v>80</v>
      </c>
    </row>
    <row r="140" spans="1:14">
      <c r="A140" s="15" t="s">
        <v>225</v>
      </c>
      <c r="B140" s="15" t="s">
        <v>226</v>
      </c>
      <c r="C140" s="17">
        <v>46.252</v>
      </c>
      <c r="D140" s="17">
        <v>57.736</v>
      </c>
      <c r="E140" s="17">
        <v>123.015</v>
      </c>
      <c r="F140" s="17">
        <v>169.084</v>
      </c>
      <c r="G140" s="17">
        <v>212.11</v>
      </c>
      <c r="H140" s="17">
        <v>245.456</v>
      </c>
      <c r="I140" s="17">
        <v>179.446</v>
      </c>
      <c r="J140" s="17">
        <f>SUM(J141:J143)</f>
        <v>299.701842437718</v>
      </c>
      <c r="K140" s="17">
        <f>SUM(K141:K143)</f>
        <v>376.136720722575</v>
      </c>
      <c r="L140" s="17">
        <f>SUM(L141:L143)</f>
        <v>472.806927603596</v>
      </c>
      <c r="M140" s="17">
        <f>SUM(M141:M143)</f>
        <v>520.087620363955</v>
      </c>
      <c r="N140" s="17">
        <f>SUM(N141:N143)</f>
        <v>546.092001382153</v>
      </c>
    </row>
    <row r="141" spans="1:14">
      <c r="A141" s="15" t="s">
        <v>227</v>
      </c>
      <c r="B141" s="15" t="s">
        <v>228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</row>
    <row r="142" spans="1:14">
      <c r="A142" s="15" t="s">
        <v>229</v>
      </c>
      <c r="B142" s="15" t="s">
        <v>230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</row>
    <row r="143" spans="1:14">
      <c r="A143" s="15" t="s">
        <v>231</v>
      </c>
      <c r="B143" s="15" t="s">
        <v>232</v>
      </c>
      <c r="C143" s="17">
        <v>46.252</v>
      </c>
      <c r="D143" s="17">
        <v>57.736</v>
      </c>
      <c r="E143" s="17">
        <v>123.015</v>
      </c>
      <c r="F143" s="17">
        <v>169.084</v>
      </c>
      <c r="G143" s="17">
        <v>212.11</v>
      </c>
      <c r="H143" s="17">
        <v>245.456</v>
      </c>
      <c r="I143" s="17">
        <v>179.446</v>
      </c>
      <c r="J143" s="17">
        <f>(J23*J36)/365</f>
        <v>299.701842437718</v>
      </c>
      <c r="K143" s="17">
        <f>(K23*K36)/365</f>
        <v>376.136720722575</v>
      </c>
      <c r="L143" s="17">
        <f>(L23*L36)/365</f>
        <v>472.806927603596</v>
      </c>
      <c r="M143" s="17">
        <f>(M23*M36)/365</f>
        <v>520.087620363955</v>
      </c>
      <c r="N143" s="17">
        <f>(N23*N36)/365</f>
        <v>546.092001382153</v>
      </c>
    </row>
    <row r="144" spans="1:14">
      <c r="A144" s="13" t="s">
        <v>233</v>
      </c>
      <c r="B144" s="13" t="s">
        <v>234</v>
      </c>
      <c r="C144" s="14">
        <v>159.881</v>
      </c>
      <c r="D144" s="14">
        <v>225.504</v>
      </c>
      <c r="E144" s="14">
        <v>241.99</v>
      </c>
      <c r="F144" s="14">
        <v>292.598</v>
      </c>
      <c r="G144" s="14">
        <v>500.477</v>
      </c>
      <c r="H144" s="14">
        <v>620.418</v>
      </c>
      <c r="I144" s="14">
        <v>883.178</v>
      </c>
      <c r="J144" s="14">
        <f>J130+J135+J140</f>
        <v>1065.01492823794</v>
      </c>
      <c r="K144" s="14">
        <f>K130+K135+K140</f>
        <v>1361.39040436633</v>
      </c>
      <c r="L144" s="14">
        <f>L130+L135+L140</f>
        <v>1654.40738132481</v>
      </c>
      <c r="M144" s="14">
        <f>M130+M135+M140</f>
        <v>1887.1726238591</v>
      </c>
      <c r="N144" s="14">
        <f>N130+N135+N140</f>
        <v>2145.51879236479</v>
      </c>
    </row>
    <row r="145" spans="1:14">
      <c r="A145" s="15" t="s">
        <v>235</v>
      </c>
      <c r="B145" s="15" t="s">
        <v>236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611.464</v>
      </c>
      <c r="I145" s="17">
        <v>632.59</v>
      </c>
      <c r="J145" s="17">
        <f>J147+J146</f>
        <v>500</v>
      </c>
      <c r="K145" s="17">
        <f>K147+K146</f>
        <v>600</v>
      </c>
      <c r="L145" s="17">
        <f>L147+L146</f>
        <v>600</v>
      </c>
      <c r="M145" s="17">
        <f>M147+M146</f>
        <v>600</v>
      </c>
      <c r="N145" s="17">
        <f>N147+N146</f>
        <v>600</v>
      </c>
    </row>
    <row r="146" spans="1:14">
      <c r="A146" s="15" t="s">
        <v>237</v>
      </c>
      <c r="B146" s="15" t="s">
        <v>238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</row>
    <row r="147" spans="1:14">
      <c r="A147" s="15" t="s">
        <v>239</v>
      </c>
      <c r="B147" s="15" t="s">
        <v>240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611.464</v>
      </c>
      <c r="I147" s="17">
        <v>632.59</v>
      </c>
      <c r="J147" s="17">
        <f>SUM(J148:J149)</f>
        <v>500</v>
      </c>
      <c r="K147" s="17">
        <f>SUM(K148:K149)</f>
        <v>600</v>
      </c>
      <c r="L147" s="17">
        <f>SUM(L148:L149)</f>
        <v>600</v>
      </c>
      <c r="M147" s="17">
        <f>SUM(M148:M149)</f>
        <v>600</v>
      </c>
      <c r="N147" s="17">
        <f>SUM(N148:N149)</f>
        <v>600</v>
      </c>
    </row>
    <row r="148" spans="1:14">
      <c r="A148" s="18" t="s">
        <v>241</v>
      </c>
      <c r="B148" s="18" t="s">
        <v>242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</row>
    <row r="149" spans="1:14">
      <c r="A149" s="18" t="s">
        <v>243</v>
      </c>
      <c r="B149" s="18" t="s">
        <v>244</v>
      </c>
      <c r="C149" s="19" t="s">
        <v>80</v>
      </c>
      <c r="D149" s="19" t="s">
        <v>80</v>
      </c>
      <c r="E149" s="19" t="s">
        <v>80</v>
      </c>
      <c r="F149" s="19" t="s">
        <v>80</v>
      </c>
      <c r="G149" s="19" t="s">
        <v>80</v>
      </c>
      <c r="H149" s="19">
        <v>611.464</v>
      </c>
      <c r="I149" s="19">
        <v>632.59</v>
      </c>
      <c r="J149" s="19">
        <f>500</f>
        <v>500</v>
      </c>
      <c r="K149" s="19">
        <f>600</f>
        <v>600</v>
      </c>
      <c r="L149" s="19">
        <f>600</f>
        <v>600</v>
      </c>
      <c r="M149" s="19">
        <f>600</f>
        <v>600</v>
      </c>
      <c r="N149" s="19">
        <f>600</f>
        <v>600</v>
      </c>
    </row>
    <row r="150" spans="1:14">
      <c r="A150" s="15" t="s">
        <v>245</v>
      </c>
      <c r="B150" s="15" t="s">
        <v>246</v>
      </c>
      <c r="C150" s="17">
        <v>46.764</v>
      </c>
      <c r="D150" s="17">
        <v>61.091</v>
      </c>
      <c r="E150" s="17">
        <v>55.578</v>
      </c>
      <c r="F150" s="17">
        <v>108.925</v>
      </c>
      <c r="G150" s="17">
        <v>138.259</v>
      </c>
      <c r="H150" s="17">
        <v>97.254</v>
      </c>
      <c r="I150" s="17">
        <v>110.881</v>
      </c>
      <c r="J150" s="17">
        <f>SUM(J151:J158)</f>
        <v>156.808399334171</v>
      </c>
      <c r="K150" s="17">
        <f>SUM(K151:K158)</f>
        <v>196.800248632332</v>
      </c>
      <c r="L150" s="17">
        <f>SUM(L151:L158)</f>
        <v>247.379518619523</v>
      </c>
      <c r="M150" s="17">
        <f>SUM(M151:M158)</f>
        <v>272.117470481475</v>
      </c>
      <c r="N150" s="17">
        <f>SUM(N151:N158)</f>
        <v>285.723344005549</v>
      </c>
    </row>
    <row r="151" spans="1:14">
      <c r="A151" s="15" t="s">
        <v>247</v>
      </c>
      <c r="B151" s="15" t="s">
        <v>248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</row>
    <row r="152" spans="1:14">
      <c r="A152" s="15" t="s">
        <v>249</v>
      </c>
      <c r="B152" s="15" t="s">
        <v>250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</row>
    <row r="153" spans="1:14">
      <c r="A153" s="18" t="s">
        <v>251</v>
      </c>
      <c r="B153" s="18" t="s">
        <v>252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</row>
    <row r="154" spans="1:14">
      <c r="A154" s="18" t="s">
        <v>253</v>
      </c>
      <c r="B154" s="18" t="s">
        <v>254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</row>
    <row r="155" spans="1:14">
      <c r="A155" s="15" t="s">
        <v>227</v>
      </c>
      <c r="B155" s="15" t="s">
        <v>255</v>
      </c>
      <c r="C155" s="17">
        <v>0</v>
      </c>
      <c r="D155" s="17">
        <v>0</v>
      </c>
      <c r="E155" s="17">
        <v>21.668</v>
      </c>
      <c r="F155" s="17">
        <v>26.25</v>
      </c>
      <c r="G155" s="17">
        <v>42.36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</row>
    <row r="156" spans="1:14">
      <c r="A156" s="15" t="s">
        <v>256</v>
      </c>
      <c r="B156" s="15" t="s">
        <v>257</v>
      </c>
      <c r="C156" s="17">
        <v>3.633</v>
      </c>
      <c r="D156" s="17">
        <v>10.759</v>
      </c>
      <c r="E156" s="17">
        <v>7.262</v>
      </c>
      <c r="F156" s="17">
        <v>1.336</v>
      </c>
      <c r="G156" s="17">
        <v>14.249</v>
      </c>
      <c r="H156" s="17">
        <v>43.432</v>
      </c>
      <c r="I156" s="17">
        <v>58.755</v>
      </c>
      <c r="J156" s="17">
        <f>I156*(J36/I36)</f>
        <v>83.0915801884831</v>
      </c>
      <c r="K156" s="17">
        <f>J156*(K36/J36)</f>
        <v>104.282957480476</v>
      </c>
      <c r="L156" s="17">
        <f>K156*(L36/K36)</f>
        <v>131.084528607156</v>
      </c>
      <c r="M156" s="17">
        <f>L156*(M36/L36)</f>
        <v>144.192981467872</v>
      </c>
      <c r="N156" s="17">
        <f>M156*(N36/M36)</f>
        <v>151.402630541265</v>
      </c>
    </row>
    <row r="157" spans="1:14">
      <c r="A157" s="15" t="s">
        <v>229</v>
      </c>
      <c r="B157" s="15" t="s">
        <v>258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</row>
    <row r="158" spans="1:14">
      <c r="A158" s="15" t="s">
        <v>259</v>
      </c>
      <c r="B158" s="15" t="s">
        <v>260</v>
      </c>
      <c r="C158" s="17">
        <v>43.131</v>
      </c>
      <c r="D158" s="17">
        <v>50.332</v>
      </c>
      <c r="E158" s="17">
        <v>26.648</v>
      </c>
      <c r="F158" s="17">
        <v>81.339</v>
      </c>
      <c r="G158" s="17">
        <v>81.65</v>
      </c>
      <c r="H158" s="17">
        <v>53.822</v>
      </c>
      <c r="I158" s="17">
        <v>52.126</v>
      </c>
      <c r="J158" s="17">
        <f>I158*J36/I36</f>
        <v>73.7168191456876</v>
      </c>
      <c r="K158" s="17">
        <f>J158*K36/J36</f>
        <v>92.5172911518558</v>
      </c>
      <c r="L158" s="17">
        <f>K158*L36/K36</f>
        <v>116.294990012367</v>
      </c>
      <c r="M158" s="17">
        <f>L158*M36/L36</f>
        <v>127.924489013604</v>
      </c>
      <c r="N158" s="17">
        <f>M158*N36/M36</f>
        <v>134.320713464284</v>
      </c>
    </row>
    <row r="159" spans="1:14">
      <c r="A159" s="13" t="s">
        <v>261</v>
      </c>
      <c r="B159" s="13" t="s">
        <v>262</v>
      </c>
      <c r="C159" s="14">
        <v>46.764</v>
      </c>
      <c r="D159" s="14">
        <v>61.091</v>
      </c>
      <c r="E159" s="14">
        <v>55.578</v>
      </c>
      <c r="F159" s="14">
        <v>108.925</v>
      </c>
      <c r="G159" s="14">
        <v>138.259</v>
      </c>
      <c r="H159" s="14">
        <v>708.718</v>
      </c>
      <c r="I159" s="14">
        <v>743.471</v>
      </c>
      <c r="J159" s="14">
        <f>SUM(J145+J150)</f>
        <v>656.808399334171</v>
      </c>
      <c r="K159" s="14">
        <f>SUM(K145+K150)</f>
        <v>796.800248632332</v>
      </c>
      <c r="L159" s="14">
        <f>SUM(L145+L150)</f>
        <v>847.379518619523</v>
      </c>
      <c r="M159" s="14">
        <f>SUM(M145+M150)</f>
        <v>872.117470481475</v>
      </c>
      <c r="N159" s="14">
        <f>SUM(N145+N150)</f>
        <v>885.723344005549</v>
      </c>
    </row>
    <row r="160" spans="1:14">
      <c r="A160" s="13" t="s">
        <v>263</v>
      </c>
      <c r="B160" s="13" t="s">
        <v>264</v>
      </c>
      <c r="C160" s="14">
        <v>206.645</v>
      </c>
      <c r="D160" s="14">
        <v>286.595</v>
      </c>
      <c r="E160" s="14">
        <v>297.568</v>
      </c>
      <c r="F160" s="14">
        <v>401.523</v>
      </c>
      <c r="G160" s="14">
        <v>638.736</v>
      </c>
      <c r="H160" s="14">
        <v>1329.136</v>
      </c>
      <c r="I160" s="14">
        <v>1626.649</v>
      </c>
      <c r="J160" s="14">
        <f>J144+J159</f>
        <v>1721.82332757211</v>
      </c>
      <c r="K160" s="14">
        <f>K144+K159</f>
        <v>2158.19065299866</v>
      </c>
      <c r="L160" s="14">
        <f>L144+L159</f>
        <v>2501.78689994434</v>
      </c>
      <c r="M160" s="14">
        <f>M144+M159</f>
        <v>2759.29009434058</v>
      </c>
      <c r="N160" s="14">
        <f>N144+N159</f>
        <v>3031.24213637034</v>
      </c>
    </row>
    <row r="161" spans="1:14">
      <c r="A161" s="15" t="s">
        <v>265</v>
      </c>
      <c r="B161" s="15" t="s">
        <v>266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</row>
    <row r="162" spans="1:14">
      <c r="A162" s="15" t="s">
        <v>267</v>
      </c>
      <c r="B162" s="15" t="s">
        <v>268</v>
      </c>
      <c r="C162" s="17">
        <v>242.356</v>
      </c>
      <c r="D162" s="17">
        <v>246.17</v>
      </c>
      <c r="E162" s="17">
        <v>267.259</v>
      </c>
      <c r="F162" s="17">
        <v>284.881</v>
      </c>
      <c r="G162" s="17">
        <v>315.893</v>
      </c>
      <c r="H162" s="17">
        <v>356.162</v>
      </c>
      <c r="I162" s="17">
        <v>389.293</v>
      </c>
      <c r="J162" s="17">
        <f>SUM(J163:J164)</f>
        <v>428.1337</v>
      </c>
      <c r="K162" s="17">
        <f>SUM(K163:K164)</f>
        <v>470.88707</v>
      </c>
      <c r="L162" s="17">
        <f>SUM(L163:L164)</f>
        <v>564.944484</v>
      </c>
      <c r="M162" s="17">
        <f>SUM(M163:M164)</f>
        <v>677.8133808</v>
      </c>
      <c r="N162" s="17">
        <f>SUM(N163:N164)</f>
        <v>813.25605696</v>
      </c>
    </row>
    <row r="163" spans="1:14">
      <c r="A163" s="15" t="s">
        <v>269</v>
      </c>
      <c r="B163" s="15" t="s">
        <v>270</v>
      </c>
      <c r="C163" s="17">
        <v>0.661</v>
      </c>
      <c r="D163" s="17">
        <v>0.637</v>
      </c>
      <c r="E163" s="17">
        <v>0.637</v>
      </c>
      <c r="F163" s="17">
        <v>0.628</v>
      </c>
      <c r="G163" s="17">
        <v>0.608</v>
      </c>
      <c r="H163" s="17">
        <v>0.621</v>
      </c>
      <c r="I163" s="17">
        <v>0.626</v>
      </c>
      <c r="J163" s="17">
        <f>0.6</f>
        <v>0.6</v>
      </c>
      <c r="K163" s="17">
        <f>0.6</f>
        <v>0.6</v>
      </c>
      <c r="L163" s="17">
        <f>0.6</f>
        <v>0.6</v>
      </c>
      <c r="M163" s="17">
        <f>0.6</f>
        <v>0.6</v>
      </c>
      <c r="N163" s="17">
        <f>0.6</f>
        <v>0.6</v>
      </c>
    </row>
    <row r="164" spans="1:14">
      <c r="A164" s="15" t="s">
        <v>271</v>
      </c>
      <c r="B164" s="15" t="s">
        <v>272</v>
      </c>
      <c r="C164" s="17">
        <v>241.695</v>
      </c>
      <c r="D164" s="17">
        <v>245.533</v>
      </c>
      <c r="E164" s="17">
        <v>266.622</v>
      </c>
      <c r="F164" s="17">
        <v>284.253</v>
      </c>
      <c r="G164" s="17">
        <v>315.285</v>
      </c>
      <c r="H164" s="17">
        <v>355.541</v>
      </c>
      <c r="I164" s="17">
        <v>388.667</v>
      </c>
      <c r="J164" s="17">
        <f>I164*(1+J24)</f>
        <v>427.5337</v>
      </c>
      <c r="K164" s="17">
        <f>J164*(1+K24)</f>
        <v>470.28707</v>
      </c>
      <c r="L164" s="17">
        <f>K164*(1+L24)</f>
        <v>564.344484</v>
      </c>
      <c r="M164" s="17">
        <f>L164*(1+M24)</f>
        <v>677.2133808</v>
      </c>
      <c r="N164" s="17">
        <f>M164*(1+N24)</f>
        <v>812.65605696</v>
      </c>
    </row>
    <row r="165" spans="1:14">
      <c r="A165" s="15" t="s">
        <v>273</v>
      </c>
      <c r="B165" s="15" t="s">
        <v>274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</row>
    <row r="166" spans="1:14">
      <c r="A166" s="15" t="s">
        <v>275</v>
      </c>
      <c r="B166" s="15" t="s">
        <v>276</v>
      </c>
      <c r="C166" s="17">
        <v>1020.619</v>
      </c>
      <c r="D166" s="17">
        <v>1019.515</v>
      </c>
      <c r="E166" s="17">
        <v>1294.214</v>
      </c>
      <c r="F166" s="17">
        <v>1455.002</v>
      </c>
      <c r="G166" s="17">
        <v>1346.89</v>
      </c>
      <c r="H166" s="17">
        <v>1820.637</v>
      </c>
      <c r="I166" s="17">
        <v>2346.428</v>
      </c>
      <c r="J166" s="17">
        <f>I166+J71-J167</f>
        <v>2875.33851110064</v>
      </c>
      <c r="K166" s="17">
        <f>J166+K71-K167</f>
        <v>3833.42537283064</v>
      </c>
      <c r="L166" s="17">
        <f>K166+L71-L167</f>
        <v>5139.15000918303</v>
      </c>
      <c r="M166" s="17">
        <f>L166+M71-M167</f>
        <v>6590.44710917067</v>
      </c>
      <c r="N166" s="17">
        <f>M166+N71-N167</f>
        <v>8121.80906415768</v>
      </c>
    </row>
    <row r="167" spans="1:14">
      <c r="A167" s="37" t="s">
        <v>277</v>
      </c>
      <c r="B167" s="15"/>
      <c r="C167" s="38"/>
      <c r="D167" s="38">
        <f t="shared" ref="D167:I167" si="19">C166+C71-D166</f>
        <v>240.137</v>
      </c>
      <c r="E167" s="38">
        <f t="shared" si="19"/>
        <v>-8.65200000000004</v>
      </c>
      <c r="F167" s="38">
        <f t="shared" si="19"/>
        <v>142.593</v>
      </c>
      <c r="G167" s="38">
        <f t="shared" si="19"/>
        <v>366.774</v>
      </c>
      <c r="H167" s="38">
        <f t="shared" si="19"/>
        <v>10.0540000000001</v>
      </c>
      <c r="I167" s="38">
        <f t="shared" si="19"/>
        <v>119.805</v>
      </c>
      <c r="J167" s="38">
        <f>250</f>
        <v>250</v>
      </c>
      <c r="K167" s="38">
        <f>200</f>
        <v>200</v>
      </c>
      <c r="L167" s="38">
        <f>150</f>
        <v>150</v>
      </c>
      <c r="M167" s="38">
        <f>150</f>
        <v>150</v>
      </c>
      <c r="N167" s="38">
        <f>150</f>
        <v>150</v>
      </c>
    </row>
    <row r="168" spans="1:14">
      <c r="A168" s="15" t="s">
        <v>278</v>
      </c>
      <c r="B168" s="15" t="s">
        <v>279</v>
      </c>
      <c r="C168" s="17">
        <v>-173.407</v>
      </c>
      <c r="D168" s="17">
        <v>-238.203</v>
      </c>
      <c r="E168" s="17">
        <v>-201.5</v>
      </c>
      <c r="F168" s="17">
        <v>-142.923</v>
      </c>
      <c r="G168" s="17">
        <v>-216.808</v>
      </c>
      <c r="H168" s="17">
        <v>-224.581</v>
      </c>
      <c r="I168" s="17">
        <v>-177.155</v>
      </c>
      <c r="J168" s="17">
        <f>AVERAGE(C168:I168)</f>
        <v>-196.368142857143</v>
      </c>
      <c r="K168" s="17">
        <f>AVERAGE(C168:I168)</f>
        <v>-196.368142857143</v>
      </c>
      <c r="L168" s="17">
        <f>AVERAGE(C168:I168)</f>
        <v>-196.368142857143</v>
      </c>
      <c r="M168" s="17">
        <f>AVERAGE(C168:I168)</f>
        <v>-196.368142857143</v>
      </c>
      <c r="N168" s="17">
        <f>AVERAGE(C168:I168)</f>
        <v>-196.368142857143</v>
      </c>
    </row>
    <row r="169" spans="1:14">
      <c r="A169" s="13" t="s">
        <v>280</v>
      </c>
      <c r="B169" s="13" t="s">
        <v>281</v>
      </c>
      <c r="C169" s="14">
        <v>1089.568</v>
      </c>
      <c r="D169" s="14">
        <v>1027.482</v>
      </c>
      <c r="E169" s="14">
        <v>1359.973</v>
      </c>
      <c r="F169" s="14">
        <v>1596.96</v>
      </c>
      <c r="G169" s="14">
        <v>1445.975</v>
      </c>
      <c r="H169" s="14">
        <v>1952.218</v>
      </c>
      <c r="I169" s="14">
        <v>2558.566</v>
      </c>
      <c r="J169" s="14">
        <f>J162+J166+J168</f>
        <v>3107.1040682435</v>
      </c>
      <c r="K169" s="14">
        <f>K162+K166+K168</f>
        <v>4107.9442999735</v>
      </c>
      <c r="L169" s="14">
        <f>L162+L166+L168</f>
        <v>5507.72635032589</v>
      </c>
      <c r="M169" s="14">
        <f>M162+M166+M168</f>
        <v>7071.89234711353</v>
      </c>
      <c r="N169" s="14">
        <f>N162+N166+N168</f>
        <v>8738.69697826054</v>
      </c>
    </row>
    <row r="170" spans="1:14">
      <c r="A170" s="15" t="s">
        <v>282</v>
      </c>
      <c r="B170" s="15" t="s">
        <v>283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</row>
    <row r="171" spans="1:14">
      <c r="A171" s="13" t="s">
        <v>284</v>
      </c>
      <c r="B171" s="13" t="s">
        <v>285</v>
      </c>
      <c r="C171" s="14">
        <v>1089.568</v>
      </c>
      <c r="D171" s="14">
        <v>1027.482</v>
      </c>
      <c r="E171" s="14">
        <v>1359.973</v>
      </c>
      <c r="F171" s="14">
        <v>1596.96</v>
      </c>
      <c r="G171" s="14">
        <v>1445.975</v>
      </c>
      <c r="H171" s="14">
        <v>1952.218</v>
      </c>
      <c r="I171" s="14">
        <v>2558.566</v>
      </c>
      <c r="J171" s="14">
        <f>J169+J170</f>
        <v>3107.1040682435</v>
      </c>
      <c r="K171" s="14">
        <f>K169+K170</f>
        <v>4107.9442999735</v>
      </c>
      <c r="L171" s="14">
        <f>L169+L170</f>
        <v>5507.72635032589</v>
      </c>
      <c r="M171" s="14">
        <f>M169+M170</f>
        <v>7071.89234711353</v>
      </c>
      <c r="N171" s="14">
        <f>N169+N170</f>
        <v>8738.69697826054</v>
      </c>
    </row>
    <row r="172" spans="1:14">
      <c r="A172" s="13" t="s">
        <v>286</v>
      </c>
      <c r="B172" s="13" t="s">
        <v>287</v>
      </c>
      <c r="C172" s="14">
        <v>1296.213</v>
      </c>
      <c r="D172" s="14">
        <v>1314.077</v>
      </c>
      <c r="E172" s="14">
        <v>1657.541</v>
      </c>
      <c r="F172" s="14">
        <v>1998.483</v>
      </c>
      <c r="G172" s="14">
        <v>2084.711</v>
      </c>
      <c r="H172" s="14">
        <v>3281.354</v>
      </c>
      <c r="I172" s="14">
        <v>4185.215</v>
      </c>
      <c r="J172" s="14">
        <f>J160+J171</f>
        <v>4828.92739581561</v>
      </c>
      <c r="K172" s="14">
        <f>K160+K171</f>
        <v>6266.13495297216</v>
      </c>
      <c r="L172" s="14">
        <f>L160+L171</f>
        <v>8009.51325027023</v>
      </c>
      <c r="M172" s="14">
        <f>M160+M171</f>
        <v>9831.1824414541</v>
      </c>
      <c r="N172" s="14">
        <f>N160+N171</f>
        <v>11769.9391146309</v>
      </c>
    </row>
    <row r="173" spans="1:14">
      <c r="A173" s="39" t="s">
        <v>288</v>
      </c>
      <c r="B173" s="39"/>
      <c r="C173" s="39"/>
      <c r="D173" s="39"/>
      <c r="E173" s="39"/>
      <c r="F173" s="39"/>
      <c r="G173" s="39"/>
      <c r="H173" s="39"/>
      <c r="I173" s="39"/>
      <c r="J173" s="40">
        <f>(J127-J172)/J127</f>
        <v>-0.00925373759999989</v>
      </c>
      <c r="K173" s="40">
        <f>(K127-K172)/K127</f>
        <v>-0.0134467854347059</v>
      </c>
      <c r="L173" s="40">
        <f>(L127-L172)/L127</f>
        <v>-0.0143937721042274</v>
      </c>
      <c r="M173" s="40">
        <f>(M127-M172)/M127</f>
        <v>-0.0166241640385811</v>
      </c>
      <c r="N173" s="40">
        <f>(N127-N172)/N127</f>
        <v>-0.0217917386388154</v>
      </c>
    </row>
    <row r="176" spans="1:1">
      <c r="A176" s="33" t="s">
        <v>289</v>
      </c>
    </row>
    <row r="177" spans="1:15">
      <c r="A177" s="34" t="s">
        <v>25</v>
      </c>
      <c r="B177" s="34"/>
      <c r="C177" s="35" t="s">
        <v>26</v>
      </c>
      <c r="D177" s="35" t="s">
        <v>27</v>
      </c>
      <c r="E177" s="35" t="s">
        <v>28</v>
      </c>
      <c r="F177" s="35" t="s">
        <v>29</v>
      </c>
      <c r="G177" s="35" t="s">
        <v>30</v>
      </c>
      <c r="H177" s="35" t="s">
        <v>31</v>
      </c>
      <c r="I177" s="35" t="s">
        <v>32</v>
      </c>
      <c r="J177" s="25" t="s">
        <v>33</v>
      </c>
      <c r="K177" s="25" t="s">
        <v>34</v>
      </c>
      <c r="L177" s="25" t="s">
        <v>35</v>
      </c>
      <c r="M177" s="25" t="s">
        <v>36</v>
      </c>
      <c r="N177" s="26" t="s">
        <v>37</v>
      </c>
      <c r="O177" s="25"/>
    </row>
    <row r="178" spans="1:15">
      <c r="A178" s="11" t="s">
        <v>38</v>
      </c>
      <c r="B178" s="11"/>
      <c r="C178" s="12" t="s">
        <v>39</v>
      </c>
      <c r="D178" s="12" t="s">
        <v>40</v>
      </c>
      <c r="E178" s="12" t="s">
        <v>41</v>
      </c>
      <c r="F178" s="12" t="s">
        <v>42</v>
      </c>
      <c r="G178" s="12" t="s">
        <v>43</v>
      </c>
      <c r="H178" s="12" t="s">
        <v>44</v>
      </c>
      <c r="I178" s="12" t="s">
        <v>45</v>
      </c>
      <c r="J178" s="27" t="s">
        <v>46</v>
      </c>
      <c r="K178" s="27" t="s">
        <v>47</v>
      </c>
      <c r="L178" s="27" t="s">
        <v>48</v>
      </c>
      <c r="M178" s="27" t="s">
        <v>49</v>
      </c>
      <c r="N178" s="27" t="s">
        <v>50</v>
      </c>
      <c r="O178" s="27"/>
    </row>
    <row r="179" spans="1:14">
      <c r="A179" s="13" t="s">
        <v>290</v>
      </c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</row>
    <row r="180" spans="1:14">
      <c r="A180" s="15" t="s">
        <v>291</v>
      </c>
      <c r="B180" s="15" t="s">
        <v>292</v>
      </c>
      <c r="C180" s="17">
        <v>239.033</v>
      </c>
      <c r="D180" s="17">
        <v>266.047</v>
      </c>
      <c r="E180" s="17">
        <v>303.381</v>
      </c>
      <c r="F180" s="17">
        <v>258.662</v>
      </c>
      <c r="G180" s="17">
        <v>483.801</v>
      </c>
      <c r="H180" s="17">
        <v>645.596</v>
      </c>
      <c r="I180" s="17">
        <v>588.913</v>
      </c>
      <c r="J180" s="17">
        <f>J71</f>
        <v>778.910511100636</v>
      </c>
      <c r="K180" s="17">
        <f>K71</f>
        <v>1158.08686173</v>
      </c>
      <c r="L180" s="17">
        <f>L71</f>
        <v>1455.72463635239</v>
      </c>
      <c r="M180" s="17">
        <f>M71</f>
        <v>1601.29709998763</v>
      </c>
      <c r="N180" s="17">
        <f>N71</f>
        <v>1681.36195498702</v>
      </c>
    </row>
    <row r="181" spans="1:14">
      <c r="A181" s="15" t="s">
        <v>293</v>
      </c>
      <c r="B181" s="15" t="s">
        <v>294</v>
      </c>
      <c r="C181" s="17">
        <v>58.364</v>
      </c>
      <c r="D181" s="17">
        <v>73.383</v>
      </c>
      <c r="E181" s="17">
        <v>87.697</v>
      </c>
      <c r="F181" s="17">
        <v>108.235</v>
      </c>
      <c r="G181" s="17">
        <v>122.484</v>
      </c>
      <c r="H181" s="17">
        <v>161.933</v>
      </c>
      <c r="I181" s="17">
        <v>185.478</v>
      </c>
      <c r="J181" s="17">
        <f>J116*J18</f>
        <v>224.7097815</v>
      </c>
      <c r="K181" s="17">
        <f>K116*K18</f>
        <v>287.12916525</v>
      </c>
      <c r="L181" s="17">
        <f>L116*L18</f>
        <v>330.1985400375</v>
      </c>
      <c r="M181" s="17">
        <f>M116*M18</f>
        <v>379.728321043125</v>
      </c>
      <c r="N181" s="17">
        <f>N116*N18</f>
        <v>436.687569199594</v>
      </c>
    </row>
    <row r="182" spans="1:14">
      <c r="A182" s="15" t="s">
        <v>295</v>
      </c>
      <c r="B182" s="15" t="s">
        <v>296</v>
      </c>
      <c r="C182" s="17">
        <v>15.848</v>
      </c>
      <c r="D182" s="17">
        <v>19.053</v>
      </c>
      <c r="E182" s="17">
        <v>-6.245</v>
      </c>
      <c r="F182" s="17">
        <v>48.622</v>
      </c>
      <c r="G182" s="17">
        <v>68.199</v>
      </c>
      <c r="H182" s="17">
        <v>96.689</v>
      </c>
      <c r="I182" s="17">
        <v>51.489</v>
      </c>
      <c r="J182" s="17">
        <f>SUM(J183:J185)</f>
        <v>61.1785597737257</v>
      </c>
      <c r="K182" s="17">
        <f>SUM(K183:K185)</f>
        <v>66.2323392422806</v>
      </c>
      <c r="L182" s="17">
        <f>SUM(L183:L185)</f>
        <v>70.1993473954956</v>
      </c>
      <c r="M182" s="17">
        <f>SUM(M183:M185)</f>
        <v>72.1395821350451</v>
      </c>
      <c r="N182" s="17">
        <f>SUM(N183:N185)</f>
        <v>73.2067112417974</v>
      </c>
    </row>
    <row r="183" spans="1:14">
      <c r="A183" s="15" t="s">
        <v>297</v>
      </c>
      <c r="B183" s="15" t="s">
        <v>298</v>
      </c>
      <c r="C183" s="17">
        <v>7.856</v>
      </c>
      <c r="D183" s="17">
        <v>11.558</v>
      </c>
      <c r="E183" s="17">
        <v>16.822</v>
      </c>
      <c r="F183" s="17">
        <v>17.61</v>
      </c>
      <c r="G183" s="17">
        <v>28.568</v>
      </c>
      <c r="H183" s="17">
        <v>45.593</v>
      </c>
      <c r="I183" s="17">
        <v>50.797</v>
      </c>
      <c r="J183" s="17">
        <f>I183</f>
        <v>50.797</v>
      </c>
      <c r="K183" s="17">
        <f>I183</f>
        <v>50.797</v>
      </c>
      <c r="L183" s="17">
        <f>I183</f>
        <v>50.797</v>
      </c>
      <c r="M183" s="17">
        <f>I183</f>
        <v>50.797</v>
      </c>
      <c r="N183" s="17">
        <f>I183</f>
        <v>50.797</v>
      </c>
    </row>
    <row r="184" spans="1:14">
      <c r="A184" s="15" t="s">
        <v>299</v>
      </c>
      <c r="B184" s="15" t="s">
        <v>300</v>
      </c>
      <c r="C184" s="17">
        <v>2.087</v>
      </c>
      <c r="D184" s="17">
        <v>11.142</v>
      </c>
      <c r="E184" s="17">
        <v>-17.563</v>
      </c>
      <c r="F184" s="17">
        <v>-11.416</v>
      </c>
      <c r="G184" s="17">
        <v>16.786</v>
      </c>
      <c r="H184" s="17">
        <v>24.129</v>
      </c>
      <c r="I184" s="17">
        <v>34.908</v>
      </c>
      <c r="J184" s="17">
        <f>J63</f>
        <v>55.6364650786168</v>
      </c>
      <c r="K184" s="17">
        <f>K63</f>
        <v>82.7204901235715</v>
      </c>
      <c r="L184" s="17">
        <f>L63</f>
        <v>103.980331168028</v>
      </c>
      <c r="M184" s="17">
        <f>M63</f>
        <v>114.378364284831</v>
      </c>
      <c r="N184" s="17">
        <f>N63</f>
        <v>120.097282499073</v>
      </c>
    </row>
    <row r="185" spans="1:14">
      <c r="A185" s="15" t="s">
        <v>301</v>
      </c>
      <c r="B185" s="15" t="s">
        <v>302</v>
      </c>
      <c r="C185" s="17">
        <v>5.905</v>
      </c>
      <c r="D185" s="17">
        <v>-3.647</v>
      </c>
      <c r="E185" s="17">
        <v>-5.504</v>
      </c>
      <c r="F185" s="17">
        <v>42.428</v>
      </c>
      <c r="G185" s="17">
        <v>22.845</v>
      </c>
      <c r="H185" s="17">
        <v>26.967</v>
      </c>
      <c r="I185" s="17">
        <v>-34.216</v>
      </c>
      <c r="J185" s="17">
        <f>I185*(J71/I71)</f>
        <v>-45.2549053048911</v>
      </c>
      <c r="K185" s="17">
        <f>J185*(K71/J71)</f>
        <v>-67.2851508812909</v>
      </c>
      <c r="L185" s="17">
        <f>K185*(L71/K71)</f>
        <v>-84.5779837725326</v>
      </c>
      <c r="M185" s="17">
        <f>L185*(M71/L71)</f>
        <v>-93.0357821497858</v>
      </c>
      <c r="N185" s="17">
        <f>M185*(N71/M71)</f>
        <v>-97.6875712572751</v>
      </c>
    </row>
    <row r="186" spans="1:14">
      <c r="A186" s="15" t="s">
        <v>303</v>
      </c>
      <c r="B186" s="15" t="s">
        <v>304</v>
      </c>
      <c r="C186" s="17">
        <v>1.204</v>
      </c>
      <c r="D186" s="17">
        <v>-59.743</v>
      </c>
      <c r="E186" s="17">
        <v>1.559</v>
      </c>
      <c r="F186" s="17">
        <v>73.818</v>
      </c>
      <c r="G186" s="17">
        <v>68.295</v>
      </c>
      <c r="H186" s="17">
        <v>-234.902</v>
      </c>
      <c r="I186" s="17">
        <v>-22.544</v>
      </c>
      <c r="J186" s="17">
        <f>SUM(J187:J191)</f>
        <v>-100.106995363447</v>
      </c>
      <c r="K186" s="17">
        <f>SUM(K187:K191)</f>
        <v>50.6438709420825</v>
      </c>
      <c r="L186" s="17">
        <f>SUM(L187:L191)</f>
        <v>-162.384581322685</v>
      </c>
      <c r="M186" s="17">
        <f>SUM(M187:M191)</f>
        <v>-41.0590661725997</v>
      </c>
      <c r="N186" s="17">
        <f>SUM(N187:N191)</f>
        <v>62.7427987169059</v>
      </c>
    </row>
    <row r="187" spans="1:14">
      <c r="A187" s="15" t="s">
        <v>305</v>
      </c>
      <c r="B187" s="15" t="s">
        <v>306</v>
      </c>
      <c r="C187" s="17" t="s">
        <v>80</v>
      </c>
      <c r="D187" s="17" t="s">
        <v>80</v>
      </c>
      <c r="E187" s="17" t="s">
        <v>80</v>
      </c>
      <c r="F187" s="17" t="s">
        <v>80</v>
      </c>
      <c r="G187" s="17" t="s">
        <v>80</v>
      </c>
      <c r="H187" s="17" t="s">
        <v>80</v>
      </c>
      <c r="I187" s="17" t="s">
        <v>80</v>
      </c>
      <c r="J187" s="17">
        <f>I102-J102</f>
        <v>-0.519058198560764</v>
      </c>
      <c r="K187" s="17">
        <f>J102-K102</f>
        <v>-16.0463949143919</v>
      </c>
      <c r="L187" s="17">
        <f>K102-L102</f>
        <v>-20.2945088796742</v>
      </c>
      <c r="M187" s="17">
        <f>L102-M102</f>
        <v>-9.92589619926271</v>
      </c>
      <c r="N187" s="17">
        <f>M102-N102</f>
        <v>-5.45924290959447</v>
      </c>
    </row>
    <row r="188" spans="1:14">
      <c r="A188" s="15" t="s">
        <v>307</v>
      </c>
      <c r="B188" s="15" t="s">
        <v>308</v>
      </c>
      <c r="C188" s="17">
        <v>-26.806</v>
      </c>
      <c r="D188" s="17">
        <v>-83.286</v>
      </c>
      <c r="E188" s="17">
        <v>-5.403</v>
      </c>
      <c r="F188" s="17">
        <v>-21.178</v>
      </c>
      <c r="G188" s="17">
        <v>-85.942</v>
      </c>
      <c r="H188" s="17">
        <v>-117.591</v>
      </c>
      <c r="I188" s="17">
        <v>-96.548</v>
      </c>
      <c r="J188" s="17">
        <f>I105-J105</f>
        <v>-177.260022965111</v>
      </c>
      <c r="K188" s="17">
        <f>J105-K105</f>
        <v>-103.250331987051</v>
      </c>
      <c r="L188" s="17">
        <f>K105-L105</f>
        <v>-238.436842520478</v>
      </c>
      <c r="M188" s="17">
        <f>L105-M105</f>
        <v>-116.617719747264</v>
      </c>
      <c r="N188" s="17">
        <f>M105-N105</f>
        <v>-64.1397458609949</v>
      </c>
    </row>
    <row r="189" spans="1:14">
      <c r="A189" s="15" t="s">
        <v>309</v>
      </c>
      <c r="B189" s="15" t="s">
        <v>310</v>
      </c>
      <c r="C189" s="17">
        <v>-2.198</v>
      </c>
      <c r="D189" s="17">
        <v>1.247</v>
      </c>
      <c r="E189" s="17">
        <v>14.08</v>
      </c>
      <c r="F189" s="17">
        <v>-1.551</v>
      </c>
      <c r="G189" s="17">
        <v>71.962</v>
      </c>
      <c r="H189" s="17">
        <v>-14.81</v>
      </c>
      <c r="I189" s="17">
        <v>82.663</v>
      </c>
      <c r="J189" s="17">
        <f>J131-I131</f>
        <v>-66.9329141997745</v>
      </c>
      <c r="K189" s="17">
        <f>K131-J131</f>
        <v>39.9405978435255</v>
      </c>
      <c r="L189" s="17">
        <f>L131-K131</f>
        <v>56.3467700774673</v>
      </c>
      <c r="M189" s="17">
        <f>M131-L131</f>
        <v>35.4845497739274</v>
      </c>
      <c r="N189" s="17">
        <f>N131-M131</f>
        <v>32.3417874874953</v>
      </c>
    </row>
    <row r="190" spans="1:14">
      <c r="A190" s="15" t="s">
        <v>311</v>
      </c>
      <c r="B190" s="15" t="s">
        <v>312</v>
      </c>
      <c r="C190" s="17">
        <v>30.208</v>
      </c>
      <c r="D190" s="17">
        <v>22.296</v>
      </c>
      <c r="E190" s="17">
        <v>-7.118</v>
      </c>
      <c r="F190" s="17">
        <v>96.547</v>
      </c>
      <c r="G190" s="17">
        <v>82.275</v>
      </c>
      <c r="H190" s="17">
        <v>-102.501</v>
      </c>
      <c r="I190" s="17">
        <v>-8.659</v>
      </c>
      <c r="J190" s="17">
        <f>SUM(J132:J134)-SUM(I132:I134)</f>
        <v>144.605</v>
      </c>
      <c r="K190" s="17">
        <f>SUM(K132:K134)-SUM(J132:J134)</f>
        <v>130</v>
      </c>
      <c r="L190" s="17">
        <f>SUM(L132:L134)-SUM(K132:K134)</f>
        <v>40</v>
      </c>
      <c r="M190" s="17">
        <f>SUM(M132:M134)-SUM(L132:L134)</f>
        <v>50</v>
      </c>
      <c r="N190" s="17">
        <f>SUM(N132:N134)-SUM(M132:M134)</f>
        <v>100</v>
      </c>
    </row>
    <row r="191" spans="1:14">
      <c r="A191" s="15" t="s">
        <v>313</v>
      </c>
      <c r="B191" s="15" t="s">
        <v>314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</row>
    <row r="192" spans="1:14">
      <c r="A192" s="13" t="s">
        <v>290</v>
      </c>
      <c r="B192" s="13" t="s">
        <v>315</v>
      </c>
      <c r="C192" s="14">
        <v>314.449</v>
      </c>
      <c r="D192" s="14">
        <v>298.74</v>
      </c>
      <c r="E192" s="14">
        <v>386.392</v>
      </c>
      <c r="F192" s="14">
        <v>489.337</v>
      </c>
      <c r="G192" s="14">
        <v>742.779</v>
      </c>
      <c r="H192" s="14">
        <v>669.316</v>
      </c>
      <c r="I192" s="14">
        <v>803.336</v>
      </c>
      <c r="J192" s="14">
        <f>J180+J181+J182+J186</f>
        <v>964.691857010915</v>
      </c>
      <c r="K192" s="14">
        <f>K180+K181+K182+K186</f>
        <v>1562.09223716436</v>
      </c>
      <c r="L192" s="14">
        <f>L180+L181+L182+L186</f>
        <v>1693.7379424627</v>
      </c>
      <c r="M192" s="14">
        <f>M180+M181+M182+M186</f>
        <v>2012.1059369932</v>
      </c>
      <c r="N192" s="14">
        <f>N180+N181+N182+N186</f>
        <v>2253.99903414531</v>
      </c>
    </row>
    <row r="193" spans="1:14">
      <c r="A193" s="13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</row>
    <row r="194" spans="1:14">
      <c r="A194" s="13" t="s">
        <v>316</v>
      </c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</row>
    <row r="195" spans="1:14">
      <c r="A195" s="15" t="s">
        <v>317</v>
      </c>
      <c r="B195" s="15" t="s">
        <v>318</v>
      </c>
      <c r="C195" s="17">
        <v>-119.733</v>
      </c>
      <c r="D195" s="17">
        <v>-143.487</v>
      </c>
      <c r="E195" s="17">
        <v>-149.511</v>
      </c>
      <c r="F195" s="17">
        <v>-157.864</v>
      </c>
      <c r="G195" s="17">
        <v>-225.807</v>
      </c>
      <c r="H195" s="17">
        <v>-283.048</v>
      </c>
      <c r="I195" s="17">
        <v>-229.226</v>
      </c>
      <c r="J195" s="17">
        <f>SUM(J196:J199)</f>
        <v>-283</v>
      </c>
      <c r="K195" s="17">
        <f>SUM(K196:K199)</f>
        <v>-283</v>
      </c>
      <c r="L195" s="17">
        <f>SUM(L196:L199)</f>
        <v>-300</v>
      </c>
      <c r="M195" s="17">
        <f>SUM(M196:M199)</f>
        <v>-350</v>
      </c>
      <c r="N195" s="17">
        <f>SUM(N196:N199)</f>
        <v>-400</v>
      </c>
    </row>
    <row r="196" spans="1:14">
      <c r="A196" s="15" t="s">
        <v>319</v>
      </c>
      <c r="B196" s="15" t="s">
        <v>320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f>0</f>
        <v>0</v>
      </c>
      <c r="K196" s="17">
        <f>0</f>
        <v>0</v>
      </c>
      <c r="L196" s="17">
        <f>0</f>
        <v>0</v>
      </c>
      <c r="M196" s="17">
        <f>0</f>
        <v>0</v>
      </c>
      <c r="N196" s="17">
        <f>0</f>
        <v>0</v>
      </c>
    </row>
    <row r="197" spans="1:14">
      <c r="A197" s="18" t="s">
        <v>321</v>
      </c>
      <c r="B197" s="18" t="s">
        <v>322</v>
      </c>
      <c r="C197" s="19">
        <v>0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f>0</f>
        <v>0</v>
      </c>
      <c r="K197" s="19">
        <f>0</f>
        <v>0</v>
      </c>
      <c r="L197" s="19">
        <f>0</f>
        <v>0</v>
      </c>
      <c r="M197" s="19">
        <f>0</f>
        <v>0</v>
      </c>
      <c r="N197" s="19">
        <f>0</f>
        <v>0</v>
      </c>
    </row>
    <row r="198" spans="1:14">
      <c r="A198" s="18" t="s">
        <v>323</v>
      </c>
      <c r="B198" s="18" t="s">
        <v>324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f>0</f>
        <v>0</v>
      </c>
      <c r="K198" s="19">
        <f>0</f>
        <v>0</v>
      </c>
      <c r="L198" s="19">
        <f>0</f>
        <v>0</v>
      </c>
      <c r="M198" s="19">
        <f>0</f>
        <v>0</v>
      </c>
      <c r="N198" s="19">
        <f>0</f>
        <v>0</v>
      </c>
    </row>
    <row r="199" spans="1:14">
      <c r="A199" s="15" t="s">
        <v>325</v>
      </c>
      <c r="B199" s="15" t="s">
        <v>326</v>
      </c>
      <c r="C199" s="17">
        <v>-119.733</v>
      </c>
      <c r="D199" s="17">
        <v>-143.487</v>
      </c>
      <c r="E199" s="17">
        <v>-149.511</v>
      </c>
      <c r="F199" s="17">
        <v>-157.864</v>
      </c>
      <c r="G199" s="17">
        <v>-225.807</v>
      </c>
      <c r="H199" s="17">
        <v>-283.048</v>
      </c>
      <c r="I199" s="17">
        <v>-229.226</v>
      </c>
      <c r="J199" s="17">
        <f>-283</f>
        <v>-283</v>
      </c>
      <c r="K199" s="17">
        <v>-283</v>
      </c>
      <c r="L199" s="17">
        <f>-300</f>
        <v>-300</v>
      </c>
      <c r="M199" s="17">
        <f>-350</f>
        <v>-350</v>
      </c>
      <c r="N199" s="17">
        <v>-400</v>
      </c>
    </row>
    <row r="200" spans="1:14">
      <c r="A200" s="18" t="s">
        <v>327</v>
      </c>
      <c r="B200" s="18" t="s">
        <v>328</v>
      </c>
      <c r="C200" s="19">
        <v>-119.733</v>
      </c>
      <c r="D200" s="19">
        <v>-143.487</v>
      </c>
      <c r="E200" s="19">
        <v>-149.511</v>
      </c>
      <c r="F200" s="19">
        <v>-157.864</v>
      </c>
      <c r="G200" s="19">
        <v>-225.807</v>
      </c>
      <c r="H200" s="19">
        <v>-283.048</v>
      </c>
      <c r="I200" s="19">
        <v>-229.226</v>
      </c>
      <c r="J200" s="19">
        <f>J199</f>
        <v>-283</v>
      </c>
      <c r="K200" s="19">
        <f>K199</f>
        <v>-283</v>
      </c>
      <c r="L200" s="19">
        <f>L199</f>
        <v>-300</v>
      </c>
      <c r="M200" s="19">
        <f>M199</f>
        <v>-350</v>
      </c>
      <c r="N200" s="19">
        <f>N199</f>
        <v>-400</v>
      </c>
    </row>
    <row r="201" spans="1:14">
      <c r="A201" s="18" t="s">
        <v>329</v>
      </c>
      <c r="B201" s="18" t="s">
        <v>330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</row>
    <row r="202" spans="1:14">
      <c r="A202" s="15" t="s">
        <v>331</v>
      </c>
      <c r="B202" s="15" t="s">
        <v>332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f>SUM(J203:J204)</f>
        <v>0</v>
      </c>
      <c r="K202" s="17">
        <f>SUM(K203:K204)</f>
        <v>0</v>
      </c>
      <c r="L202" s="17">
        <f>SUM(L203:L204)</f>
        <v>0</v>
      </c>
      <c r="M202" s="17">
        <f>SUM(M203:M204)</f>
        <v>0</v>
      </c>
      <c r="N202" s="17">
        <f>SUM(N203:N204)</f>
        <v>0</v>
      </c>
    </row>
    <row r="203" spans="1:14">
      <c r="A203" s="15" t="s">
        <v>333</v>
      </c>
      <c r="B203" s="15" t="s">
        <v>334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f>0</f>
        <v>0</v>
      </c>
      <c r="K203" s="17">
        <f>0</f>
        <v>0</v>
      </c>
      <c r="L203" s="17">
        <f>0</f>
        <v>0</v>
      </c>
      <c r="M203" s="17">
        <f>0</f>
        <v>0</v>
      </c>
      <c r="N203" s="17">
        <f>0</f>
        <v>0</v>
      </c>
    </row>
    <row r="204" spans="1:14">
      <c r="A204" s="15" t="s">
        <v>335</v>
      </c>
      <c r="B204" s="15" t="s">
        <v>336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f>0</f>
        <v>0</v>
      </c>
      <c r="K204" s="17">
        <f>0</f>
        <v>0</v>
      </c>
      <c r="L204" s="17">
        <f>0</f>
        <v>0</v>
      </c>
      <c r="M204" s="17">
        <f>0</f>
        <v>0</v>
      </c>
      <c r="N204" s="17">
        <f>0</f>
        <v>0</v>
      </c>
    </row>
    <row r="205" spans="1:14">
      <c r="A205" s="15" t="s">
        <v>337</v>
      </c>
      <c r="B205" s="15" t="s">
        <v>338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-452.581</v>
      </c>
      <c r="J205" s="17">
        <f>SUM(J206:J208)</f>
        <v>0</v>
      </c>
      <c r="K205" s="17">
        <f>SUM(K206:K208)</f>
        <v>0</v>
      </c>
      <c r="L205" s="17">
        <f>SUM(L206:L208)</f>
        <v>0</v>
      </c>
      <c r="M205" s="17">
        <f>SUM(M206:M208)</f>
        <v>0</v>
      </c>
      <c r="N205" s="17">
        <f>SUM(N206:N208)</f>
        <v>0</v>
      </c>
    </row>
    <row r="206" spans="1:14">
      <c r="A206" s="15" t="s">
        <v>339</v>
      </c>
      <c r="B206" s="15" t="s">
        <v>340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</row>
    <row r="207" spans="1:14">
      <c r="A207" s="15" t="s">
        <v>341</v>
      </c>
      <c r="B207" s="15" t="s">
        <v>342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-452.581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</row>
    <row r="208" spans="1:14">
      <c r="A208" s="15" t="s">
        <v>343</v>
      </c>
      <c r="B208" s="15" t="s">
        <v>344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</row>
    <row r="209" spans="1:14">
      <c r="A209" s="15" t="s">
        <v>345</v>
      </c>
      <c r="B209" s="15" t="s">
        <v>346</v>
      </c>
      <c r="C209" s="17">
        <v>0</v>
      </c>
      <c r="D209" s="17">
        <v>0</v>
      </c>
      <c r="E209" s="17">
        <v>0</v>
      </c>
      <c r="F209" s="17">
        <v>-15.528</v>
      </c>
      <c r="G209" s="17">
        <v>-16.987</v>
      </c>
      <c r="H209" s="17">
        <v>4.64</v>
      </c>
      <c r="I209" s="17">
        <v>-13.725</v>
      </c>
      <c r="J209" s="17">
        <f>I209*(J71/I71)</f>
        <v>-18.1530154112003</v>
      </c>
      <c r="K209" s="17">
        <f>J209*(K71/J71)</f>
        <v>-26.9899665608404</v>
      </c>
      <c r="L209" s="17">
        <f>K209*(L71/K71)</f>
        <v>-33.9266082323477</v>
      </c>
      <c r="M209" s="17">
        <f>L209*(M71/L71)</f>
        <v>-37.3192690555824</v>
      </c>
      <c r="N209" s="17">
        <f>M209*(N71/M71)</f>
        <v>-39.1852325083616</v>
      </c>
    </row>
    <row r="210" spans="1:14">
      <c r="A210" s="15" t="s">
        <v>313</v>
      </c>
      <c r="B210" s="15" t="s">
        <v>347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</row>
    <row r="211" spans="1:14">
      <c r="A211" s="13" t="s">
        <v>316</v>
      </c>
      <c r="B211" s="13" t="s">
        <v>348</v>
      </c>
      <c r="C211" s="14">
        <v>-119.733</v>
      </c>
      <c r="D211" s="14">
        <v>-143.487</v>
      </c>
      <c r="E211" s="14">
        <v>-149.511</v>
      </c>
      <c r="F211" s="14">
        <v>-173.392</v>
      </c>
      <c r="G211" s="14">
        <v>-242.794</v>
      </c>
      <c r="H211" s="14">
        <v>-278.408</v>
      </c>
      <c r="I211" s="14">
        <v>-695.532</v>
      </c>
      <c r="J211" s="14">
        <f>J195+J202+J205+J209</f>
        <v>-301.1530154112</v>
      </c>
      <c r="K211" s="14">
        <f>K195+K202+K205+K209</f>
        <v>-309.98996656084</v>
      </c>
      <c r="L211" s="14">
        <f>L195+L202+L205+L209</f>
        <v>-333.926608232348</v>
      </c>
      <c r="M211" s="14">
        <f>M195+M202+M205+M209</f>
        <v>-387.319269055582</v>
      </c>
      <c r="N211" s="14">
        <f>N195+N202+N205+N209</f>
        <v>-439.185232508362</v>
      </c>
    </row>
    <row r="212" spans="1:14">
      <c r="A212" s="13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</row>
    <row r="213" spans="1:14">
      <c r="A213" s="13" t="s">
        <v>349</v>
      </c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</row>
    <row r="214" spans="1:14">
      <c r="A214" s="15" t="s">
        <v>350</v>
      </c>
      <c r="B214" s="15" t="s">
        <v>351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</row>
    <row r="215" spans="1:14">
      <c r="A215" s="15" t="s">
        <v>352</v>
      </c>
      <c r="B215" s="15" t="s">
        <v>353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</row>
    <row r="216" spans="1:14">
      <c r="A216" s="15" t="s">
        <v>354</v>
      </c>
      <c r="B216" s="15" t="s">
        <v>355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</row>
    <row r="217" spans="1:14">
      <c r="A217" s="15" t="s">
        <v>356</v>
      </c>
      <c r="B217" s="15" t="s">
        <v>357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</row>
    <row r="218" spans="1:14">
      <c r="A218" s="15" t="s">
        <v>358</v>
      </c>
      <c r="B218" s="15" t="s">
        <v>359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</row>
    <row r="219" spans="1:14">
      <c r="A219" s="15" t="s">
        <v>360</v>
      </c>
      <c r="B219" s="15" t="s">
        <v>361</v>
      </c>
      <c r="C219" s="17">
        <v>-144.105</v>
      </c>
      <c r="D219" s="17">
        <v>-270.691</v>
      </c>
      <c r="E219" s="17">
        <v>-25.688</v>
      </c>
      <c r="F219" s="17">
        <v>-97.862</v>
      </c>
      <c r="G219" s="17">
        <v>-589.469</v>
      </c>
      <c r="H219" s="17">
        <v>-177.173</v>
      </c>
      <c r="I219" s="17">
        <v>-80.788</v>
      </c>
      <c r="J219" s="17">
        <f>SUM(J220:J223)</f>
        <v>-98.9984979870672</v>
      </c>
      <c r="K219" s="17">
        <f>SUM(K220:K223)</f>
        <v>-131.985626245613</v>
      </c>
      <c r="L219" s="17">
        <f>SUM(L220:L223)</f>
        <v>-176.941994786066</v>
      </c>
      <c r="M219" s="17">
        <f>SUM(M220:M223)</f>
        <v>-226.910453274373</v>
      </c>
      <c r="N219" s="17">
        <f>SUM(N220:N223)</f>
        <v>-279.635561234</v>
      </c>
    </row>
    <row r="220" spans="1:14">
      <c r="A220" s="15" t="s">
        <v>362</v>
      </c>
      <c r="B220" s="15" t="s">
        <v>363</v>
      </c>
      <c r="C220" s="17">
        <v>3.326</v>
      </c>
      <c r="D220" s="17">
        <v>3.502</v>
      </c>
      <c r="E220" s="17">
        <v>6.907</v>
      </c>
      <c r="F220" s="17">
        <v>5.628</v>
      </c>
      <c r="G220" s="17">
        <v>17.65</v>
      </c>
      <c r="H220" s="17">
        <v>18.17</v>
      </c>
      <c r="I220" s="17">
        <v>15.263</v>
      </c>
      <c r="J220" s="17">
        <f>I220*(J166/I166)</f>
        <v>18.7034469819355</v>
      </c>
      <c r="K220" s="17">
        <f>J220*(K166/J166)</f>
        <v>24.9355920852947</v>
      </c>
      <c r="L220" s="17">
        <f>K220*(L166/K166)</f>
        <v>33.4290447395618</v>
      </c>
      <c r="M220" s="17">
        <f>L220*(M166/L166)</f>
        <v>42.869414372515</v>
      </c>
      <c r="N220" s="17">
        <f>M220*(N166/M166)</f>
        <v>52.8305883437456</v>
      </c>
    </row>
    <row r="221" spans="1:14">
      <c r="A221" s="15" t="s">
        <v>364</v>
      </c>
      <c r="B221" s="15" t="s">
        <v>365</v>
      </c>
      <c r="C221" s="17">
        <v>-147.431</v>
      </c>
      <c r="D221" s="17">
        <v>-274.193</v>
      </c>
      <c r="E221" s="17">
        <v>-32.595</v>
      </c>
      <c r="F221" s="17">
        <v>-103.49</v>
      </c>
      <c r="G221" s="17">
        <v>-607.119</v>
      </c>
      <c r="H221" s="17">
        <v>-195.343</v>
      </c>
      <c r="I221" s="17">
        <v>-96.051</v>
      </c>
      <c r="J221" s="17">
        <f>I221*(J166/I166)</f>
        <v>-117.701944969003</v>
      </c>
      <c r="K221" s="17">
        <f>J221*(K166/J166)</f>
        <v>-156.921218330908</v>
      </c>
      <c r="L221" s="17">
        <f>K221*(L166/K166)</f>
        <v>-210.371039525628</v>
      </c>
      <c r="M221" s="17">
        <f>L221*(M166/L166)</f>
        <v>-269.779867646888</v>
      </c>
      <c r="N221" s="17">
        <f>M221*(N166/M166)</f>
        <v>-332.466149577745</v>
      </c>
    </row>
    <row r="222" spans="1:14">
      <c r="A222" s="15" t="s">
        <v>366</v>
      </c>
      <c r="B222" s="15" t="s">
        <v>367</v>
      </c>
      <c r="C222" s="17">
        <v>-4.972</v>
      </c>
      <c r="D222" s="17">
        <v>-3.002</v>
      </c>
      <c r="E222" s="17">
        <v>-0.923</v>
      </c>
      <c r="F222" s="17">
        <v>0</v>
      </c>
      <c r="G222" s="17">
        <v>-0.745</v>
      </c>
      <c r="H222" s="17">
        <v>0</v>
      </c>
      <c r="I222" s="17">
        <v>0</v>
      </c>
      <c r="J222" s="17">
        <f>0</f>
        <v>0</v>
      </c>
      <c r="K222" s="17">
        <f>0</f>
        <v>0</v>
      </c>
      <c r="L222" s="17">
        <f>0</f>
        <v>0</v>
      </c>
      <c r="M222" s="17">
        <f>0</f>
        <v>0</v>
      </c>
      <c r="N222" s="17">
        <f>0</f>
        <v>0</v>
      </c>
    </row>
    <row r="223" spans="1:14">
      <c r="A223" s="15" t="s">
        <v>313</v>
      </c>
      <c r="B223" s="15" t="s">
        <v>368</v>
      </c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f>0</f>
        <v>0</v>
      </c>
      <c r="K223" s="17">
        <f>0</f>
        <v>0</v>
      </c>
      <c r="L223" s="17">
        <f>0</f>
        <v>0</v>
      </c>
      <c r="M223" s="17">
        <f>0</f>
        <v>0</v>
      </c>
      <c r="N223" s="17">
        <f>0</f>
        <v>0</v>
      </c>
    </row>
    <row r="224" spans="1:14">
      <c r="A224" s="13" t="s">
        <v>349</v>
      </c>
      <c r="B224" s="13" t="s">
        <v>369</v>
      </c>
      <c r="C224" s="14">
        <v>-149.077</v>
      </c>
      <c r="D224" s="14">
        <v>-273.693</v>
      </c>
      <c r="E224" s="14">
        <v>-26.611</v>
      </c>
      <c r="F224" s="14">
        <v>-97.862</v>
      </c>
      <c r="G224" s="14">
        <v>-590.214</v>
      </c>
      <c r="H224" s="14">
        <v>-177.173</v>
      </c>
      <c r="I224" s="14">
        <v>-80.788</v>
      </c>
      <c r="J224" s="14">
        <f>J214+J215+J219+J222+J223</f>
        <v>-98.9984979870672</v>
      </c>
      <c r="K224" s="14">
        <f>K214+K215+K219+K222+K223</f>
        <v>-131.985626245613</v>
      </c>
      <c r="L224" s="14">
        <f>L214+L215+L219+L222+L223</f>
        <v>-176.941994786066</v>
      </c>
      <c r="M224" s="14">
        <f>M214+M215+M219+M222+M223</f>
        <v>-226.910453274373</v>
      </c>
      <c r="N224" s="14">
        <f>N214+N215+N219+N222+N223</f>
        <v>-279.635561234</v>
      </c>
    </row>
    <row r="225" spans="1:14">
      <c r="A225" s="13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</row>
    <row r="226" spans="1:14">
      <c r="A226" s="15" t="s">
        <v>370</v>
      </c>
      <c r="B226" s="15" t="s">
        <v>371</v>
      </c>
      <c r="C226" s="17">
        <v>-79.809</v>
      </c>
      <c r="D226" s="17">
        <v>-44.557</v>
      </c>
      <c r="E226" s="17">
        <v>23.094</v>
      </c>
      <c r="F226" s="17">
        <v>37.572</v>
      </c>
      <c r="G226" s="17">
        <v>-18.952</v>
      </c>
      <c r="H226" s="17">
        <v>-1.55</v>
      </c>
      <c r="I226" s="17">
        <v>29.996</v>
      </c>
      <c r="J226" s="17">
        <f>I226*(J36/I36)</f>
        <v>42.4204755226575</v>
      </c>
      <c r="K226" s="17">
        <f>J226*(K36/J36)</f>
        <v>53.2392407894538</v>
      </c>
      <c r="L226" s="17">
        <f>K226*(L36/K36)</f>
        <v>66.9221601582888</v>
      </c>
      <c r="M226" s="17">
        <f>L226*(M36/L36)</f>
        <v>73.6143761741177</v>
      </c>
      <c r="N226" s="17">
        <f>M226*(N36/M36)</f>
        <v>77.2950949828236</v>
      </c>
    </row>
    <row r="227" spans="1:14">
      <c r="A227" s="13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</row>
    <row r="228" spans="1:14">
      <c r="A228" s="41" t="s">
        <v>372</v>
      </c>
      <c r="B228" s="41" t="s">
        <v>373</v>
      </c>
      <c r="C228" s="42">
        <v>-34.17</v>
      </c>
      <c r="D228" s="42">
        <v>-162.997</v>
      </c>
      <c r="E228" s="42">
        <v>233.364</v>
      </c>
      <c r="F228" s="42">
        <v>255.655</v>
      </c>
      <c r="G228" s="42">
        <v>-109.181</v>
      </c>
      <c r="H228" s="42">
        <v>212.185</v>
      </c>
      <c r="I228" s="42">
        <v>57.012</v>
      </c>
      <c r="J228" s="42">
        <f>J192+J211+J224+J226</f>
        <v>606.960819135305</v>
      </c>
      <c r="K228" s="42">
        <f>K192+K211+K224+K226</f>
        <v>1173.35588514736</v>
      </c>
      <c r="L228" s="42">
        <f>L192+L211+L224+L226</f>
        <v>1249.79149960258</v>
      </c>
      <c r="M228" s="42">
        <f>M192+M211+M224+M226</f>
        <v>1471.49059083737</v>
      </c>
      <c r="N228" s="42">
        <f>N192+N211+N224+N226</f>
        <v>1612.47333538577</v>
      </c>
    </row>
    <row r="230" spans="1:15">
      <c r="A230" s="22" t="s">
        <v>374</v>
      </c>
      <c r="O230" t="s">
        <v>1</v>
      </c>
    </row>
    <row r="231" spans="1:14">
      <c r="A231" s="43" t="s">
        <v>375</v>
      </c>
      <c r="D231" s="4">
        <f t="shared" ref="D231:I231" si="20">D135+D145-D99</f>
        <v>-501.482</v>
      </c>
      <c r="E231" s="4">
        <f t="shared" si="20"/>
        <v>-734.846</v>
      </c>
      <c r="F231" s="4">
        <f t="shared" si="20"/>
        <v>-990.501</v>
      </c>
      <c r="G231" s="4">
        <f t="shared" si="20"/>
        <v>-881.32</v>
      </c>
      <c r="H231" s="4">
        <f t="shared" si="20"/>
        <v>-353.544</v>
      </c>
      <c r="I231" s="4">
        <f>I135+I145-I99</f>
        <v>-351.836</v>
      </c>
      <c r="J231" s="4">
        <f>J135+J150+J145-J99</f>
        <v>-950.669419801135</v>
      </c>
      <c r="K231" s="4">
        <f>K135+K150+K145-K99</f>
        <v>-1934.03345565034</v>
      </c>
      <c r="L231" s="4">
        <f>L135+L150+L145-L99</f>
        <v>-3033.24568526573</v>
      </c>
      <c r="M231" s="4">
        <f>M135+M150+M145-M99</f>
        <v>-4379.99832424114</v>
      </c>
      <c r="N231" s="4">
        <f>N135+N150+N145-N99</f>
        <v>-5878.86578610284</v>
      </c>
    </row>
    <row r="232" spans="1:14">
      <c r="A232" s="43" t="s">
        <v>376</v>
      </c>
      <c r="D232" s="4"/>
      <c r="E232" s="4"/>
      <c r="F232" s="4"/>
      <c r="G232" s="4"/>
      <c r="H232" s="4">
        <f>H195</f>
        <v>-283.048</v>
      </c>
      <c r="I232" s="4">
        <f>I195</f>
        <v>-229.226</v>
      </c>
      <c r="J232" s="4">
        <f>J195</f>
        <v>-283</v>
      </c>
      <c r="K232" s="4">
        <f>K195</f>
        <v>-283</v>
      </c>
      <c r="L232" s="4">
        <f>L195</f>
        <v>-300</v>
      </c>
      <c r="M232" s="4">
        <f>M195</f>
        <v>-350</v>
      </c>
      <c r="N232" s="4">
        <f>N195</f>
        <v>-400</v>
      </c>
    </row>
    <row r="233" spans="1:15">
      <c r="A233" s="22" t="s">
        <v>377</v>
      </c>
      <c r="D233" s="4"/>
      <c r="E233" s="4"/>
      <c r="F233" s="4"/>
      <c r="G233" s="4"/>
      <c r="H233" s="4">
        <f>H192+H232</f>
        <v>386.268</v>
      </c>
      <c r="I233" s="4">
        <f>I192+I232</f>
        <v>574.11</v>
      </c>
      <c r="J233" s="4">
        <f>J192+J232</f>
        <v>681.691857010915</v>
      </c>
      <c r="K233" s="4">
        <f>K192+K232</f>
        <v>1279.09223716436</v>
      </c>
      <c r="L233" s="4">
        <f>L192+L232</f>
        <v>1393.7379424627</v>
      </c>
      <c r="M233" s="4">
        <f>M192+M232</f>
        <v>1662.1059369932</v>
      </c>
      <c r="N233" s="4">
        <f>N192+N232</f>
        <v>1853.99903414531</v>
      </c>
      <c r="O233" s="4">
        <f>(N233*(1+O5))/(C255-O5)</f>
        <v>23184.7908165257</v>
      </c>
    </row>
    <row r="234" spans="1:15">
      <c r="A234" s="22" t="s">
        <v>378</v>
      </c>
      <c r="D234" s="4">
        <f>D192+D195-D231</f>
        <v>656.735</v>
      </c>
      <c r="E234" s="4">
        <f t="shared" ref="E234:N234" si="21">E192+E195-E231</f>
        <v>971.727</v>
      </c>
      <c r="F234" s="4">
        <f t="shared" si="21"/>
        <v>1321.974</v>
      </c>
      <c r="G234" s="4">
        <f t="shared" si="21"/>
        <v>1398.292</v>
      </c>
      <c r="H234" s="4">
        <f t="shared" si="21"/>
        <v>739.812</v>
      </c>
      <c r="I234" s="4">
        <f t="shared" si="21"/>
        <v>925.946</v>
      </c>
      <c r="J234" s="4">
        <f t="shared" si="21"/>
        <v>1632.36127681205</v>
      </c>
      <c r="K234" s="4">
        <f t="shared" si="21"/>
        <v>3213.1256928147</v>
      </c>
      <c r="L234" s="4">
        <f t="shared" si="21"/>
        <v>4426.98362772843</v>
      </c>
      <c r="M234" s="4">
        <f t="shared" si="21"/>
        <v>6042.10426123434</v>
      </c>
      <c r="N234" s="4">
        <f t="shared" si="21"/>
        <v>7732.86482024815</v>
      </c>
      <c r="O234" s="4">
        <f>(N234*(1+O5))/(C255-O5)</f>
        <v>96701.6972328542</v>
      </c>
    </row>
    <row r="235" spans="4:14">
      <c r="D235" s="4"/>
      <c r="E235" s="4"/>
      <c r="F235" s="4"/>
      <c r="G235" s="4"/>
      <c r="H235" s="4"/>
      <c r="I235" t="s">
        <v>379</v>
      </c>
      <c r="J235">
        <f>$C$255</f>
        <v>0.11236516</v>
      </c>
      <c r="K235">
        <f>$C$255</f>
        <v>0.11236516</v>
      </c>
      <c r="L235">
        <f>$C$255</f>
        <v>0.11236516</v>
      </c>
      <c r="M235">
        <f>$C$255</f>
        <v>0.11236516</v>
      </c>
      <c r="N235">
        <f>$C$255</f>
        <v>0.11236516</v>
      </c>
    </row>
    <row r="236" spans="9:15">
      <c r="I236" t="s">
        <v>380</v>
      </c>
      <c r="J236">
        <v>1</v>
      </c>
      <c r="K236">
        <f>1/(1+K235)^(4/12)</f>
        <v>0.965126426404799</v>
      </c>
      <c r="L236">
        <f>1/(1+L235)^(16/12)</f>
        <v>0.867634533254169</v>
      </c>
      <c r="M236">
        <f>1/(1+M235)^(28/12)</f>
        <v>0.779990748050908</v>
      </c>
      <c r="N236">
        <f>1/(1+N235)^(40/12)</f>
        <v>0.7012002677708</v>
      </c>
      <c r="O236">
        <f>N236</f>
        <v>0.7012002677708</v>
      </c>
    </row>
    <row r="237" spans="9:15">
      <c r="I237" t="s">
        <v>381</v>
      </c>
      <c r="J237" s="4">
        <f>J234*J236</f>
        <v>1632.36127681205</v>
      </c>
      <c r="K237" s="4">
        <f t="shared" ref="J237:O237" si="22">K234*K236</f>
        <v>3101.07251749569</v>
      </c>
      <c r="L237" s="4">
        <f t="shared" si="22"/>
        <v>3841.003873568</v>
      </c>
      <c r="M237" s="4">
        <f t="shared" si="22"/>
        <v>4712.78542252176</v>
      </c>
      <c r="N237" s="4">
        <f t="shared" si="22"/>
        <v>5422.2868825934</v>
      </c>
      <c r="O237" s="4">
        <f>O233*O236</f>
        <v>16257.1815287578</v>
      </c>
    </row>
    <row r="238" spans="9:10">
      <c r="I238" t="s">
        <v>382</v>
      </c>
      <c r="J238" s="4">
        <f>SUM(J237:O237)</f>
        <v>34966.6915017487</v>
      </c>
    </row>
    <row r="239" spans="10:11">
      <c r="J239" s="4"/>
      <c r="K239" s="4"/>
    </row>
    <row r="240" spans="10:11">
      <c r="J240" s="4"/>
      <c r="K240" s="4"/>
    </row>
    <row r="241" spans="9:10">
      <c r="I241" t="s">
        <v>383</v>
      </c>
      <c r="J241" s="4">
        <f>I80</f>
        <v>130.289</v>
      </c>
    </row>
    <row r="242" spans="9:10">
      <c r="I242" t="s">
        <v>384</v>
      </c>
      <c r="J242" s="4">
        <f>J238/J241</f>
        <v>268.377925241185</v>
      </c>
    </row>
    <row r="243" spans="10:10">
      <c r="J243" s="4"/>
    </row>
    <row r="244" spans="10:10">
      <c r="J244" s="4"/>
    </row>
    <row r="245" spans="10:10">
      <c r="J245" s="4"/>
    </row>
    <row r="246" spans="10:10">
      <c r="J246" s="4"/>
    </row>
    <row r="247" spans="10:10">
      <c r="J247" s="4"/>
    </row>
    <row r="248" spans="10:10">
      <c r="J248" s="4"/>
    </row>
    <row r="249" spans="10:10">
      <c r="J249" s="4"/>
    </row>
    <row r="250" spans="10:10">
      <c r="J250" s="4"/>
    </row>
    <row r="251" spans="1:10">
      <c r="A251" t="s">
        <v>385</v>
      </c>
      <c r="C251" s="3">
        <f>0.191</f>
        <v>0.191</v>
      </c>
      <c r="J251" s="4"/>
    </row>
    <row r="252" spans="10:10">
      <c r="J252" s="4"/>
    </row>
    <row r="253" spans="1:3">
      <c r="A253" t="s">
        <v>386</v>
      </c>
      <c r="C253" s="3">
        <f>0.0102</f>
        <v>0.0102</v>
      </c>
    </row>
    <row r="254" spans="4:6">
      <c r="D254" t="s">
        <v>387</v>
      </c>
      <c r="E254" t="s">
        <v>388</v>
      </c>
      <c r="F254" t="s">
        <v>389</v>
      </c>
    </row>
    <row r="255" spans="1:6">
      <c r="A255" t="s">
        <v>379</v>
      </c>
      <c r="C255" s="3">
        <f>F255+D255*(E255-F255)</f>
        <v>0.11236516</v>
      </c>
      <c r="D255">
        <v>1.122</v>
      </c>
      <c r="E255" s="3">
        <f>0.1019</f>
        <v>0.1019</v>
      </c>
      <c r="F255" s="3">
        <f>0.01612</f>
        <v>0.01612</v>
      </c>
    </row>
    <row r="256" spans="1:3">
      <c r="A256" t="s">
        <v>390</v>
      </c>
      <c r="C256" s="3">
        <f>C253*C251*(1-I11)+C255*(1-C251)</f>
        <v>0.0923848358491658</v>
      </c>
    </row>
    <row r="258" spans="1:6">
      <c r="A258" s="22" t="s">
        <v>391</v>
      </c>
      <c r="C258" s="44" t="s">
        <v>392</v>
      </c>
      <c r="D258" s="44" t="s">
        <v>393</v>
      </c>
      <c r="E258" s="44" t="s">
        <v>394</v>
      </c>
      <c r="F258" s="44" t="s">
        <v>395</v>
      </c>
    </row>
    <row r="259" spans="1:6">
      <c r="A259" t="s">
        <v>396</v>
      </c>
      <c r="C259">
        <v>19.3</v>
      </c>
      <c r="D259">
        <v>14.8</v>
      </c>
      <c r="E259">
        <v>2.5</v>
      </c>
      <c r="F259">
        <v>8.2</v>
      </c>
    </row>
    <row r="260" spans="1:6">
      <c r="A260" t="s">
        <v>397</v>
      </c>
      <c r="C260">
        <v>27.4</v>
      </c>
      <c r="D260">
        <v>14.2</v>
      </c>
      <c r="E260">
        <v>2.3</v>
      </c>
      <c r="F260">
        <v>7.2</v>
      </c>
    </row>
    <row r="261" spans="1:6">
      <c r="A261" t="s">
        <v>398</v>
      </c>
      <c r="C261">
        <v>33.7</v>
      </c>
      <c r="D261">
        <v>13.9</v>
      </c>
      <c r="E261">
        <v>1.6</v>
      </c>
      <c r="F261">
        <v>5.2</v>
      </c>
    </row>
    <row r="262" spans="1:6">
      <c r="A262" t="s">
        <v>399</v>
      </c>
      <c r="C262">
        <v>37</v>
      </c>
      <c r="D262">
        <v>15.9</v>
      </c>
      <c r="E262">
        <v>2.1</v>
      </c>
      <c r="F262">
        <v>7.5</v>
      </c>
    </row>
    <row r="263" spans="1:6">
      <c r="A263" t="s">
        <v>400</v>
      </c>
      <c r="C263">
        <v>37.9</v>
      </c>
      <c r="D263">
        <v>28.1</v>
      </c>
      <c r="E263">
        <v>4.8</v>
      </c>
      <c r="F263">
        <v>16.8</v>
      </c>
    </row>
    <row r="264" spans="1:6">
      <c r="A264" s="43" t="s">
        <v>401</v>
      </c>
      <c r="C264">
        <f>AVERAGE(C259:C263)</f>
        <v>31.06</v>
      </c>
      <c r="D264">
        <f>AVERAGE(D259:D263)</f>
        <v>17.38</v>
      </c>
      <c r="E264">
        <f>AVERAGE(E259:E263)</f>
        <v>2.66</v>
      </c>
      <c r="F264">
        <f>AVERAGE(F259:F263)</f>
        <v>8.98</v>
      </c>
    </row>
    <row r="266" spans="1:6">
      <c r="A266" t="s">
        <v>402</v>
      </c>
      <c r="C266">
        <v>46.5</v>
      </c>
      <c r="D266">
        <v>28.4</v>
      </c>
      <c r="E266">
        <v>7.3</v>
      </c>
      <c r="F266">
        <v>19.3</v>
      </c>
    </row>
    <row r="267" spans="1:6">
      <c r="A267" t="s">
        <v>403</v>
      </c>
      <c r="C267">
        <v>37.6</v>
      </c>
      <c r="D267">
        <v>22.2</v>
      </c>
      <c r="E267">
        <v>5.5</v>
      </c>
      <c r="F267">
        <v>13.8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BBG Adjusted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 LIN</cp:lastModifiedBy>
  <dcterms:created xsi:type="dcterms:W3CDTF">2013-04-03T15:49:00Z</dcterms:created>
  <dcterms:modified xsi:type="dcterms:W3CDTF">2021-10-12T21:18:54Z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FE9256689B34474FAC6A7F3D9D1F8D18</vt:lpwstr>
  </property>
  <property fmtid="{D5CDD505-2E9C-101B-9397-08002B2CF9AE}" pid="3" name="KSOProductBuildVer">
    <vt:lpwstr>1033-11.2.0.10323</vt:lpwstr>
  </property>
</Properties>
</file>