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FSM" sheetId="2" r:id="rId1"/>
    <sheet name="DCF" sheetId="3" r:id="rId2"/>
  </sheets>
  <calcPr calcId="144525" iterate="1" iterateCount="100" iterateDelta="0.001"/>
</workbook>
</file>

<file path=xl/comments1.xml><?xml version="1.0" encoding="utf-8"?>
<comments xmlns="http://schemas.openxmlformats.org/spreadsheetml/2006/main">
  <authors>
    <author>Lin, Jeremy</author>
    <author>Matan Feldman</author>
  </authors>
  <commentList>
    <comment ref="D11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from 2022 Q2 report</t>
        </r>
      </text>
    </comment>
    <comment ref="G23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2021 annual report page 43</t>
        </r>
      </text>
    </comment>
    <comment ref="G25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includes standby fees, acceleration of unamortized costs on debt extinguishment, and other costs. page 43</t>
        </r>
      </text>
    </comment>
    <comment ref="G31" authorId="0">
      <text>
        <r>
          <rPr>
            <b/>
            <sz val="9"/>
            <rFont val="Tahoma"/>
            <charset val="134"/>
          </rPr>
          <t>Lin, Jeremy:</t>
        </r>
        <r>
          <rPr>
            <sz val="9"/>
            <rFont val="Tahoma"/>
            <charset val="134"/>
          </rPr>
          <t xml:space="preserve">
D&amp;A in Cash flow statement, note 10-12. page 35</t>
        </r>
      </text>
    </comment>
    <comment ref="C33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Share-based payment</t>
        </r>
      </text>
    </comment>
    <comment ref="G33" authorId="0">
      <text>
        <r>
          <rPr>
            <b/>
            <sz val="9"/>
            <rFont val="Tahoma"/>
            <charset val="134"/>
          </rPr>
          <t>Lin, Jeremy:</t>
        </r>
        <r>
          <rPr>
            <sz val="9"/>
            <rFont val="Tahoma"/>
            <charset val="134"/>
          </rPr>
          <t xml:space="preserve">
share-based payment</t>
        </r>
      </text>
    </comment>
    <comment ref="H40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2022 Q2 tax rate was 12% and this does fluctuate a bit. So I used average tax rate for past 3 years</t>
        </r>
      </text>
    </comment>
    <comment ref="C49" authorId="1">
      <text>
        <r>
          <rPr>
            <sz val="9"/>
            <rFont val="Tahoma"/>
            <charset val="134"/>
          </rPr>
          <t xml:space="preserve">this and above are current assets
</t>
        </r>
      </text>
    </comment>
    <comment ref="C55" authorId="1">
      <text>
        <r>
          <rPr>
            <sz val="9"/>
            <rFont val="Tahoma"/>
            <charset val="134"/>
          </rPr>
          <t xml:space="preserve">this and above were non current assets
</t>
        </r>
      </text>
    </comment>
    <comment ref="C74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page 8. this is equal to contributed surplus + retained earnings</t>
        </r>
      </text>
    </comment>
    <comment ref="C89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This could have move to CFI under investment or purchase of intangible assets</t>
        </r>
      </text>
    </comment>
    <comment ref="C97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term loan borrowings</t>
        </r>
      </text>
    </comment>
    <comment ref="D109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from Q1 report 327.6 - 308.4</t>
        </r>
      </text>
    </comment>
    <comment ref="E109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This is from Q2, Jun 27, 2021 to sep 26, 2021 354-327.6</t>
        </r>
      </text>
    </comment>
    <comment ref="F109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note 10, 162.3-111.1</t>
        </r>
      </text>
    </comment>
    <comment ref="G109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from 2021 annual report, note 10 185.4-162.3</t>
        </r>
      </text>
    </comment>
    <comment ref="E110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Q2 report, 101-86.8</t>
        </r>
      </text>
    </comment>
    <comment ref="F110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note 10, 47.2-26.8</t>
        </r>
      </text>
    </comment>
    <comment ref="G110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from 2021 Annual report note 10, 68.9 - 47.2
</t>
        </r>
      </text>
    </comment>
    <comment ref="D117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revenue from 2021 Q1 was 56.3</t>
        </r>
      </text>
    </comment>
    <comment ref="E117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revenue of 2021 Q2 was 232.9</t>
        </r>
      </text>
    </comment>
    <comment ref="C123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reference back to CFO, to avoid double counting of amortization that I have already counted in D&amp;A in CFO (the line above)</t>
        </r>
      </text>
    </comment>
    <comment ref="C128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GOOS does not pay dividend</t>
        </r>
      </text>
    </comment>
    <comment ref="G129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page 44 of 2021 Annual report. Total share on mar 28, 2021 minus total share on mar 29, 2020. 120.5 - 114.7</t>
        </r>
      </text>
    </comment>
    <comment ref="G130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page 45</t>
        </r>
      </text>
    </comment>
    <comment ref="G151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using cash balance to estimate interest rate on those cash
</t>
        </r>
      </text>
    </comment>
    <comment ref="H166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From BBG, the estimated growth given 2 quarters data</t>
        </r>
      </text>
    </comment>
  </commentList>
</comments>
</file>

<file path=xl/comments2.xml><?xml version="1.0" encoding="utf-8"?>
<comments xmlns="http://schemas.openxmlformats.org/spreadsheetml/2006/main">
  <authors>
    <author>Lin, Jeremy</author>
    <author>Matan Feldman</author>
  </authors>
  <commentList>
    <comment ref="D11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from 2022 Q2 report</t>
        </r>
      </text>
    </comment>
    <comment ref="D36" authorId="0">
      <text>
        <r>
          <rPr>
            <b/>
            <sz val="9"/>
            <rFont val="Tahoma"/>
            <charset val="134"/>
          </rPr>
          <t>Lin, Jeremy:</t>
        </r>
        <r>
          <rPr>
            <sz val="9"/>
            <rFont val="Tahoma"/>
            <charset val="134"/>
          </rPr>
          <t xml:space="preserve">
from BBG</t>
        </r>
      </text>
    </comment>
    <comment ref="D37" authorId="0">
      <text>
        <r>
          <rPr>
            <b/>
            <sz val="9"/>
            <rFont val="Tahoma"/>
            <charset val="134"/>
          </rPr>
          <t>Lin, Jeremy:</t>
        </r>
        <r>
          <rPr>
            <sz val="9"/>
            <rFont val="Tahoma"/>
            <charset val="134"/>
          </rPr>
          <t xml:space="preserve">
From BBG</t>
        </r>
      </text>
    </comment>
    <comment ref="G78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2021 annual report page 43</t>
        </r>
      </text>
    </comment>
    <comment ref="G80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includes standby fees, acceleration of unamortized costs on debt extinguishment, and other costs. page 43</t>
        </r>
      </text>
    </comment>
    <comment ref="G86" authorId="0">
      <text>
        <r>
          <rPr>
            <b/>
            <sz val="9"/>
            <rFont val="Tahoma"/>
            <charset val="134"/>
          </rPr>
          <t>Lin, Jeremy:</t>
        </r>
        <r>
          <rPr>
            <sz val="9"/>
            <rFont val="Tahoma"/>
            <charset val="134"/>
          </rPr>
          <t xml:space="preserve">
D&amp;A in Cash flow statement, note 10-12. page 35</t>
        </r>
      </text>
    </comment>
    <comment ref="C88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Share-based payment</t>
        </r>
      </text>
    </comment>
    <comment ref="G88" authorId="0">
      <text>
        <r>
          <rPr>
            <b/>
            <sz val="9"/>
            <rFont val="Tahoma"/>
            <charset val="134"/>
          </rPr>
          <t>Lin, Jeremy:</t>
        </r>
        <r>
          <rPr>
            <sz val="9"/>
            <rFont val="Tahoma"/>
            <charset val="134"/>
          </rPr>
          <t xml:space="preserve">
share-based payment</t>
        </r>
      </text>
    </comment>
    <comment ref="H95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2022 Q2 tax rate was 12% and this does fluctuate a bit. So I used average tax rate for past 3 years</t>
        </r>
      </text>
    </comment>
    <comment ref="C104" authorId="1">
      <text>
        <r>
          <rPr>
            <sz val="9"/>
            <rFont val="Tahoma"/>
            <charset val="134"/>
          </rPr>
          <t xml:space="preserve">this and above are current assets
</t>
        </r>
      </text>
    </comment>
    <comment ref="C110" authorId="1">
      <text>
        <r>
          <rPr>
            <sz val="9"/>
            <rFont val="Tahoma"/>
            <charset val="134"/>
          </rPr>
          <t xml:space="preserve">this and above were non current assets
</t>
        </r>
      </text>
    </comment>
    <comment ref="C129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page 8. this is equal to contributed surplus + retained earnings</t>
        </r>
      </text>
    </comment>
    <comment ref="C144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This could have move to CFI under investment or purchase of intangible assets</t>
        </r>
      </text>
    </comment>
    <comment ref="C152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term loan borrowings</t>
        </r>
      </text>
    </comment>
    <comment ref="D164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from Q1 report 327.6 - 308.4</t>
        </r>
      </text>
    </comment>
    <comment ref="E164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This is from Q2, Jun 27, 2021 to sep 26, 2021 354-327.6</t>
        </r>
      </text>
    </comment>
    <comment ref="F164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note 10, 162.3-111.1</t>
        </r>
      </text>
    </comment>
    <comment ref="G164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from 2021 annual report, note 10 185.4-162.3</t>
        </r>
      </text>
    </comment>
    <comment ref="E165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Q2 report, 101-86.8</t>
        </r>
      </text>
    </comment>
    <comment ref="F165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note 10, 47.2-26.8</t>
        </r>
      </text>
    </comment>
    <comment ref="G165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from 2021 Annual report note 10, 68.9 - 47.2
</t>
        </r>
      </text>
    </comment>
    <comment ref="D172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revenue from 2021 Q1 was 56.3</t>
        </r>
      </text>
    </comment>
    <comment ref="E172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revenue of 2021 Q2 was 232.9</t>
        </r>
      </text>
    </comment>
    <comment ref="C178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reference back to CFO, to avoid double counting of amortization that I have already counted in D&amp;A in CFO (the line above)</t>
        </r>
      </text>
    </comment>
    <comment ref="C183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GOOS does not pay dividend</t>
        </r>
      </text>
    </comment>
    <comment ref="G184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page 44 of 2021 Annual report. Total share on mar 28, 2021 minus total share on mar 29, 2020. 120.5 - 114.7</t>
        </r>
      </text>
    </comment>
    <comment ref="G185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page 45</t>
        </r>
      </text>
    </comment>
    <comment ref="G206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using cash balance to estimate interest rate on those cash
</t>
        </r>
      </text>
    </comment>
    <comment ref="H221" authorId="0">
      <text>
        <r>
          <rPr>
            <b/>
            <sz val="9"/>
            <rFont val="Tahoma"/>
            <charset val="1"/>
          </rPr>
          <t>Lin, Jeremy:</t>
        </r>
        <r>
          <rPr>
            <sz val="9"/>
            <rFont val="Tahoma"/>
            <charset val="1"/>
          </rPr>
          <t xml:space="preserve">
From BBG, the estimated growth given 2 quarters data</t>
        </r>
      </text>
    </comment>
  </commentList>
</comments>
</file>

<file path=xl/sharedStrings.xml><?xml version="1.0" encoding="utf-8"?>
<sst xmlns="http://schemas.openxmlformats.org/spreadsheetml/2006/main" count="450" uniqueCount="209">
  <si>
    <t>$ in thousands except per share</t>
  </si>
  <si>
    <t>Company name</t>
  </si>
  <si>
    <t>Canada Goose</t>
  </si>
  <si>
    <t>Select an operating scenario:</t>
  </si>
  <si>
    <t>Base case</t>
  </si>
  <si>
    <t>Ticker</t>
  </si>
  <si>
    <t>GOOS</t>
  </si>
  <si>
    <t>Circ break 1=off, 0=on</t>
  </si>
  <si>
    <t>Latest closing share price</t>
  </si>
  <si>
    <t>Latest closing share price date</t>
  </si>
  <si>
    <t>Latest fiscal year end date</t>
  </si>
  <si>
    <t>Shares outstanding (millions)</t>
  </si>
  <si>
    <t>x</t>
  </si>
  <si>
    <t>INCOME STATEMENT</t>
  </si>
  <si>
    <t xml:space="preserve">Fiscal year  </t>
  </si>
  <si>
    <t>Fiscal year end date</t>
  </si>
  <si>
    <t>Comments</t>
  </si>
  <si>
    <t>Revenue</t>
  </si>
  <si>
    <t>Previous year's revenues x (1+revenue growth rate)</t>
  </si>
  <si>
    <t>Cost of sales (enter as -)</t>
  </si>
  <si>
    <t>Plug = Revenue - Gross Profit</t>
  </si>
  <si>
    <t>Gross Profit</t>
  </si>
  <si>
    <t>Revenue x Gross Profit Margin forecast</t>
  </si>
  <si>
    <t>Depreciation and amortization (enter as -)</t>
  </si>
  <si>
    <t>Revenue x D&amp;A % of sales forecast</t>
  </si>
  <si>
    <t>Selling, general &amp; administrative (enter as -)</t>
  </si>
  <si>
    <t>Revenue x SG&amp;A % of sales forecast</t>
  </si>
  <si>
    <t>Operating profit (EBIT)</t>
  </si>
  <si>
    <t>Gross Profit - D&amp;A - SG&amp;A</t>
  </si>
  <si>
    <t>Interest income</t>
  </si>
  <si>
    <t>Reference from interest on cash schedule</t>
  </si>
  <si>
    <t>Interest expense (enter as -)</t>
  </si>
  <si>
    <t>Reference from interest expense schedule</t>
  </si>
  <si>
    <t>Other expense, net (enter as -)</t>
  </si>
  <si>
    <t>Straight-line</t>
  </si>
  <si>
    <t>Net interest, finance and other costs</t>
  </si>
  <si>
    <t>Pretax profit</t>
  </si>
  <si>
    <t>EBIT + interest income less interest expense less other expense</t>
  </si>
  <si>
    <t>Taxes (enter expense as -)</t>
  </si>
  <si>
    <t>Pre-tax Profit x Tax Rate forecast</t>
  </si>
  <si>
    <t>Net income</t>
  </si>
  <si>
    <t>Pre-tax Profit less taxes</t>
  </si>
  <si>
    <t>Depreciation &amp; amortization (from CFS)</t>
  </si>
  <si>
    <t>Reference from D&amp;A schedule</t>
  </si>
  <si>
    <t>EBITDA</t>
  </si>
  <si>
    <t>EBIT + D&amp;A</t>
  </si>
  <si>
    <t>Stock based compensation</t>
  </si>
  <si>
    <t>Assumption: grow SBC in-line with revenue growth</t>
  </si>
  <si>
    <t>Growth rates &amp; margins</t>
  </si>
  <si>
    <t>Revenue growth</t>
  </si>
  <si>
    <t>N/A</t>
  </si>
  <si>
    <t>Consensus estimates through 2021; straight-line growth rate thereafter</t>
  </si>
  <si>
    <t>Gross profit margin</t>
  </si>
  <si>
    <t>Straight line last historical year</t>
  </si>
  <si>
    <t>D&amp;A % of PP&amp;E</t>
  </si>
  <si>
    <t>SG&amp;A % of sales</t>
  </si>
  <si>
    <t>Tax rate</t>
  </si>
  <si>
    <t>BALANCE SHEET</t>
  </si>
  <si>
    <t>Cash &amp; equivalents, ST and LT marketable securities</t>
  </si>
  <si>
    <t>Reference from 'net change in cash' line on the cash flow statement</t>
  </si>
  <si>
    <t>Accounts receivable (Trade receivables)</t>
  </si>
  <si>
    <t>Grow in-line with revenue growth</t>
  </si>
  <si>
    <t>Inventories</t>
  </si>
  <si>
    <t>Grow in-line with cost of sales growth</t>
  </si>
  <si>
    <t>Income taxes receivable</t>
  </si>
  <si>
    <t>Grow in-line with revenue growth (seems inconsistent with growth of SG&amp;A, so I chose Revenue)</t>
  </si>
  <si>
    <t>Other current assets</t>
  </si>
  <si>
    <t>Deferred income taxes</t>
  </si>
  <si>
    <t>Property, plant &amp; equipment</t>
  </si>
  <si>
    <t>Reference from PP&amp;E schedule</t>
  </si>
  <si>
    <t>Intangible assets</t>
  </si>
  <si>
    <t>Right-of-use assets</t>
  </si>
  <si>
    <t>Goodwill</t>
  </si>
  <si>
    <t>Other non current assets (other long-term assets)</t>
  </si>
  <si>
    <t>Total assets</t>
  </si>
  <si>
    <t>Accounts payable and accrued liabilities</t>
  </si>
  <si>
    <t>Grow in-line with cost of sales growth (because GOOS buys stuffs from suppliers)</t>
  </si>
  <si>
    <t>Provisions</t>
  </si>
  <si>
    <t>Income taxes payable</t>
  </si>
  <si>
    <t>Grow in-line with revenue growth (or income tax paid)</t>
  </si>
  <si>
    <t>Short-term borrowings</t>
  </si>
  <si>
    <t>Current portion of lease liabilities</t>
  </si>
  <si>
    <t>Other current liabilities</t>
  </si>
  <si>
    <t>Other current liabilities grow in-line with revenue growth</t>
  </si>
  <si>
    <t>Revoliving facility</t>
  </si>
  <si>
    <t>Term loan</t>
  </si>
  <si>
    <t>Lease Liabilities</t>
  </si>
  <si>
    <t>Long term debt (includes current portion)</t>
  </si>
  <si>
    <t>Assumption: straight-line</t>
  </si>
  <si>
    <t>Other non current liabilities</t>
  </si>
  <si>
    <t>Total liabilities</t>
  </si>
  <si>
    <t>Common stock</t>
  </si>
  <si>
    <t>Increase by stock-based compensation forecasted in the I/S section</t>
  </si>
  <si>
    <t xml:space="preserve">Retained earnings </t>
  </si>
  <si>
    <t>Reference from Retained Earnings schedule</t>
  </si>
  <si>
    <t>Other comprehensive income</t>
  </si>
  <si>
    <t>Total equity</t>
  </si>
  <si>
    <t>Balance check</t>
  </si>
  <si>
    <t>CASH FLOW STATEMENT</t>
  </si>
  <si>
    <t>Depreciation and amortization</t>
  </si>
  <si>
    <t>Reference from the I/S</t>
  </si>
  <si>
    <t>Decreases / (Increases) in working capital assets</t>
  </si>
  <si>
    <t>Increases / (Decreases) in working capital liabilities</t>
  </si>
  <si>
    <t>Other non current assets</t>
  </si>
  <si>
    <t>Reference from schedule NOT the B/S: Only include 'Additions' (as outflow)</t>
  </si>
  <si>
    <t>Cash from operating activities</t>
  </si>
  <si>
    <t>Capital expenditures</t>
  </si>
  <si>
    <t>Other assets</t>
  </si>
  <si>
    <t>Cash from investing activities</t>
  </si>
  <si>
    <t>Long term debt</t>
  </si>
  <si>
    <t>Exercise of stock options</t>
  </si>
  <si>
    <t>New shares issued (repurchase)</t>
  </si>
  <si>
    <t>Cash from financing activities</t>
  </si>
  <si>
    <t>Net change in cash during period</t>
  </si>
  <si>
    <t>PROPERTY, PLANT &amp; EQUIPMENT</t>
  </si>
  <si>
    <t>2021 Q1</t>
  </si>
  <si>
    <t>2021 Q2</t>
  </si>
  <si>
    <t>Forecast</t>
  </si>
  <si>
    <t>Beginning of period</t>
  </si>
  <si>
    <t xml:space="preserve">BOP = Previous year EOP </t>
  </si>
  <si>
    <t>Plus: Capital expenditures</t>
  </si>
  <si>
    <t>Grow with revenue</t>
  </si>
  <si>
    <t>Less: Depreciation</t>
  </si>
  <si>
    <t>Capex x 'D&amp;A related to PP&amp;E as a % of capex' ratio (below)</t>
  </si>
  <si>
    <t>End of period</t>
  </si>
  <si>
    <t>BOP + Capex - Depreciation</t>
  </si>
  <si>
    <t>D&amp;A related to PP&amp;E as a % of capex</t>
  </si>
  <si>
    <t>firm become more mature (step function)</t>
  </si>
  <si>
    <t>IMPUTING TOTAL DEPRECIATION &amp; AMORTIZATION</t>
  </si>
  <si>
    <r>
      <rPr>
        <sz val="11"/>
        <color theme="1"/>
        <rFont val="Arial"/>
        <charset val="134"/>
      </rPr>
      <t xml:space="preserve">D&amp;A </t>
    </r>
    <r>
      <rPr>
        <u/>
        <sz val="11"/>
        <color theme="1"/>
        <rFont val="Calibri"/>
        <charset val="134"/>
        <scheme val="minor"/>
      </rPr>
      <t>not</t>
    </r>
    <r>
      <rPr>
        <sz val="11"/>
        <color theme="1"/>
        <rFont val="Arial"/>
        <charset val="134"/>
      </rPr>
      <t xml:space="preserve"> related to PP&amp;E</t>
    </r>
  </si>
  <si>
    <t>Revenue x 'as % of revenue' assumption</t>
  </si>
  <si>
    <t>as % of revenue</t>
  </si>
  <si>
    <t>Straight line last historical % of revenue - assumption</t>
  </si>
  <si>
    <t xml:space="preserve">Depreciation &amp; Amortization - Total </t>
  </si>
  <si>
    <t>D&amp;A from PP&amp;E + D&amp;A not from PP&amp;E</t>
  </si>
  <si>
    <t>OTHER NON-CURRENT ASSETS</t>
  </si>
  <si>
    <t>Less: Amortization of intangible assets</t>
  </si>
  <si>
    <t xml:space="preserve">Assume all D&amp;A not from PP&amp;E is in non-current assets </t>
  </si>
  <si>
    <t>Plus: Additions</t>
  </si>
  <si>
    <t>Because we already know the EOP balance, this is a plug: EOP - D&amp;A not from PP&amp;E - BOP</t>
  </si>
  <si>
    <t>Referenced from balance sheet</t>
  </si>
  <si>
    <t>RETAINED EARNINGS</t>
  </si>
  <si>
    <t>Plus: Net income</t>
  </si>
  <si>
    <t>Reference from income statement</t>
  </si>
  <si>
    <t>Plus: New shares issued (repurchase)</t>
  </si>
  <si>
    <t>Assumption: Straight-line last historical year repurchases</t>
  </si>
  <si>
    <t>Plus: Exercise of stock options</t>
  </si>
  <si>
    <t>BOP + net income - dividends - repurchases</t>
  </si>
  <si>
    <t>INTEREST EXPENSE AND INTEREST INCOME</t>
  </si>
  <si>
    <t>Total interest expense (from I/S)</t>
  </si>
  <si>
    <t>Interest expense from revolver/CP + interest expense from long term debt</t>
  </si>
  <si>
    <t>Short term debt</t>
  </si>
  <si>
    <t>Weighted average interest rate</t>
  </si>
  <si>
    <t>Assumption: average then straight-line</t>
  </si>
  <si>
    <t>End of period balance (from B/S)</t>
  </si>
  <si>
    <t>Reference from revolver / CP schedule above</t>
  </si>
  <si>
    <t>Interest expense</t>
  </si>
  <si>
    <t>Interest rate x average of BOP &amp; EOP revolver balances (circularity)</t>
  </si>
  <si>
    <t>Reference from B/S</t>
  </si>
  <si>
    <t>Assumption: Straight-line</t>
  </si>
  <si>
    <t xml:space="preserve">Interest expense </t>
  </si>
  <si>
    <t>Interest rate x average of BOP &amp; EOP LTD balances</t>
  </si>
  <si>
    <t>Interest rate on cash</t>
  </si>
  <si>
    <t>Weighted average interest rate on cash</t>
  </si>
  <si>
    <t>Interest rate x average of BOP &amp; EOP cash balances (circularity)</t>
  </si>
  <si>
    <t>SCENARIO ANALYSIS</t>
  </si>
  <si>
    <t>Active case:</t>
  </si>
  <si>
    <t xml:space="preserve">Variance from </t>
  </si>
  <si>
    <t>base case</t>
  </si>
  <si>
    <t>Best case</t>
  </si>
  <si>
    <t>NM</t>
  </si>
  <si>
    <t>Weak case</t>
  </si>
  <si>
    <t>SENSITIVITY ANALYSIS</t>
  </si>
  <si>
    <t>First forecast year net income  sensitivity</t>
  </si>
  <si>
    <t>Revenue growth rate</t>
  </si>
  <si>
    <t>Gross</t>
  </si>
  <si>
    <t>Profit</t>
  </si>
  <si>
    <t>Margin:</t>
  </si>
  <si>
    <t>D&amp;A %</t>
  </si>
  <si>
    <t>of PP&amp;E:</t>
  </si>
  <si>
    <t>SG&amp;A %</t>
  </si>
  <si>
    <t>of sales:</t>
  </si>
  <si>
    <t>Free Cash Flow to Firm (FCFF)</t>
  </si>
  <si>
    <t>Terminal growth rate</t>
  </si>
  <si>
    <t>EBIT</t>
  </si>
  <si>
    <t>Less: Cash Taxes</t>
  </si>
  <si>
    <t>NOPAT</t>
  </si>
  <si>
    <t>Plus: D&amp;A</t>
  </si>
  <si>
    <t>Less: Capex</t>
  </si>
  <si>
    <t>Less: Changes in NWC</t>
  </si>
  <si>
    <t>Terminal Value at 2026P</t>
  </si>
  <si>
    <t>FCFF</t>
  </si>
  <si>
    <t>Discount factor</t>
  </si>
  <si>
    <t>Present value</t>
  </si>
  <si>
    <t>Enterpirse Value</t>
  </si>
  <si>
    <t>Plus: cash</t>
  </si>
  <si>
    <t>Less: total debt</t>
  </si>
  <si>
    <t>Equity Value</t>
  </si>
  <si>
    <t>Per share Value</t>
  </si>
  <si>
    <t>WACC</t>
  </si>
  <si>
    <t>Cost of debt</t>
  </si>
  <si>
    <t>Cost of equity</t>
  </si>
  <si>
    <t>Weight of debt</t>
  </si>
  <si>
    <t>Weight of equity</t>
  </si>
  <si>
    <t>Sum of weights</t>
  </si>
  <si>
    <t>Free Cash Flow to Equity (FCFE)</t>
  </si>
  <si>
    <t>Less: Interest expense times (1-Tax rate)</t>
  </si>
  <si>
    <t>Plus: Net borrowing</t>
  </si>
  <si>
    <t>FCFE</t>
  </si>
</sst>
</file>

<file path=xl/styles.xml><?xml version="1.0" encoding="utf-8"?>
<styleSheet xmlns="http://schemas.openxmlformats.org/spreadsheetml/2006/main">
  <numFmts count="22">
    <numFmt numFmtId="176" formatCode="_-&quot;$&quot;* #,##0.00_-;\-&quot;$&quot;* #,##0.00_-;_-&quot;$&quot;* \-??_-;_-@_-"/>
    <numFmt numFmtId="43" formatCode="_-* #,##0.00_-;\-* #,##0.00_-;_-* &quot;-&quot;??_-;_-@_-"/>
    <numFmt numFmtId="177" formatCode="&quot;$&quot;#,##0_);\(&quot;$&quot;#,##0\)"/>
    <numFmt numFmtId="178" formatCode="_-&quot;$&quot;* #,##0_-;\-&quot;$&quot;* #,##0_-;_-&quot;$&quot;* &quot;-&quot;_-;_-@_-"/>
    <numFmt numFmtId="179" formatCode="0.0%_);\(0.0%\);@_)"/>
    <numFmt numFmtId="180" formatCode="m/d/yy;@"/>
    <numFmt numFmtId="41" formatCode="_-* #,##0_-;\-* #,##0_-;_-* &quot;-&quot;_-;_-@_-"/>
    <numFmt numFmtId="181" formatCode="_(#,##0_)_%;\(#,##0\)_%;_(&quot;–&quot;_)_%;_(@_)_%"/>
    <numFmt numFmtId="182" formatCode="&quot;$&quot;#,##0.00_);[Red]\(&quot;$&quot;#,##0.00\)"/>
    <numFmt numFmtId="183" formatCode="#,##0.000_);\(#,##0.000\)"/>
    <numFmt numFmtId="184" formatCode="0\A;[Red]0\A"/>
    <numFmt numFmtId="185" formatCode="0\P_);\(0\P\)"/>
    <numFmt numFmtId="186" formatCode="#,##0.0_);\(#,##0.0\)"/>
    <numFmt numFmtId="187" formatCode="0.0%;\(0.0%\)"/>
    <numFmt numFmtId="188" formatCode="0.0"/>
    <numFmt numFmtId="189" formatCode="0.0%"/>
    <numFmt numFmtId="190" formatCode="_(#,##0.00%_);\(#,##0.00%\);_(&quot;–&quot;_)_%;_(@_)_%"/>
    <numFmt numFmtId="191" formatCode="_(#,##0.0%_);\(#,##0.0%\);_(&quot;–&quot;_)_%;_(@_)_%"/>
    <numFmt numFmtId="192" formatCode="0.00%_);\(0.00%\);@_)"/>
    <numFmt numFmtId="193" formatCode="0%_);\(0%\);@_)"/>
    <numFmt numFmtId="194" formatCode="0.0%;\ \(0.0%\)"/>
    <numFmt numFmtId="195" formatCode="#,##0_);\(#,##0\);@_)"/>
  </numFmts>
  <fonts count="41">
    <font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i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0000FF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i/>
      <sz val="11"/>
      <color rgb="FF0000FF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9"/>
      <color rgb="FF008000"/>
      <name val="Calibri"/>
      <charset val="134"/>
      <scheme val="minor"/>
    </font>
    <font>
      <sz val="8"/>
      <color rgb="FFFF0000"/>
      <name val="Calibri"/>
      <charset val="134"/>
      <scheme val="minor"/>
    </font>
    <font>
      <sz val="11"/>
      <color rgb="FF000000"/>
      <name val="Times New Roman"/>
      <charset val="134"/>
    </font>
    <font>
      <b/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sz val="1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9"/>
      <name val="Tahoma"/>
      <charset val="1"/>
    </font>
    <font>
      <b/>
      <sz val="9"/>
      <name val="Tahoma"/>
      <charset val="1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2" fillId="5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6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13" borderId="21" applyNumberFormat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18" fillId="16" borderId="23" applyNumberFormat="0" applyFon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1" borderId="18" applyNumberFormat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20" fillId="4" borderId="19" applyNumberForma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9" fillId="4" borderId="18" applyNumberFormat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24">
    <xf numFmtId="0" fontId="0" fillId="0" borderId="0" xfId="0"/>
    <xf numFmtId="0" fontId="1" fillId="0" borderId="1" xfId="0" applyFont="1" applyBorder="1"/>
    <xf numFmtId="0" fontId="0" fillId="0" borderId="1" xfId="0" applyBorder="1"/>
    <xf numFmtId="58" fontId="2" fillId="0" borderId="0" xfId="0" applyNumberFormat="1" applyFont="1" applyAlignment="1">
      <alignment horizontal="left"/>
    </xf>
    <xf numFmtId="0" fontId="0" fillId="0" borderId="2" xfId="0" applyBorder="1"/>
    <xf numFmtId="0" fontId="3" fillId="0" borderId="0" xfId="0" applyFont="1"/>
    <xf numFmtId="0" fontId="4" fillId="0" borderId="0" xfId="0" applyFont="1" applyAlignment="1">
      <alignment horizontal="center"/>
    </xf>
    <xf numFmtId="181" fontId="4" fillId="2" borderId="3" xfId="0" applyNumberFormat="1" applyFont="1" applyFill="1" applyBorder="1" applyAlignment="1">
      <alignment horizontal="center"/>
    </xf>
    <xf numFmtId="182" fontId="4" fillId="0" borderId="0" xfId="0" applyNumberFormat="1" applyFont="1" applyAlignment="1">
      <alignment horizontal="center"/>
    </xf>
    <xf numFmtId="58" fontId="4" fillId="0" borderId="0" xfId="0" applyNumberFormat="1" applyFont="1" applyAlignment="1">
      <alignment horizontal="center"/>
    </xf>
    <xf numFmtId="180" fontId="4" fillId="0" borderId="0" xfId="0" applyNumberFormat="1" applyFont="1" applyAlignment="1">
      <alignment horizontal="center"/>
    </xf>
    <xf numFmtId="183" fontId="4" fillId="0" borderId="0" xfId="0" applyNumberFormat="1" applyFont="1" applyAlignment="1">
      <alignment horizontal="center"/>
    </xf>
    <xf numFmtId="0" fontId="1" fillId="0" borderId="4" xfId="0" applyFont="1" applyFill="1" applyBorder="1"/>
    <xf numFmtId="0" fontId="0" fillId="0" borderId="4" xfId="0" applyBorder="1"/>
    <xf numFmtId="184" fontId="1" fillId="0" borderId="0" xfId="0" applyNumberFormat="1" applyFont="1"/>
    <xf numFmtId="185" fontId="1" fillId="0" borderId="0" xfId="0" applyNumberFormat="1" applyFont="1"/>
    <xf numFmtId="0" fontId="5" fillId="0" borderId="4" xfId="0" applyFont="1" applyBorder="1"/>
    <xf numFmtId="180" fontId="5" fillId="0" borderId="5" xfId="0" applyNumberFormat="1" applyFont="1" applyBorder="1"/>
    <xf numFmtId="0" fontId="6" fillId="0" borderId="0" xfId="0" applyFont="1"/>
    <xf numFmtId="186" fontId="0" fillId="0" borderId="0" xfId="0" applyNumberFormat="1"/>
    <xf numFmtId="186" fontId="6" fillId="0" borderId="0" xfId="0" applyNumberFormat="1" applyFont="1"/>
    <xf numFmtId="186" fontId="4" fillId="0" borderId="0" xfId="0" applyNumberFormat="1" applyFont="1"/>
    <xf numFmtId="0" fontId="0" fillId="0" borderId="0" xfId="0" applyNumberFormat="1"/>
    <xf numFmtId="188" fontId="0" fillId="0" borderId="0" xfId="0" applyNumberFormat="1"/>
    <xf numFmtId="186" fontId="0" fillId="0" borderId="0" xfId="0" applyNumberFormat="1" applyFont="1"/>
    <xf numFmtId="183" fontId="0" fillId="0" borderId="0" xfId="0" applyNumberFormat="1" applyFont="1"/>
    <xf numFmtId="2" fontId="0" fillId="0" borderId="0" xfId="0" applyNumberFormat="1"/>
    <xf numFmtId="189" fontId="0" fillId="0" borderId="0" xfId="0" applyNumberFormat="1"/>
    <xf numFmtId="10" fontId="4" fillId="0" borderId="0" xfId="0" applyNumberFormat="1" applyFont="1" applyAlignment="1">
      <alignment horizontal="right"/>
    </xf>
    <xf numFmtId="9" fontId="0" fillId="0" borderId="0" xfId="0" applyNumberFormat="1"/>
    <xf numFmtId="0" fontId="0" fillId="0" borderId="0" xfId="0" applyFont="1"/>
    <xf numFmtId="2" fontId="6" fillId="0" borderId="0" xfId="0" applyNumberFormat="1" applyFont="1"/>
    <xf numFmtId="183" fontId="0" fillId="0" borderId="0" xfId="0" applyNumberFormat="1"/>
    <xf numFmtId="182" fontId="0" fillId="0" borderId="0" xfId="0" applyNumberFormat="1"/>
    <xf numFmtId="0" fontId="1" fillId="0" borderId="4" xfId="0" applyFont="1" applyBorder="1"/>
    <xf numFmtId="0" fontId="5" fillId="0" borderId="0" xfId="0" applyFont="1"/>
    <xf numFmtId="180" fontId="7" fillId="0" borderId="0" xfId="0" applyNumberFormat="1" applyFont="1"/>
    <xf numFmtId="180" fontId="5" fillId="0" borderId="0" xfId="0" applyNumberFormat="1" applyFont="1"/>
    <xf numFmtId="9" fontId="5" fillId="0" borderId="0" xfId="0" applyNumberFormat="1" applyFont="1"/>
    <xf numFmtId="186" fontId="3" fillId="0" borderId="0" xfId="0" applyNumberFormat="1" applyFont="1"/>
    <xf numFmtId="0" fontId="1" fillId="0" borderId="0" xfId="0" applyFont="1"/>
    <xf numFmtId="186" fontId="8" fillId="0" borderId="0" xfId="0" applyNumberFormat="1" applyFont="1"/>
    <xf numFmtId="37" fontId="4" fillId="0" borderId="0" xfId="0" applyNumberFormat="1" applyFont="1"/>
    <xf numFmtId="37" fontId="8" fillId="0" borderId="0" xfId="0" applyNumberFormat="1" applyFont="1"/>
    <xf numFmtId="0" fontId="0" fillId="0" borderId="0" xfId="0" applyAlignment="1">
      <alignment horizontal="left" indent="1"/>
    </xf>
    <xf numFmtId="37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" fontId="0" fillId="0" borderId="0" xfId="0" applyNumberFormat="1"/>
    <xf numFmtId="0" fontId="9" fillId="0" borderId="0" xfId="0" applyFont="1"/>
    <xf numFmtId="179" fontId="3" fillId="0" borderId="0" xfId="0" applyNumberFormat="1" applyFont="1"/>
    <xf numFmtId="179" fontId="3" fillId="0" borderId="0" xfId="0" applyNumberFormat="1" applyFont="1" applyAlignment="1">
      <alignment horizontal="right"/>
    </xf>
    <xf numFmtId="180" fontId="5" fillId="0" borderId="4" xfId="0" applyNumberFormat="1" applyFont="1" applyBorder="1"/>
    <xf numFmtId="58" fontId="5" fillId="0" borderId="0" xfId="0" applyNumberFormat="1" applyFont="1"/>
    <xf numFmtId="184" fontId="8" fillId="0" borderId="0" xfId="0" applyNumberFormat="1" applyFont="1"/>
    <xf numFmtId="185" fontId="8" fillId="0" borderId="0" xfId="0" applyNumberFormat="1" applyFont="1"/>
    <xf numFmtId="180" fontId="2" fillId="0" borderId="4" xfId="0" applyNumberFormat="1" applyFont="1" applyBorder="1"/>
    <xf numFmtId="0" fontId="1" fillId="0" borderId="5" xfId="0" applyFont="1" applyBorder="1"/>
    <xf numFmtId="0" fontId="0" fillId="0" borderId="5" xfId="0" applyBorder="1"/>
    <xf numFmtId="189" fontId="5" fillId="0" borderId="0" xfId="0" applyNumberFormat="1" applyFont="1"/>
    <xf numFmtId="179" fontId="4" fillId="0" borderId="0" xfId="0" applyNumberFormat="1" applyFont="1"/>
    <xf numFmtId="37" fontId="3" fillId="0" borderId="0" xfId="0" applyNumberFormat="1" applyFont="1"/>
    <xf numFmtId="37" fontId="1" fillId="0" borderId="0" xfId="0" applyNumberFormat="1" applyFont="1"/>
    <xf numFmtId="186" fontId="1" fillId="0" borderId="0" xfId="0" applyNumberFormat="1" applyFont="1"/>
    <xf numFmtId="37" fontId="5" fillId="0" borderId="0" xfId="0" applyNumberFormat="1" applyFont="1"/>
    <xf numFmtId="186" fontId="5" fillId="0" borderId="0" xfId="0" applyNumberFormat="1" applyFont="1"/>
    <xf numFmtId="3" fontId="0" fillId="0" borderId="0" xfId="0" applyNumberFormat="1"/>
    <xf numFmtId="0" fontId="1" fillId="0" borderId="6" xfId="0" applyFont="1" applyBorder="1" applyAlignment="1">
      <alignment horizontal="centerContinuous"/>
    </xf>
    <xf numFmtId="0" fontId="0" fillId="0" borderId="7" xfId="0" applyBorder="1" applyAlignment="1">
      <alignment horizontal="left" indent="1"/>
    </xf>
    <xf numFmtId="186" fontId="4" fillId="0" borderId="7" xfId="0" applyNumberFormat="1" applyFont="1" applyBorder="1"/>
    <xf numFmtId="37" fontId="4" fillId="0" borderId="7" xfId="0" applyNumberFormat="1" applyFont="1" applyBorder="1"/>
    <xf numFmtId="186" fontId="0" fillId="0" borderId="7" xfId="0" applyNumberFormat="1" applyBorder="1"/>
    <xf numFmtId="0" fontId="1" fillId="0" borderId="0" xfId="0" applyFont="1" applyAlignment="1">
      <alignment horizontal="left" indent="1"/>
    </xf>
    <xf numFmtId="179" fontId="0" fillId="0" borderId="0" xfId="0" applyNumberFormat="1"/>
    <xf numFmtId="0" fontId="1" fillId="0" borderId="4" xfId="0" applyFont="1" applyBorder="1" applyAlignment="1">
      <alignment horizontal="left"/>
    </xf>
    <xf numFmtId="179" fontId="0" fillId="0" borderId="4" xfId="0" applyNumberFormat="1" applyBorder="1"/>
    <xf numFmtId="179" fontId="3" fillId="0" borderId="4" xfId="0" applyNumberFormat="1" applyFont="1" applyBorder="1"/>
    <xf numFmtId="191" fontId="0" fillId="0" borderId="0" xfId="0" applyNumberFormat="1"/>
    <xf numFmtId="37" fontId="1" fillId="0" borderId="4" xfId="0" applyNumberFormat="1" applyFont="1" applyBorder="1"/>
    <xf numFmtId="186" fontId="3" fillId="0" borderId="6" xfId="0" applyNumberFormat="1" applyFont="1" applyBorder="1"/>
    <xf numFmtId="0" fontId="0" fillId="0" borderId="7" xfId="0" applyBorder="1"/>
    <xf numFmtId="186" fontId="3" fillId="0" borderId="7" xfId="0" applyNumberFormat="1" applyFont="1" applyBorder="1"/>
    <xf numFmtId="37" fontId="1" fillId="0" borderId="4" xfId="0" applyNumberFormat="1" applyFont="1" applyBorder="1" applyAlignment="1">
      <alignment horizontal="left"/>
    </xf>
    <xf numFmtId="0" fontId="10" fillId="0" borderId="0" xfId="0" applyFont="1" applyAlignment="1">
      <alignment horizontal="center"/>
    </xf>
    <xf numFmtId="37" fontId="11" fillId="0" borderId="0" xfId="0" applyNumberFormat="1" applyFont="1" applyAlignment="1">
      <alignment horizontal="right"/>
    </xf>
    <xf numFmtId="9" fontId="4" fillId="0" borderId="4" xfId="0" applyNumberFormat="1" applyFont="1" applyBorder="1"/>
    <xf numFmtId="37" fontId="0" fillId="0" borderId="6" xfId="0" applyNumberFormat="1" applyBorder="1"/>
    <xf numFmtId="191" fontId="4" fillId="0" borderId="0" xfId="0" applyNumberFormat="1" applyFont="1"/>
    <xf numFmtId="181" fontId="0" fillId="0" borderId="0" xfId="0" applyNumberFormat="1"/>
    <xf numFmtId="3" fontId="12" fillId="0" borderId="0" xfId="0" applyNumberFormat="1" applyFont="1"/>
    <xf numFmtId="0" fontId="9" fillId="0" borderId="0" xfId="0" applyFont="1" applyAlignment="1">
      <alignment horizontal="left" indent="1"/>
    </xf>
    <xf numFmtId="0" fontId="13" fillId="0" borderId="0" xfId="0" applyFont="1" applyAlignment="1">
      <alignment horizontal="left"/>
    </xf>
    <xf numFmtId="192" fontId="4" fillId="0" borderId="0" xfId="0" applyNumberFormat="1" applyFont="1"/>
    <xf numFmtId="190" fontId="14" fillId="0" borderId="0" xfId="0" applyNumberFormat="1" applyFont="1"/>
    <xf numFmtId="37" fontId="0" fillId="0" borderId="7" xfId="0" applyNumberFormat="1" applyBorder="1"/>
    <xf numFmtId="0" fontId="8" fillId="0" borderId="8" xfId="0" applyFont="1" applyBorder="1" applyAlignment="1">
      <alignment horizontal="left" indent="1"/>
    </xf>
    <xf numFmtId="0" fontId="8" fillId="0" borderId="0" xfId="0" applyFont="1" applyAlignment="1">
      <alignment horizontal="left" indent="1"/>
    </xf>
    <xf numFmtId="186" fontId="8" fillId="0" borderId="8" xfId="0" applyNumberFormat="1" applyFont="1" applyBorder="1"/>
    <xf numFmtId="0" fontId="0" fillId="0" borderId="0" xfId="0" applyAlignment="1">
      <alignment horizontal="left" indent="2"/>
    </xf>
    <xf numFmtId="191" fontId="14" fillId="0" borderId="0" xfId="0" applyNumberFormat="1" applyFont="1"/>
    <xf numFmtId="10" fontId="4" fillId="0" borderId="0" xfId="0" applyNumberFormat="1" applyFont="1"/>
    <xf numFmtId="190" fontId="3" fillId="0" borderId="0" xfId="0" applyNumberFormat="1" applyFont="1"/>
    <xf numFmtId="37" fontId="3" fillId="0" borderId="0" xfId="0" applyNumberFormat="1" applyFont="1" applyAlignment="1">
      <alignment horizontal="left" indent="1"/>
    </xf>
    <xf numFmtId="181" fontId="1" fillId="0" borderId="9" xfId="0" applyNumberFormat="1" applyFont="1" applyBorder="1"/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179" fontId="0" fillId="0" borderId="12" xfId="0" applyNumberFormat="1" applyBorder="1" applyAlignment="1">
      <alignment horizontal="center"/>
    </xf>
    <xf numFmtId="0" fontId="0" fillId="0" borderId="12" xfId="0" applyBorder="1"/>
    <xf numFmtId="191" fontId="4" fillId="0" borderId="12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193" fontId="0" fillId="0" borderId="0" xfId="0" applyNumberFormat="1"/>
    <xf numFmtId="191" fontId="4" fillId="0" borderId="13" xfId="0" applyNumberFormat="1" applyFont="1" applyBorder="1" applyAlignment="1">
      <alignment horizontal="center"/>
    </xf>
    <xf numFmtId="39" fontId="0" fillId="0" borderId="0" xfId="0" applyNumberFormat="1"/>
    <xf numFmtId="186" fontId="16" fillId="0" borderId="0" xfId="0" applyNumberFormat="1" applyFont="1"/>
    <xf numFmtId="185" fontId="1" fillId="0" borderId="14" xfId="0" applyNumberFormat="1" applyFont="1" applyBorder="1"/>
    <xf numFmtId="0" fontId="0" fillId="0" borderId="14" xfId="0" applyBorder="1"/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77" fontId="3" fillId="3" borderId="15" xfId="0" applyNumberFormat="1" applyFont="1" applyFill="1" applyBorder="1"/>
    <xf numFmtId="187" fontId="4" fillId="3" borderId="16" xfId="0" applyNumberFormat="1" applyFont="1" applyFill="1" applyBorder="1"/>
    <xf numFmtId="0" fontId="0" fillId="0" borderId="0" xfId="0" applyAlignment="1">
      <alignment horizontal="right"/>
    </xf>
    <xf numFmtId="194" fontId="4" fillId="3" borderId="17" xfId="0" applyNumberFormat="1" applyFont="1" applyFill="1" applyBorder="1"/>
    <xf numFmtId="195" fontId="0" fillId="3" borderId="0" xfId="0" applyNumberFormat="1" applyFill="1"/>
    <xf numFmtId="0" fontId="1" fillId="0" borderId="0" xfId="0" applyFont="1" applyAlignment="1">
      <alignment horizontal="right"/>
    </xf>
    <xf numFmtId="0" fontId="0" fillId="0" borderId="0" xfId="0" quotePrefix="1"/>
    <xf numFmtId="0" fontId="0" fillId="0" borderId="0" xfId="0" applyAlignment="1" quotePrefix="1">
      <alignment horizontal="left" indent="1"/>
    </xf>
    <xf numFmtId="0" fontId="0" fillId="0" borderId="7" xfId="0" applyBorder="1" applyAlignment="1" quotePrefix="1">
      <alignment horizontal="left" inden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theme="8"/>
        </patternFill>
      </fill>
      <border>
        <left/>
        <right/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13"/>
  <sheetViews>
    <sheetView tabSelected="1" workbookViewId="0">
      <selection activeCell="G39" sqref="G39"/>
    </sheetView>
  </sheetViews>
  <sheetFormatPr defaultColWidth="7.75" defaultRowHeight="14.25"/>
  <cols>
    <col min="1" max="2" width="1.5" customWidth="1"/>
    <col min="3" max="3" width="40.875" customWidth="1"/>
    <col min="4" max="4" width="10.875" customWidth="1"/>
    <col min="5" max="12" width="10" customWidth="1"/>
    <col min="13" max="13" width="2.875" customWidth="1"/>
    <col min="14" max="14" width="10.375" customWidth="1"/>
    <col min="15" max="17" width="9" customWidth="1"/>
    <col min="18" max="19" width="8.25" customWidth="1"/>
  </cols>
  <sheetData>
    <row r="1" ht="15"/>
    <row r="2" ht="15.75" spans="3:12">
      <c r="C2" s="1" t="str">
        <f>"Financial Statement Model for "&amp;D5</f>
        <v>Financial Statement Model for Canada Goose</v>
      </c>
      <c r="D2" s="2"/>
      <c r="E2" s="2"/>
      <c r="F2" s="2"/>
      <c r="G2" s="2"/>
      <c r="H2" s="2"/>
      <c r="I2" s="2"/>
      <c r="J2" s="2"/>
      <c r="K2" s="2"/>
      <c r="L2" s="2"/>
    </row>
    <row r="3" ht="15" spans="3:8">
      <c r="C3" s="3" t="s">
        <v>0</v>
      </c>
      <c r="D3" s="4"/>
      <c r="E3" s="4"/>
      <c r="F3" s="4"/>
      <c r="G3" s="4"/>
      <c r="H3" s="4"/>
    </row>
    <row r="5" ht="15" spans="3:12">
      <c r="C5" s="5" t="s">
        <v>1</v>
      </c>
      <c r="D5" s="6" t="s">
        <v>2</v>
      </c>
      <c r="I5" t="s">
        <v>3</v>
      </c>
      <c r="L5" s="7" t="s">
        <v>4</v>
      </c>
    </row>
    <row r="6" ht="15" spans="3:4">
      <c r="C6" s="5" t="s">
        <v>5</v>
      </c>
      <c r="D6" s="6" t="s">
        <v>6</v>
      </c>
    </row>
    <row r="7" ht="15" spans="3:4">
      <c r="C7" t="s">
        <v>7</v>
      </c>
      <c r="D7" s="7">
        <v>1</v>
      </c>
    </row>
    <row r="8" ht="15" spans="3:4">
      <c r="C8" t="s">
        <v>8</v>
      </c>
      <c r="D8" s="8">
        <v>36.5</v>
      </c>
    </row>
    <row r="9" ht="15" spans="3:4">
      <c r="C9" t="s">
        <v>9</v>
      </c>
      <c r="D9" s="9">
        <v>44602</v>
      </c>
    </row>
    <row r="10" ht="15" spans="3:4">
      <c r="C10" s="5" t="s">
        <v>10</v>
      </c>
      <c r="D10" s="10">
        <v>44283</v>
      </c>
    </row>
    <row r="11" ht="15" customHeight="1" spans="3:4">
      <c r="C11" t="s">
        <v>11</v>
      </c>
      <c r="D11" s="11">
        <v>110.2616</v>
      </c>
    </row>
    <row r="13" ht="15" spans="1:12">
      <c r="A13" t="s">
        <v>12</v>
      </c>
      <c r="C13" s="34" t="s">
        <v>13</v>
      </c>
      <c r="D13" s="13"/>
      <c r="E13" s="13"/>
      <c r="F13" s="13"/>
      <c r="G13" s="13"/>
      <c r="H13" s="13"/>
      <c r="I13" s="13"/>
      <c r="J13" s="13"/>
      <c r="K13" s="13"/>
      <c r="L13" s="13"/>
    </row>
    <row r="14" ht="15" spans="3:12">
      <c r="C14" t="s">
        <v>14</v>
      </c>
      <c r="D14" s="14"/>
      <c r="E14" s="14">
        <f>F14-1</f>
        <v>2019</v>
      </c>
      <c r="F14" s="14">
        <f>G14-1</f>
        <v>2020</v>
      </c>
      <c r="G14" s="14">
        <f>YEAR(D10)</f>
        <v>2021</v>
      </c>
      <c r="H14" s="15">
        <f>G14+1</f>
        <v>2022</v>
      </c>
      <c r="I14" s="15">
        <f>H14+1</f>
        <v>2023</v>
      </c>
      <c r="J14" s="15">
        <f>I14+1</f>
        <v>2024</v>
      </c>
      <c r="K14" s="15">
        <f>J14+1</f>
        <v>2025</v>
      </c>
      <c r="L14" s="15">
        <f>K14+1</f>
        <v>2026</v>
      </c>
    </row>
    <row r="15" ht="15" spans="3:20">
      <c r="C15" s="16" t="s">
        <v>15</v>
      </c>
      <c r="D15" s="17"/>
      <c r="E15" s="17">
        <f>EOMONTH(F15,-12)</f>
        <v>43555</v>
      </c>
      <c r="F15" s="17">
        <f>EOMONTH(G15,-12)</f>
        <v>43921</v>
      </c>
      <c r="G15" s="17">
        <f>D10</f>
        <v>44283</v>
      </c>
      <c r="H15" s="17">
        <f>EOMONTH(G15,12)</f>
        <v>44651</v>
      </c>
      <c r="I15" s="17">
        <f>EOMONTH(H15,12)</f>
        <v>45016</v>
      </c>
      <c r="J15" s="17">
        <f>EOMONTH(I15,12)</f>
        <v>45382</v>
      </c>
      <c r="K15" s="17">
        <f>EOMONTH(J15,12)</f>
        <v>45747</v>
      </c>
      <c r="L15" s="17">
        <f>EOMONTH(K15,12)</f>
        <v>46112</v>
      </c>
      <c r="N15" s="57" t="s">
        <v>16</v>
      </c>
      <c r="O15" s="58"/>
      <c r="P15" s="58"/>
      <c r="Q15" s="58"/>
      <c r="R15" s="58"/>
      <c r="S15" s="58"/>
      <c r="T15" s="58"/>
    </row>
    <row r="16" ht="15" spans="3:12">
      <c r="C16" s="35"/>
      <c r="D16" s="35"/>
      <c r="E16" s="36"/>
      <c r="F16" s="37"/>
      <c r="G16" s="37"/>
      <c r="H16" s="38"/>
      <c r="I16" s="59"/>
      <c r="J16" s="59"/>
      <c r="K16" s="37"/>
      <c r="L16" s="37"/>
    </row>
    <row r="17" ht="15" spans="3:14">
      <c r="C17" t="s">
        <v>17</v>
      </c>
      <c r="D17" s="21"/>
      <c r="E17" s="21">
        <v>830.5</v>
      </c>
      <c r="F17" s="21">
        <v>958.1</v>
      </c>
      <c r="G17" s="21">
        <v>903.7</v>
      </c>
      <c r="H17" s="39">
        <f ca="1">G17*(1+H36)</f>
        <v>1155.92267</v>
      </c>
      <c r="I17" s="39">
        <f ca="1">H17*(1+I36)</f>
        <v>1354.163407905</v>
      </c>
      <c r="J17" s="39">
        <f ca="1">I17*(1+J36)</f>
        <v>1489.5797486955</v>
      </c>
      <c r="K17" s="39">
        <f ca="1">J17*(1+K36)</f>
        <v>1564.05873613028</v>
      </c>
      <c r="L17" s="39">
        <f ca="1">K17*(1+L36)</f>
        <v>1595.33991085288</v>
      </c>
      <c r="N17" t="s">
        <v>18</v>
      </c>
    </row>
    <row r="18" ht="15" spans="3:14">
      <c r="C18" t="s">
        <v>19</v>
      </c>
      <c r="D18" s="21"/>
      <c r="E18" s="21">
        <v>-313.7</v>
      </c>
      <c r="F18" s="21">
        <v>-364.8</v>
      </c>
      <c r="G18" s="21">
        <v>-349.7</v>
      </c>
      <c r="H18" s="39">
        <f ca="1">H19-H17</f>
        <v>-447.34207329</v>
      </c>
      <c r="I18" s="39">
        <f ca="1">I19-I17</f>
        <v>-524.061238859235</v>
      </c>
      <c r="J18" s="39">
        <f ca="1">J19-J17</f>
        <v>-576.467362745159</v>
      </c>
      <c r="K18" s="39">
        <f ca="1">K19-K17</f>
        <v>-605.290730882417</v>
      </c>
      <c r="L18" s="39">
        <f ca="1">L19-L17</f>
        <v>-617.396545500065</v>
      </c>
      <c r="N18" t="s">
        <v>20</v>
      </c>
    </row>
    <row r="19" ht="15" spans="3:14">
      <c r="C19" s="40" t="s">
        <v>21</v>
      </c>
      <c r="D19" s="41"/>
      <c r="E19" s="41">
        <f>SUM(E17:E18)</f>
        <v>516.8</v>
      </c>
      <c r="F19" s="41">
        <f>SUM(F17:F18)</f>
        <v>593.3</v>
      </c>
      <c r="G19" s="41">
        <f>SUM(G17:G18)</f>
        <v>554</v>
      </c>
      <c r="H19" s="41">
        <f ca="1">H17*H37</f>
        <v>708.58059671</v>
      </c>
      <c r="I19" s="41">
        <f ca="1">I17*I37</f>
        <v>830.102169045765</v>
      </c>
      <c r="J19" s="41">
        <f ca="1">J17*J37</f>
        <v>913.112385950342</v>
      </c>
      <c r="K19" s="41">
        <f ca="1">K17*K37</f>
        <v>958.768005247859</v>
      </c>
      <c r="L19" s="41">
        <f ca="1">L17*L37</f>
        <v>977.943365352816</v>
      </c>
      <c r="N19" s="124" t="s">
        <v>22</v>
      </c>
    </row>
    <row r="20" ht="15" spans="3:14">
      <c r="C20" t="s">
        <v>23</v>
      </c>
      <c r="D20" s="21"/>
      <c r="E20" s="21">
        <v>-18</v>
      </c>
      <c r="F20" s="21">
        <v>-50.7</v>
      </c>
      <c r="G20" s="21">
        <v>-69.8</v>
      </c>
      <c r="H20" s="39">
        <f ca="1">-H38*H51</f>
        <v>-66.3189719460938</v>
      </c>
      <c r="I20" s="39">
        <f ca="1" t="shared" ref="I20:L20" si="0">-I38*I51</f>
        <v>-72.8621818870646</v>
      </c>
      <c r="J20" s="39">
        <f ca="1" t="shared" si="0"/>
        <v>-79.8617175588667</v>
      </c>
      <c r="K20" s="39">
        <f ca="1" t="shared" si="0"/>
        <v>-87.0033349878298</v>
      </c>
      <c r="L20" s="39">
        <f ca="1" t="shared" si="0"/>
        <v>-94.0757318384146</v>
      </c>
      <c r="N20" s="124" t="s">
        <v>24</v>
      </c>
    </row>
    <row r="21" ht="15" spans="3:14">
      <c r="C21" t="s">
        <v>25</v>
      </c>
      <c r="D21" s="21"/>
      <c r="E21" s="21">
        <v>-302.1</v>
      </c>
      <c r="F21" s="21">
        <v>-350.5</v>
      </c>
      <c r="G21" s="21">
        <v>-367.3</v>
      </c>
      <c r="H21" s="39">
        <f ca="1">-H17*H39</f>
        <v>-437.747915129</v>
      </c>
      <c r="I21" s="39">
        <f ca="1">-I17*I39</f>
        <v>-512.821682573624</v>
      </c>
      <c r="J21" s="39">
        <f ca="1">-J17*J39</f>
        <v>-564.103850830986</v>
      </c>
      <c r="K21" s="39">
        <f ca="1">-K17*K39</f>
        <v>-592.309043372535</v>
      </c>
      <c r="L21" s="39">
        <f ca="1">-L17*L39</f>
        <v>-604.155224239986</v>
      </c>
      <c r="N21" s="124" t="s">
        <v>26</v>
      </c>
    </row>
    <row r="22" ht="15" spans="3:14">
      <c r="C22" s="40" t="s">
        <v>27</v>
      </c>
      <c r="D22" s="41"/>
      <c r="E22" s="41">
        <f>E19+E20+E21</f>
        <v>196.7</v>
      </c>
      <c r="F22" s="41">
        <f>F19+F20+F21</f>
        <v>192.1</v>
      </c>
      <c r="G22" s="41">
        <f>G19+G20+G21</f>
        <v>116.9</v>
      </c>
      <c r="H22" s="41">
        <f ca="1" t="shared" ref="H22:L22" si="1">H19+H20+H21</f>
        <v>204.513709634906</v>
      </c>
      <c r="I22" s="41">
        <f ca="1" t="shared" si="1"/>
        <v>244.418304585077</v>
      </c>
      <c r="J22" s="41">
        <f ca="1" t="shared" si="1"/>
        <v>269.146817560489</v>
      </c>
      <c r="K22" s="41">
        <f ca="1" t="shared" si="1"/>
        <v>279.455626887494</v>
      </c>
      <c r="L22" s="41">
        <f ca="1" t="shared" si="1"/>
        <v>279.712409274415</v>
      </c>
      <c r="N22" s="40" t="s">
        <v>28</v>
      </c>
    </row>
    <row r="23" ht="15" spans="3:14">
      <c r="C23" t="s">
        <v>29</v>
      </c>
      <c r="D23" s="42"/>
      <c r="E23" s="21">
        <v>0.5</v>
      </c>
      <c r="F23" s="21">
        <v>0.4</v>
      </c>
      <c r="G23" s="21">
        <v>0.7</v>
      </c>
      <c r="H23" s="19">
        <f ca="1">H152</f>
        <v>1.30034701498112</v>
      </c>
      <c r="I23" s="19">
        <f ca="1">I152</f>
        <v>1.37033540060598</v>
      </c>
      <c r="J23" s="19">
        <f ca="1">J152</f>
        <v>1.62092540235498</v>
      </c>
      <c r="K23" s="19">
        <f ca="1">K152</f>
        <v>2.02415290056137</v>
      </c>
      <c r="L23" s="19">
        <f ca="1">L152</f>
        <v>2.53434140945812</v>
      </c>
      <c r="N23" t="s">
        <v>30</v>
      </c>
    </row>
    <row r="24" ht="15" spans="3:14">
      <c r="C24" t="s">
        <v>31</v>
      </c>
      <c r="D24" s="42"/>
      <c r="E24" s="21">
        <v>-14.1</v>
      </c>
      <c r="F24" s="21">
        <v>-21</v>
      </c>
      <c r="G24" s="21">
        <v>-27.2</v>
      </c>
      <c r="H24" s="19">
        <f ca="1">-H138</f>
        <v>-34.5672207280426</v>
      </c>
      <c r="I24" s="19">
        <f ca="1" t="shared" ref="I24:L24" si="2">-I138</f>
        <v>-34.8547648924338</v>
      </c>
      <c r="J24" s="19">
        <f ca="1" t="shared" si="2"/>
        <v>-35.0752077059364</v>
      </c>
      <c r="K24" s="19">
        <f ca="1" t="shared" si="2"/>
        <v>-35.2208772788077</v>
      </c>
      <c r="L24" s="19">
        <f ca="1" t="shared" si="2"/>
        <v>-35.2983562498851</v>
      </c>
      <c r="N24" t="s">
        <v>32</v>
      </c>
    </row>
    <row r="25" ht="15" spans="3:14">
      <c r="C25" t="s">
        <v>33</v>
      </c>
      <c r="D25" s="42"/>
      <c r="E25" s="21">
        <v>-0.6</v>
      </c>
      <c r="F25" s="21">
        <v>-7.8</v>
      </c>
      <c r="G25" s="21">
        <v>-4.4</v>
      </c>
      <c r="H25" s="19">
        <f>G25</f>
        <v>-4.4</v>
      </c>
      <c r="I25" s="19">
        <f>H25</f>
        <v>-4.4</v>
      </c>
      <c r="J25" s="19">
        <f>I25</f>
        <v>-4.4</v>
      </c>
      <c r="K25" s="19">
        <f>J25</f>
        <v>-4.4</v>
      </c>
      <c r="L25" s="19">
        <f>K25</f>
        <v>-4.4</v>
      </c>
      <c r="N25" t="s">
        <v>34</v>
      </c>
    </row>
    <row r="26" ht="15" spans="3:12">
      <c r="C26" s="40" t="s">
        <v>35</v>
      </c>
      <c r="D26" s="43"/>
      <c r="E26" s="43">
        <f t="shared" ref="E26:L26" si="3">SUM(E23:E25)</f>
        <v>-14.2</v>
      </c>
      <c r="F26" s="43">
        <f t="shared" si="3"/>
        <v>-28.4</v>
      </c>
      <c r="G26" s="43">
        <f t="shared" si="3"/>
        <v>-30.9</v>
      </c>
      <c r="H26" s="41">
        <f ca="1" t="shared" si="3"/>
        <v>-37.6668737130614</v>
      </c>
      <c r="I26" s="41">
        <f ca="1" t="shared" si="3"/>
        <v>-37.8844294918278</v>
      </c>
      <c r="J26" s="41">
        <f ca="1" t="shared" si="3"/>
        <v>-37.8542823035814</v>
      </c>
      <c r="K26" s="41">
        <f ca="1" t="shared" si="3"/>
        <v>-37.5967243782463</v>
      </c>
      <c r="L26" s="41">
        <f ca="1" t="shared" si="3"/>
        <v>-37.164014840427</v>
      </c>
    </row>
    <row r="27" ht="15" spans="3:15">
      <c r="C27" s="40" t="s">
        <v>36</v>
      </c>
      <c r="D27" s="43"/>
      <c r="E27" s="41">
        <f>SUM(E22:E25)</f>
        <v>182.5</v>
      </c>
      <c r="F27" s="41">
        <f>SUM(F22:F25)</f>
        <v>163.7</v>
      </c>
      <c r="G27" s="41">
        <f>SUM(G22:G25)</f>
        <v>86</v>
      </c>
      <c r="H27" s="41">
        <f ca="1">SUM(H22:H25)</f>
        <v>166.846835921845</v>
      </c>
      <c r="I27" s="41">
        <f ca="1">SUM(I22:I25)</f>
        <v>206.533875093249</v>
      </c>
      <c r="J27" s="41">
        <f ca="1" t="shared" ref="J27:L27" si="4">SUM(J22:J25)</f>
        <v>231.292535256907</v>
      </c>
      <c r="K27" s="41">
        <f ca="1" t="shared" si="4"/>
        <v>241.858902509247</v>
      </c>
      <c r="L27" s="41">
        <f ca="1" t="shared" si="4"/>
        <v>242.548394433988</v>
      </c>
      <c r="N27" s="40" t="s">
        <v>37</v>
      </c>
      <c r="O27" s="40"/>
    </row>
    <row r="28" ht="15" spans="3:14">
      <c r="C28" t="s">
        <v>38</v>
      </c>
      <c r="D28" s="21"/>
      <c r="E28" s="21">
        <v>-38.9</v>
      </c>
      <c r="F28" s="21">
        <v>-12</v>
      </c>
      <c r="G28" s="21">
        <v>-15.8</v>
      </c>
      <c r="H28" s="39">
        <f ca="1">-H40*H27</f>
        <v>-26.1491505055688</v>
      </c>
      <c r="I28" s="39">
        <f ca="1">-I40*I27</f>
        <v>-32.3691207835762</v>
      </c>
      <c r="J28" s="39">
        <f ca="1">-J40*J27</f>
        <v>-36.2494336906726</v>
      </c>
      <c r="K28" s="39">
        <f ca="1">-K40*K27</f>
        <v>-37.9054526739033</v>
      </c>
      <c r="L28" s="39">
        <f ca="1">-L40*L27</f>
        <v>-38.0135136270092</v>
      </c>
      <c r="N28" t="s">
        <v>39</v>
      </c>
    </row>
    <row r="29" ht="15" spans="3:14">
      <c r="C29" s="40" t="s">
        <v>40</v>
      </c>
      <c r="D29" s="43"/>
      <c r="E29" s="41">
        <f t="shared" ref="E29:L29" si="5">SUM(E27:E28)</f>
        <v>143.6</v>
      </c>
      <c r="F29" s="41">
        <f t="shared" si="5"/>
        <v>151.7</v>
      </c>
      <c r="G29" s="41">
        <f t="shared" si="5"/>
        <v>70.2</v>
      </c>
      <c r="H29" s="41">
        <f ca="1" t="shared" si="5"/>
        <v>140.697685416276</v>
      </c>
      <c r="I29" s="41">
        <f ca="1" t="shared" si="5"/>
        <v>174.164754309673</v>
      </c>
      <c r="J29" s="41">
        <f ca="1" t="shared" si="5"/>
        <v>195.043101566235</v>
      </c>
      <c r="K29" s="41">
        <f ca="1" t="shared" si="5"/>
        <v>203.953449835344</v>
      </c>
      <c r="L29" s="41">
        <f ca="1" t="shared" si="5"/>
        <v>204.534880806979</v>
      </c>
      <c r="N29" s="40" t="s">
        <v>41</v>
      </c>
    </row>
    <row r="30" spans="3:12">
      <c r="C30" s="44"/>
      <c r="D30" s="45"/>
      <c r="E30" s="45"/>
      <c r="F30" s="45"/>
      <c r="G30" s="45"/>
      <c r="H30" s="112"/>
      <c r="I30" s="112"/>
      <c r="J30" s="45"/>
      <c r="K30" s="45"/>
      <c r="L30" s="45"/>
    </row>
    <row r="31" ht="15" spans="3:14">
      <c r="C31" s="46" t="s">
        <v>42</v>
      </c>
      <c r="D31" s="42"/>
      <c r="E31" s="21">
        <v>22.7</v>
      </c>
      <c r="F31" s="21">
        <v>63.1</v>
      </c>
      <c r="G31" s="21">
        <v>84.6</v>
      </c>
      <c r="H31" s="19">
        <f ca="1">H118</f>
        <v>98.9661154882812</v>
      </c>
      <c r="I31" s="19">
        <f ca="1">I118</f>
        <v>116.284949859671</v>
      </c>
      <c r="J31" s="19">
        <f ca="1">J118</f>
        <v>128.294204967304</v>
      </c>
      <c r="K31" s="19">
        <f ca="1">K118</f>
        <v>135.108713343417</v>
      </c>
      <c r="L31" s="19">
        <f ca="1">L118</f>
        <v>138.218681700589</v>
      </c>
      <c r="N31" t="s">
        <v>43</v>
      </c>
    </row>
    <row r="32" ht="15" spans="3:14">
      <c r="C32" s="47" t="s">
        <v>44</v>
      </c>
      <c r="D32" s="43"/>
      <c r="E32" s="41">
        <f>E22+E31</f>
        <v>219.4</v>
      </c>
      <c r="F32" s="41">
        <f>F22+F31</f>
        <v>255.2</v>
      </c>
      <c r="G32" s="41">
        <f>G22+G31</f>
        <v>201.5</v>
      </c>
      <c r="H32" s="41">
        <f ca="1" t="shared" ref="H32:L32" si="6">H22+H31</f>
        <v>303.479825123188</v>
      </c>
      <c r="I32" s="41">
        <f ca="1" t="shared" si="6"/>
        <v>360.703254444748</v>
      </c>
      <c r="J32" s="41">
        <f ca="1" t="shared" si="6"/>
        <v>397.441022527792</v>
      </c>
      <c r="K32" s="41">
        <f ca="1" t="shared" si="6"/>
        <v>414.564340230911</v>
      </c>
      <c r="L32" s="41">
        <f ca="1" t="shared" si="6"/>
        <v>417.931090975004</v>
      </c>
      <c r="N32" s="40" t="s">
        <v>45</v>
      </c>
    </row>
    <row r="33" ht="15" spans="3:14">
      <c r="C33" s="46" t="s">
        <v>46</v>
      </c>
      <c r="D33" s="42"/>
      <c r="E33" s="21">
        <v>6.6</v>
      </c>
      <c r="F33" s="21">
        <v>7.8</v>
      </c>
      <c r="G33" s="21">
        <v>11.3</v>
      </c>
      <c r="H33" s="19">
        <f ca="1">G33*(1+H36)</f>
        <v>14.45383</v>
      </c>
      <c r="I33" s="19">
        <f ca="1">H33*(1+I36)</f>
        <v>16.932661845</v>
      </c>
      <c r="J33" s="19">
        <f ca="1">I33*(1+J36)</f>
        <v>18.6259280295</v>
      </c>
      <c r="K33" s="19">
        <f ca="1">J33*(1+K36)</f>
        <v>19.557224430975</v>
      </c>
      <c r="L33" s="19">
        <f ca="1">K33*(1+L36)</f>
        <v>19.9483689195945</v>
      </c>
      <c r="N33" t="s">
        <v>47</v>
      </c>
    </row>
    <row r="34" spans="3:8">
      <c r="C34" s="44"/>
      <c r="H34" s="48"/>
    </row>
    <row r="35" ht="15" spans="3:3">
      <c r="C35" s="49" t="s">
        <v>48</v>
      </c>
    </row>
    <row r="36" ht="15" spans="3:21">
      <c r="C36" s="44" t="s">
        <v>49</v>
      </c>
      <c r="D36" s="50"/>
      <c r="E36" s="51" t="s">
        <v>50</v>
      </c>
      <c r="F36" s="50">
        <f>F17/E17-1</f>
        <v>0.15364238410596</v>
      </c>
      <c r="G36" s="50">
        <f>G17/F17-1</f>
        <v>-0.0567790418536687</v>
      </c>
      <c r="H36" s="50">
        <f ca="1">H159</f>
        <v>0.2791</v>
      </c>
      <c r="I36" s="50">
        <f ca="1" t="shared" ref="I36:L36" si="7">I159</f>
        <v>0.1715</v>
      </c>
      <c r="J36" s="50">
        <f ca="1" t="shared" si="7"/>
        <v>0.1</v>
      </c>
      <c r="K36" s="50">
        <f ca="1" t="shared" si="7"/>
        <v>0.05</v>
      </c>
      <c r="L36" s="50">
        <f ca="1" t="shared" si="7"/>
        <v>0.02</v>
      </c>
      <c r="N36" t="s">
        <v>51</v>
      </c>
      <c r="P36" s="60"/>
      <c r="Q36" s="60"/>
      <c r="R36" s="60"/>
      <c r="S36" s="60"/>
      <c r="T36" s="60"/>
      <c r="U36" s="60"/>
    </row>
    <row r="37" ht="15" spans="3:21">
      <c r="C37" s="44" t="s">
        <v>52</v>
      </c>
      <c r="D37" s="50"/>
      <c r="E37" s="50">
        <f>E19/E17</f>
        <v>0.622275737507526</v>
      </c>
      <c r="F37" s="50">
        <f>F19/F17</f>
        <v>0.619246425216574</v>
      </c>
      <c r="G37" s="50">
        <f>G19/G17</f>
        <v>0.613035299324997</v>
      </c>
      <c r="H37" s="50">
        <f ca="1" t="shared" ref="H37:L39" si="8">H160</f>
        <v>0.613</v>
      </c>
      <c r="I37" s="50">
        <f ca="1" t="shared" si="8"/>
        <v>0.613</v>
      </c>
      <c r="J37" s="50">
        <f ca="1" t="shared" si="8"/>
        <v>0.613</v>
      </c>
      <c r="K37" s="50">
        <f ca="1" t="shared" si="8"/>
        <v>0.613</v>
      </c>
      <c r="L37" s="50">
        <f ca="1" t="shared" si="8"/>
        <v>0.613</v>
      </c>
      <c r="N37" t="s">
        <v>53</v>
      </c>
      <c r="P37" s="60"/>
      <c r="Q37" s="60"/>
      <c r="R37" s="60"/>
      <c r="S37" s="60"/>
      <c r="T37" s="60"/>
      <c r="U37" s="60"/>
    </row>
    <row r="38" ht="15" spans="3:21">
      <c r="C38" s="44" t="s">
        <v>54</v>
      </c>
      <c r="D38" s="50"/>
      <c r="E38" s="51" t="s">
        <v>50</v>
      </c>
      <c r="F38" s="50">
        <f t="shared" ref="F38:G38" si="9">-F20/F51</f>
        <v>0.440486533449175</v>
      </c>
      <c r="G38" s="50">
        <f t="shared" si="9"/>
        <v>0.599141630901288</v>
      </c>
      <c r="H38" s="50">
        <f ca="1" t="shared" si="8"/>
        <v>0.52</v>
      </c>
      <c r="I38" s="50">
        <f ca="1" t="shared" si="8"/>
        <v>0.52</v>
      </c>
      <c r="J38" s="50">
        <f ca="1" t="shared" si="8"/>
        <v>0.52</v>
      </c>
      <c r="K38" s="50">
        <f ca="1" t="shared" si="8"/>
        <v>0.52</v>
      </c>
      <c r="L38" s="50">
        <f ca="1" t="shared" si="8"/>
        <v>0.52</v>
      </c>
      <c r="N38" t="s">
        <v>53</v>
      </c>
      <c r="P38" s="60"/>
      <c r="Q38" s="60"/>
      <c r="R38" s="60"/>
      <c r="S38" s="60"/>
      <c r="T38" s="60"/>
      <c r="U38" s="60"/>
    </row>
    <row r="39" ht="15" spans="3:21">
      <c r="C39" s="44" t="s">
        <v>55</v>
      </c>
      <c r="D39" s="50"/>
      <c r="E39" s="50">
        <f>-E21/E17</f>
        <v>0.363756773028296</v>
      </c>
      <c r="F39" s="50">
        <f>-F21/F17</f>
        <v>0.365828201649097</v>
      </c>
      <c r="G39" s="50">
        <f>-G21/G17</f>
        <v>0.406440190328649</v>
      </c>
      <c r="H39" s="50">
        <f ca="1" t="shared" si="8"/>
        <v>0.3787</v>
      </c>
      <c r="I39" s="50">
        <f ca="1" t="shared" si="8"/>
        <v>0.3787</v>
      </c>
      <c r="J39" s="50">
        <f ca="1" t="shared" si="8"/>
        <v>0.3787</v>
      </c>
      <c r="K39" s="50">
        <f ca="1" t="shared" si="8"/>
        <v>0.3787</v>
      </c>
      <c r="L39" s="50">
        <f ca="1" t="shared" si="8"/>
        <v>0.3787</v>
      </c>
      <c r="N39" t="s">
        <v>53</v>
      </c>
      <c r="P39" s="60"/>
      <c r="Q39" s="60"/>
      <c r="R39" s="60"/>
      <c r="S39" s="60"/>
      <c r="T39" s="60"/>
      <c r="U39" s="60"/>
    </row>
    <row r="40" ht="15" spans="3:21">
      <c r="C40" s="44" t="s">
        <v>56</v>
      </c>
      <c r="D40" s="50"/>
      <c r="E40" s="50">
        <f>-(E28/E27)</f>
        <v>0.213150684931507</v>
      </c>
      <c r="F40" s="50">
        <f>-(F28/F27)</f>
        <v>0.0733048259010385</v>
      </c>
      <c r="G40" s="50">
        <f>-(G28/G27)</f>
        <v>0.183720930232558</v>
      </c>
      <c r="H40" s="50">
        <f>AVERAGE(E40:G40)</f>
        <v>0.156725480355035</v>
      </c>
      <c r="I40" s="50">
        <f t="shared" ref="I40:L40" si="10">H40</f>
        <v>0.156725480355035</v>
      </c>
      <c r="J40" s="50">
        <f t="shared" si="10"/>
        <v>0.156725480355035</v>
      </c>
      <c r="K40" s="50">
        <f t="shared" si="10"/>
        <v>0.156725480355035</v>
      </c>
      <c r="L40" s="50">
        <f t="shared" si="10"/>
        <v>0.156725480355035</v>
      </c>
      <c r="N40" t="s">
        <v>53</v>
      </c>
      <c r="P40" s="60"/>
      <c r="Q40" s="60"/>
      <c r="R40" s="60"/>
      <c r="S40" s="60"/>
      <c r="T40" s="60"/>
      <c r="U40" s="60"/>
    </row>
    <row r="41" spans="3:8">
      <c r="C41" s="44"/>
      <c r="D41" s="44"/>
      <c r="H41" s="48"/>
    </row>
    <row r="42" ht="15" spans="1:12">
      <c r="A42" t="s">
        <v>12</v>
      </c>
      <c r="C42" s="34" t="s">
        <v>57</v>
      </c>
      <c r="D42" s="34"/>
      <c r="E42" s="52"/>
      <c r="F42" s="52"/>
      <c r="G42" s="52"/>
      <c r="H42" s="13"/>
      <c r="I42" s="13"/>
      <c r="J42" s="13"/>
      <c r="K42" s="13"/>
      <c r="L42" s="13"/>
    </row>
    <row r="43" ht="15" spans="3:12">
      <c r="C43" s="53" t="str">
        <f>C14</f>
        <v>Fiscal year  </v>
      </c>
      <c r="D43" s="53"/>
      <c r="E43" s="54">
        <f t="shared" ref="E43:L44" si="11">E14</f>
        <v>2019</v>
      </c>
      <c r="F43" s="54">
        <f t="shared" si="11"/>
        <v>2020</v>
      </c>
      <c r="G43" s="54">
        <f t="shared" si="11"/>
        <v>2021</v>
      </c>
      <c r="H43" s="55">
        <f t="shared" si="11"/>
        <v>2022</v>
      </c>
      <c r="I43" s="55">
        <f t="shared" si="11"/>
        <v>2023</v>
      </c>
      <c r="J43" s="55">
        <f t="shared" si="11"/>
        <v>2024</v>
      </c>
      <c r="K43" s="55">
        <f t="shared" si="11"/>
        <v>2025</v>
      </c>
      <c r="L43" s="55">
        <f t="shared" si="11"/>
        <v>2026</v>
      </c>
    </row>
    <row r="44" ht="15" spans="3:12">
      <c r="C44" s="13" t="str">
        <f>C15</f>
        <v>Fiscal year end date</v>
      </c>
      <c r="D44" s="13"/>
      <c r="E44" s="56">
        <f t="shared" si="11"/>
        <v>43555</v>
      </c>
      <c r="F44" s="56">
        <f t="shared" si="11"/>
        <v>43921</v>
      </c>
      <c r="G44" s="56">
        <f t="shared" si="11"/>
        <v>44283</v>
      </c>
      <c r="H44" s="56">
        <f t="shared" si="11"/>
        <v>44651</v>
      </c>
      <c r="I44" s="56">
        <f t="shared" si="11"/>
        <v>45016</v>
      </c>
      <c r="J44" s="56">
        <f t="shared" si="11"/>
        <v>45382</v>
      </c>
      <c r="K44" s="56">
        <f t="shared" si="11"/>
        <v>45747</v>
      </c>
      <c r="L44" s="56">
        <f t="shared" si="11"/>
        <v>46112</v>
      </c>
    </row>
    <row r="45" ht="15" spans="3:14">
      <c r="C45" t="s">
        <v>58</v>
      </c>
      <c r="E45" s="42"/>
      <c r="F45" s="21">
        <v>31.7</v>
      </c>
      <c r="G45" s="21">
        <v>477.9</v>
      </c>
      <c r="H45" s="19">
        <f ca="1">H102+G45</f>
        <v>468.752626906259</v>
      </c>
      <c r="I45" s="19">
        <f ca="1" t="shared" ref="I45:L45" si="12">I102+H45</f>
        <v>528.851544734895</v>
      </c>
      <c r="J45" s="19">
        <f ca="1" t="shared" si="12"/>
        <v>651.182148179533</v>
      </c>
      <c r="K45" s="19">
        <f ca="1" t="shared" si="12"/>
        <v>822.401163429148</v>
      </c>
      <c r="L45" s="19">
        <f ca="1" t="shared" si="12"/>
        <v>1022.59938265636</v>
      </c>
      <c r="N45" t="s">
        <v>59</v>
      </c>
    </row>
    <row r="46" ht="15" spans="3:23">
      <c r="C46" t="s">
        <v>60</v>
      </c>
      <c r="E46" s="42"/>
      <c r="F46" s="21">
        <v>32.3</v>
      </c>
      <c r="G46" s="21">
        <v>40.9</v>
      </c>
      <c r="H46" s="19">
        <f ca="1">G46*(1+H36)</f>
        <v>52.31519</v>
      </c>
      <c r="I46" s="19">
        <f ca="1" t="shared" ref="I46:L46" si="13">H46*(1+I36)</f>
        <v>61.287245085</v>
      </c>
      <c r="J46" s="19">
        <f ca="1" t="shared" si="13"/>
        <v>67.4159695935</v>
      </c>
      <c r="K46" s="19">
        <f ca="1" t="shared" si="13"/>
        <v>70.786768073175</v>
      </c>
      <c r="L46" s="19">
        <f ca="1" t="shared" si="13"/>
        <v>72.2025034346385</v>
      </c>
      <c r="N46" t="s">
        <v>61</v>
      </c>
      <c r="W46" s="19"/>
    </row>
    <row r="47" ht="15" spans="3:14">
      <c r="C47" t="s">
        <v>62</v>
      </c>
      <c r="E47" s="42"/>
      <c r="F47" s="21">
        <v>412.3</v>
      </c>
      <c r="G47" s="21">
        <v>342.3</v>
      </c>
      <c r="H47" s="19">
        <f ca="1">G47*H18/G18</f>
        <v>437.875869851779</v>
      </c>
      <c r="I47" s="19">
        <f ca="1">H47*I18/H18</f>
        <v>512.971581531359</v>
      </c>
      <c r="J47" s="19">
        <f ca="1">I47*J18/I18</f>
        <v>564.268739684495</v>
      </c>
      <c r="K47" s="19">
        <f ca="1">J47*K18/J18</f>
        <v>592.482176668719</v>
      </c>
      <c r="L47" s="19">
        <f ca="1">K47*L18/K18</f>
        <v>604.331820202094</v>
      </c>
      <c r="N47" t="s">
        <v>63</v>
      </c>
    </row>
    <row r="48" ht="15" spans="3:14">
      <c r="C48" t="s">
        <v>64</v>
      </c>
      <c r="E48" s="42"/>
      <c r="F48" s="21">
        <v>12</v>
      </c>
      <c r="G48" s="21">
        <v>4.8</v>
      </c>
      <c r="H48" s="19">
        <f ca="1">G48*(1+H36)</f>
        <v>6.13968</v>
      </c>
      <c r="I48" s="19">
        <f ca="1" t="shared" ref="I48:L48" si="14">H48*(1+I36)</f>
        <v>7.19263512</v>
      </c>
      <c r="J48" s="19">
        <f ca="1" t="shared" si="14"/>
        <v>7.911898632</v>
      </c>
      <c r="K48" s="19">
        <f ca="1" t="shared" si="14"/>
        <v>8.3074935636</v>
      </c>
      <c r="L48" s="19">
        <f ca="1" t="shared" si="14"/>
        <v>8.473643434872</v>
      </c>
      <c r="N48" t="s">
        <v>65</v>
      </c>
    </row>
    <row r="49" ht="15" spans="3:15">
      <c r="C49" t="s">
        <v>66</v>
      </c>
      <c r="E49" s="42"/>
      <c r="F49" s="21">
        <v>43.5</v>
      </c>
      <c r="G49" s="21">
        <v>31</v>
      </c>
      <c r="H49" s="19">
        <f ca="1">G49*(1+H36)</f>
        <v>39.6521</v>
      </c>
      <c r="I49" s="19">
        <f ca="1" t="shared" ref="I49:L49" si="15">H49*(1+I36)</f>
        <v>46.45243515</v>
      </c>
      <c r="J49" s="19">
        <f ca="1" t="shared" si="15"/>
        <v>51.097678665</v>
      </c>
      <c r="K49" s="19">
        <f ca="1" t="shared" si="15"/>
        <v>53.65256259825</v>
      </c>
      <c r="L49" s="19">
        <f ca="1" t="shared" si="15"/>
        <v>54.725613850215</v>
      </c>
      <c r="N49" t="s">
        <v>61</v>
      </c>
      <c r="O49" s="45"/>
    </row>
    <row r="50" ht="15" spans="3:15">
      <c r="C50" t="s">
        <v>67</v>
      </c>
      <c r="E50" s="42"/>
      <c r="F50" s="21">
        <v>40.8</v>
      </c>
      <c r="G50" s="21">
        <v>46.9</v>
      </c>
      <c r="H50" s="19">
        <f ca="1">G50*(1+H36)</f>
        <v>59.98979</v>
      </c>
      <c r="I50" s="19">
        <f ca="1" t="shared" ref="I50:L50" si="16">H50*(1+I36)</f>
        <v>70.278038985</v>
      </c>
      <c r="J50" s="19">
        <f ca="1" t="shared" si="16"/>
        <v>77.3058428835</v>
      </c>
      <c r="K50" s="19">
        <f ca="1" t="shared" si="16"/>
        <v>81.171135027675</v>
      </c>
      <c r="L50" s="19">
        <f ca="1" t="shared" si="16"/>
        <v>82.7945577282285</v>
      </c>
      <c r="O50" s="45"/>
    </row>
    <row r="51" ht="15" spans="3:14">
      <c r="C51" t="s">
        <v>68</v>
      </c>
      <c r="E51" s="42"/>
      <c r="F51" s="21">
        <v>115.1</v>
      </c>
      <c r="G51" s="21">
        <v>116.5</v>
      </c>
      <c r="H51" s="19">
        <f ca="1">H111</f>
        <v>127.536484511719</v>
      </c>
      <c r="I51" s="19">
        <f ca="1" t="shared" ref="I51:L51" si="17">I111</f>
        <v>140.119580552047</v>
      </c>
      <c r="J51" s="19">
        <f ca="1" t="shared" si="17"/>
        <v>153.580226074744</v>
      </c>
      <c r="K51" s="19">
        <f ca="1" t="shared" si="17"/>
        <v>167.314105745827</v>
      </c>
      <c r="L51" s="19">
        <f ca="1" t="shared" si="17"/>
        <v>180.914868920028</v>
      </c>
      <c r="N51" t="s">
        <v>69</v>
      </c>
    </row>
    <row r="52" ht="15" spans="3:18">
      <c r="C52" t="s">
        <v>70</v>
      </c>
      <c r="E52" s="42"/>
      <c r="F52" s="21">
        <v>161.7</v>
      </c>
      <c r="G52" s="21">
        <v>155</v>
      </c>
      <c r="H52" s="19">
        <f ca="1">G52*(1+H36)</f>
        <v>198.2605</v>
      </c>
      <c r="I52" s="19">
        <f ca="1" t="shared" ref="I52:L52" si="18">H52*(1+I36)</f>
        <v>232.26217575</v>
      </c>
      <c r="J52" s="19">
        <f ca="1" t="shared" si="18"/>
        <v>255.488393325</v>
      </c>
      <c r="K52" s="19">
        <f ca="1" t="shared" si="18"/>
        <v>268.26281299125</v>
      </c>
      <c r="L52" s="19">
        <f ca="1" t="shared" si="18"/>
        <v>273.628069251075</v>
      </c>
      <c r="R52" s="32"/>
    </row>
    <row r="53" ht="15" spans="3:12">
      <c r="C53" t="s">
        <v>71</v>
      </c>
      <c r="E53" s="42"/>
      <c r="F53" s="21">
        <v>211.8</v>
      </c>
      <c r="G53" s="21">
        <v>233.7</v>
      </c>
      <c r="H53" s="19">
        <f ca="1">G53*(1+H36)</f>
        <v>298.92567</v>
      </c>
      <c r="I53" s="19">
        <f ca="1" t="shared" ref="I53:L53" si="19">H53*(1+I36)</f>
        <v>350.191422405</v>
      </c>
      <c r="J53" s="19">
        <f ca="1" t="shared" si="19"/>
        <v>385.2105646455</v>
      </c>
      <c r="K53" s="19">
        <f ca="1" t="shared" si="19"/>
        <v>404.471092877775</v>
      </c>
      <c r="L53" s="19">
        <f ca="1" t="shared" si="19"/>
        <v>412.560514735331</v>
      </c>
    </row>
    <row r="54" ht="15" spans="3:12">
      <c r="C54" t="s">
        <v>72</v>
      </c>
      <c r="E54" s="42"/>
      <c r="F54" s="21">
        <v>53.1</v>
      </c>
      <c r="G54" s="21">
        <v>53.1</v>
      </c>
      <c r="H54" s="19">
        <f ca="1">G54*(1+H36)</f>
        <v>67.92021</v>
      </c>
      <c r="I54" s="19">
        <f ca="1" t="shared" ref="I54:L54" si="20">H54*(1+I36)</f>
        <v>79.568526015</v>
      </c>
      <c r="J54" s="19">
        <f ca="1" t="shared" si="20"/>
        <v>87.5253786165</v>
      </c>
      <c r="K54" s="19">
        <f ca="1" t="shared" si="20"/>
        <v>91.901647547325</v>
      </c>
      <c r="L54" s="19">
        <f ca="1" t="shared" si="20"/>
        <v>93.7396804982715</v>
      </c>
    </row>
    <row r="55" ht="15" spans="3:14">
      <c r="C55" t="s">
        <v>73</v>
      </c>
      <c r="E55" s="42"/>
      <c r="F55" s="21">
        <v>6</v>
      </c>
      <c r="G55" s="21">
        <v>5.1</v>
      </c>
      <c r="H55" s="19">
        <f ca="1">G55*(1+H36)</f>
        <v>6.52341</v>
      </c>
      <c r="I55" s="19">
        <f ca="1" t="shared" ref="I55:L55" si="21">H55*(1+I36)</f>
        <v>7.642174815</v>
      </c>
      <c r="J55" s="19">
        <f ca="1" t="shared" si="21"/>
        <v>8.4063922965</v>
      </c>
      <c r="K55" s="19">
        <f ca="1" t="shared" si="21"/>
        <v>8.826711911325</v>
      </c>
      <c r="L55" s="19">
        <f ca="1" t="shared" si="21"/>
        <v>9.0032461495515</v>
      </c>
      <c r="N55" t="s">
        <v>61</v>
      </c>
    </row>
    <row r="56" ht="15" spans="3:12">
      <c r="C56" s="47" t="s">
        <v>74</v>
      </c>
      <c r="D56" s="47"/>
      <c r="E56" s="43"/>
      <c r="F56" s="41">
        <f>SUM(F45:F55)</f>
        <v>1120.3</v>
      </c>
      <c r="G56" s="41">
        <f t="shared" ref="G56:H56" si="22">SUM(G45:G55)</f>
        <v>1507.2</v>
      </c>
      <c r="H56" s="41">
        <f ca="1" t="shared" si="22"/>
        <v>1763.89153126976</v>
      </c>
      <c r="I56" s="41">
        <f ca="1" t="shared" ref="I56:L56" si="23">SUM(I45:I55)</f>
        <v>2036.8173601433</v>
      </c>
      <c r="J56" s="41">
        <f ca="1" t="shared" si="23"/>
        <v>2309.39323259627</v>
      </c>
      <c r="K56" s="41">
        <f ca="1" t="shared" si="23"/>
        <v>2569.57767043407</v>
      </c>
      <c r="L56" s="41">
        <f ca="1" t="shared" si="23"/>
        <v>2814.97390086066</v>
      </c>
    </row>
    <row r="57" spans="3:12">
      <c r="C57" s="46"/>
      <c r="D57" s="46"/>
      <c r="E57" s="45"/>
      <c r="F57" s="45"/>
      <c r="G57" s="45"/>
      <c r="H57" s="45"/>
      <c r="I57" s="45"/>
      <c r="J57" s="45"/>
      <c r="K57" s="45"/>
      <c r="L57" s="45"/>
    </row>
    <row r="58" ht="15" spans="3:14">
      <c r="C58" s="46" t="s">
        <v>75</v>
      </c>
      <c r="D58" s="46"/>
      <c r="E58" s="42"/>
      <c r="F58" s="21">
        <v>144.4</v>
      </c>
      <c r="G58" s="21">
        <v>177.8</v>
      </c>
      <c r="H58" s="19">
        <f ca="1">G58*H18/G18</f>
        <v>227.44472585348</v>
      </c>
      <c r="I58" s="19">
        <f ca="1">H58*I18/H18</f>
        <v>266.451496337352</v>
      </c>
      <c r="J58" s="19">
        <f ca="1">I58*J18/I18</f>
        <v>293.096645971087</v>
      </c>
      <c r="K58" s="19">
        <f ca="1">J58*K18/J18</f>
        <v>307.751478269642</v>
      </c>
      <c r="L58" s="19">
        <f ca="1">K58*L18/K18</f>
        <v>313.906507835034</v>
      </c>
      <c r="N58" t="s">
        <v>76</v>
      </c>
    </row>
    <row r="59" ht="15" spans="3:12">
      <c r="C59" s="46" t="s">
        <v>77</v>
      </c>
      <c r="D59" s="46"/>
      <c r="E59" s="42"/>
      <c r="F59" s="21">
        <v>15.6</v>
      </c>
      <c r="G59" s="21">
        <v>20</v>
      </c>
      <c r="H59" s="19">
        <f ca="1">G59*(1+H36)</f>
        <v>25.582</v>
      </c>
      <c r="I59" s="19">
        <f ca="1" t="shared" ref="I59:L59" si="24">H59*(1+I36)</f>
        <v>29.969313</v>
      </c>
      <c r="J59" s="19">
        <f ca="1" t="shared" si="24"/>
        <v>32.9662443</v>
      </c>
      <c r="K59" s="19">
        <f ca="1" t="shared" si="24"/>
        <v>34.614556515</v>
      </c>
      <c r="L59" s="19">
        <f ca="1" t="shared" si="24"/>
        <v>35.3068476453</v>
      </c>
    </row>
    <row r="60" ht="15" spans="3:14">
      <c r="C60" s="46" t="s">
        <v>78</v>
      </c>
      <c r="D60" s="46"/>
      <c r="E60" s="42"/>
      <c r="F60" s="21">
        <v>13</v>
      </c>
      <c r="G60" s="21">
        <v>19.1</v>
      </c>
      <c r="H60" s="19">
        <f ca="1">G60*(1+H36)</f>
        <v>24.43081</v>
      </c>
      <c r="I60" s="19">
        <f ca="1" t="shared" ref="I60:L60" si="25">H60*(1+I36)</f>
        <v>28.620693915</v>
      </c>
      <c r="J60" s="19">
        <f ca="1" t="shared" si="25"/>
        <v>31.4827633065</v>
      </c>
      <c r="K60" s="19">
        <f ca="1" t="shared" si="25"/>
        <v>33.056901471825</v>
      </c>
      <c r="L60" s="19">
        <f ca="1" t="shared" si="25"/>
        <v>33.7180395012615</v>
      </c>
      <c r="N60" t="s">
        <v>79</v>
      </c>
    </row>
    <row r="61" ht="15" spans="3:12">
      <c r="C61" s="46" t="s">
        <v>80</v>
      </c>
      <c r="D61" s="46"/>
      <c r="E61" s="42"/>
      <c r="F61" s="21">
        <v>0</v>
      </c>
      <c r="G61" s="21">
        <v>0</v>
      </c>
      <c r="H61" s="19">
        <f ca="1">G61*(1+H36)</f>
        <v>0</v>
      </c>
      <c r="I61" s="19">
        <f ca="1" t="shared" ref="I61:L61" si="26">H61*(1+I36)</f>
        <v>0</v>
      </c>
      <c r="J61" s="19">
        <f ca="1" t="shared" si="26"/>
        <v>0</v>
      </c>
      <c r="K61" s="19">
        <f ca="1" t="shared" si="26"/>
        <v>0</v>
      </c>
      <c r="L61" s="19">
        <f ca="1" t="shared" si="26"/>
        <v>0</v>
      </c>
    </row>
    <row r="62" ht="15" spans="3:12">
      <c r="C62" s="46" t="s">
        <v>81</v>
      </c>
      <c r="D62" s="46"/>
      <c r="E62" s="42"/>
      <c r="F62" s="21">
        <v>35.9</v>
      </c>
      <c r="G62" s="21">
        <v>45.2</v>
      </c>
      <c r="H62" s="19">
        <f ca="1">G62*(1+H36)</f>
        <v>57.81532</v>
      </c>
      <c r="I62" s="19">
        <f ca="1" t="shared" ref="I62:L62" si="27">H62*(1+I36)</f>
        <v>67.73064738</v>
      </c>
      <c r="J62" s="19">
        <f ca="1" t="shared" si="27"/>
        <v>74.503712118</v>
      </c>
      <c r="K62" s="19">
        <f ca="1" t="shared" si="27"/>
        <v>78.2288977239</v>
      </c>
      <c r="L62" s="19">
        <f ca="1" t="shared" si="27"/>
        <v>79.793475678378</v>
      </c>
    </row>
    <row r="63" ht="15" spans="3:14">
      <c r="C63" s="47" t="s">
        <v>82</v>
      </c>
      <c r="D63" s="46"/>
      <c r="E63" s="42"/>
      <c r="F63" s="21">
        <f>SUM(F58:F62)</f>
        <v>208.9</v>
      </c>
      <c r="G63" s="21">
        <f>SUM(G58:G62)</f>
        <v>262.1</v>
      </c>
      <c r="H63" s="19">
        <f ca="1">SUM(H58:H62)</f>
        <v>335.27285585348</v>
      </c>
      <c r="I63" s="19">
        <f ca="1" t="shared" ref="I63:L63" si="28">SUM(I58:I62)</f>
        <v>392.772150632352</v>
      </c>
      <c r="J63" s="19">
        <f ca="1" t="shared" si="28"/>
        <v>432.049365695587</v>
      </c>
      <c r="K63" s="19">
        <f ca="1" t="shared" si="28"/>
        <v>453.651833980367</v>
      </c>
      <c r="L63" s="19">
        <f ca="1" t="shared" si="28"/>
        <v>462.724870659974</v>
      </c>
      <c r="N63" t="s">
        <v>83</v>
      </c>
    </row>
    <row r="64" ht="15" spans="3:12">
      <c r="C64" s="46" t="s">
        <v>77</v>
      </c>
      <c r="D64" s="46"/>
      <c r="E64" s="42"/>
      <c r="F64" s="21">
        <v>21.4</v>
      </c>
      <c r="G64" s="21">
        <v>25.6</v>
      </c>
      <c r="H64" s="19">
        <f ca="1">G64*(1+H36)</f>
        <v>32.74496</v>
      </c>
      <c r="I64" s="19">
        <f ca="1" t="shared" ref="I64:L64" si="29">H64*(1+I36)</f>
        <v>38.36072064</v>
      </c>
      <c r="J64" s="19">
        <f ca="1" t="shared" si="29"/>
        <v>42.196792704</v>
      </c>
      <c r="K64" s="19">
        <f ca="1" t="shared" si="29"/>
        <v>44.3066323392</v>
      </c>
      <c r="L64" s="19">
        <f ca="1" t="shared" si="29"/>
        <v>45.192764985984</v>
      </c>
    </row>
    <row r="65" ht="15" spans="3:14">
      <c r="C65" s="46" t="s">
        <v>67</v>
      </c>
      <c r="D65" s="46"/>
      <c r="E65" s="42"/>
      <c r="F65" s="21">
        <v>15.1</v>
      </c>
      <c r="G65" s="21">
        <v>21.6</v>
      </c>
      <c r="H65" s="19">
        <f ca="1">G65*(1+H36)</f>
        <v>27.62856</v>
      </c>
      <c r="I65" s="19">
        <f ca="1" t="shared" ref="I65:L65" si="30">H65*(1+I36)</f>
        <v>32.36685804</v>
      </c>
      <c r="J65" s="19">
        <f ca="1" t="shared" si="30"/>
        <v>35.603543844</v>
      </c>
      <c r="K65" s="19">
        <f ca="1" t="shared" si="30"/>
        <v>37.3837210362</v>
      </c>
      <c r="L65" s="19">
        <f ca="1" t="shared" si="30"/>
        <v>38.131395456924</v>
      </c>
      <c r="N65" t="s">
        <v>79</v>
      </c>
    </row>
    <row r="66" ht="15" spans="3:12">
      <c r="C66" s="46" t="s">
        <v>84</v>
      </c>
      <c r="D66" s="46"/>
      <c r="E66" s="42"/>
      <c r="F66" s="21">
        <v>0</v>
      </c>
      <c r="G66" s="21">
        <v>0</v>
      </c>
      <c r="H66" s="19">
        <f ca="1">G66*(1+H36)</f>
        <v>0</v>
      </c>
      <c r="I66" s="19">
        <f ca="1" t="shared" ref="I66:L66" si="31">H66*(1+I36)</f>
        <v>0</v>
      </c>
      <c r="J66" s="19">
        <f ca="1" t="shared" si="31"/>
        <v>0</v>
      </c>
      <c r="K66" s="19">
        <f ca="1" t="shared" si="31"/>
        <v>0</v>
      </c>
      <c r="L66" s="19">
        <f ca="1" t="shared" si="31"/>
        <v>0</v>
      </c>
    </row>
    <row r="67" ht="15" spans="3:12">
      <c r="C67" s="46" t="s">
        <v>85</v>
      </c>
      <c r="D67" s="46"/>
      <c r="E67" s="42"/>
      <c r="F67" s="21">
        <v>158.1</v>
      </c>
      <c r="G67" s="21">
        <v>367.8</v>
      </c>
      <c r="H67" s="19">
        <f>G67</f>
        <v>367.8</v>
      </c>
      <c r="I67" s="19">
        <f t="shared" ref="I67:L67" si="32">H67</f>
        <v>367.8</v>
      </c>
      <c r="J67" s="19">
        <f t="shared" si="32"/>
        <v>367.8</v>
      </c>
      <c r="K67" s="19">
        <f t="shared" si="32"/>
        <v>367.8</v>
      </c>
      <c r="L67" s="19">
        <f t="shared" si="32"/>
        <v>367.8</v>
      </c>
    </row>
    <row r="68" ht="15" spans="3:12">
      <c r="C68" s="46" t="s">
        <v>86</v>
      </c>
      <c r="D68" s="46"/>
      <c r="E68" s="42"/>
      <c r="F68" s="21">
        <v>192</v>
      </c>
      <c r="G68" s="21">
        <v>209.6</v>
      </c>
      <c r="H68" s="19">
        <f>G68</f>
        <v>209.6</v>
      </c>
      <c r="I68" s="19">
        <f t="shared" ref="I68:L68" si="33">H68</f>
        <v>209.6</v>
      </c>
      <c r="J68" s="19">
        <f t="shared" si="33"/>
        <v>209.6</v>
      </c>
      <c r="K68" s="19">
        <f t="shared" si="33"/>
        <v>209.6</v>
      </c>
      <c r="L68" s="19">
        <f t="shared" si="33"/>
        <v>209.6</v>
      </c>
    </row>
    <row r="69" ht="15" spans="3:14">
      <c r="C69" s="46" t="s">
        <v>87</v>
      </c>
      <c r="D69" s="46"/>
      <c r="E69" s="42"/>
      <c r="F69" s="21">
        <f>F67+F68</f>
        <v>350.1</v>
      </c>
      <c r="G69" s="21">
        <f>G67+G68</f>
        <v>577.4</v>
      </c>
      <c r="H69" s="19">
        <f>SUM(H67:H68)</f>
        <v>577.4</v>
      </c>
      <c r="I69" s="19">
        <f t="shared" ref="I69:L69" si="34">SUM(I67:I68)</f>
        <v>577.4</v>
      </c>
      <c r="J69" s="19">
        <f t="shared" si="34"/>
        <v>577.4</v>
      </c>
      <c r="K69" s="19">
        <f t="shared" si="34"/>
        <v>577.4</v>
      </c>
      <c r="L69" s="19">
        <f t="shared" si="34"/>
        <v>577.4</v>
      </c>
      <c r="N69" t="s">
        <v>88</v>
      </c>
    </row>
    <row r="70" ht="15.75" customHeight="1" spans="3:14">
      <c r="C70" s="46" t="s">
        <v>89</v>
      </c>
      <c r="D70" s="46"/>
      <c r="E70" s="42"/>
      <c r="F70" s="21">
        <v>4.6</v>
      </c>
      <c r="G70" s="21">
        <v>20.4</v>
      </c>
      <c r="H70" s="19">
        <f ca="1">G70*(1+H36)</f>
        <v>26.09364</v>
      </c>
      <c r="I70" s="19">
        <f ca="1" t="shared" ref="I70:L70" si="35">H70*(1+I36)</f>
        <v>30.56869926</v>
      </c>
      <c r="J70" s="19">
        <f ca="1" t="shared" si="35"/>
        <v>33.625569186</v>
      </c>
      <c r="K70" s="19">
        <f ca="1" t="shared" si="35"/>
        <v>35.3068476453</v>
      </c>
      <c r="L70" s="19">
        <f ca="1" t="shared" si="35"/>
        <v>36.012984598206</v>
      </c>
      <c r="N70" t="s">
        <v>61</v>
      </c>
    </row>
    <row r="71" ht="15" spans="3:12">
      <c r="C71" s="47" t="s">
        <v>90</v>
      </c>
      <c r="D71" s="47"/>
      <c r="E71" s="43"/>
      <c r="F71" s="41">
        <f>SUM(F58:F62)+SUM(F64:F66)+F69+F70</f>
        <v>600.1</v>
      </c>
      <c r="G71" s="41">
        <f>SUM(G58:G62)+SUM(G64:G66)+G69+G70</f>
        <v>907.1</v>
      </c>
      <c r="H71" s="41">
        <f ca="1">SUM(H58:H62)+SUM(H64:H66)+H69+H70</f>
        <v>999.14001585348</v>
      </c>
      <c r="I71" s="41">
        <f ca="1" t="shared" ref="I71:L71" si="36">SUM(I58:I62)+SUM(I64:I66)+I69+I70</f>
        <v>1071.46842857235</v>
      </c>
      <c r="J71" s="41">
        <f ca="1" t="shared" si="36"/>
        <v>1120.87527142959</v>
      </c>
      <c r="K71" s="41">
        <f ca="1" t="shared" si="36"/>
        <v>1148.04903500107</v>
      </c>
      <c r="L71" s="41">
        <f ca="1" t="shared" si="36"/>
        <v>1159.46201570109</v>
      </c>
    </row>
    <row r="72" ht="15" spans="3:12">
      <c r="C72" s="47"/>
      <c r="D72" s="47"/>
      <c r="E72" s="43"/>
      <c r="F72" s="43"/>
      <c r="G72" s="43"/>
      <c r="H72" s="45"/>
      <c r="I72" s="45"/>
      <c r="J72" s="45"/>
      <c r="K72" s="45"/>
      <c r="L72" s="45"/>
    </row>
    <row r="73" ht="15" spans="3:14">
      <c r="C73" s="46" t="s">
        <v>91</v>
      </c>
      <c r="D73" s="46"/>
      <c r="E73" s="42"/>
      <c r="F73" s="21">
        <v>114.7</v>
      </c>
      <c r="G73" s="21">
        <v>120.5</v>
      </c>
      <c r="H73" s="19">
        <f ca="1">G73+H33</f>
        <v>134.95383</v>
      </c>
      <c r="I73" s="19">
        <f ca="1">H73+I33</f>
        <v>151.886491845</v>
      </c>
      <c r="J73" s="19">
        <f ca="1">I73+J33</f>
        <v>170.5124198745</v>
      </c>
      <c r="K73" s="19">
        <f ca="1">J73+K33</f>
        <v>190.069644305475</v>
      </c>
      <c r="L73" s="19">
        <f ca="1">K73+L33</f>
        <v>210.01801322507</v>
      </c>
      <c r="N73" t="s">
        <v>92</v>
      </c>
    </row>
    <row r="74" ht="15.75" customHeight="1" spans="3:15">
      <c r="C74" s="46" t="s">
        <v>93</v>
      </c>
      <c r="D74" s="46"/>
      <c r="E74" s="61"/>
      <c r="F74" s="21">
        <v>405.1</v>
      </c>
      <c r="G74" s="21">
        <v>484.8</v>
      </c>
      <c r="H74" s="19">
        <f ca="1">H131</f>
        <v>634.997685416276</v>
      </c>
      <c r="I74" s="19">
        <f ca="1" t="shared" ref="I74:L74" si="37">I131</f>
        <v>818.662439725949</v>
      </c>
      <c r="J74" s="19">
        <f ca="1" t="shared" si="37"/>
        <v>1023.20554129218</v>
      </c>
      <c r="K74" s="19">
        <f ca="1" t="shared" si="37"/>
        <v>1236.65899112753</v>
      </c>
      <c r="L74" s="19">
        <f ca="1" t="shared" si="37"/>
        <v>1450.69387193451</v>
      </c>
      <c r="N74" t="s">
        <v>94</v>
      </c>
      <c r="O74" s="45"/>
    </row>
    <row r="75" ht="15.75" customHeight="1" spans="3:14">
      <c r="C75" s="46" t="s">
        <v>95</v>
      </c>
      <c r="D75" s="46"/>
      <c r="E75" s="42"/>
      <c r="F75" s="21">
        <v>0.4</v>
      </c>
      <c r="G75" s="21">
        <v>-5.2</v>
      </c>
      <c r="H75" s="19">
        <f>G75</f>
        <v>-5.2</v>
      </c>
      <c r="I75" s="19">
        <f t="shared" ref="I75:L75" si="38">H75</f>
        <v>-5.2</v>
      </c>
      <c r="J75" s="19">
        <f t="shared" si="38"/>
        <v>-5.2</v>
      </c>
      <c r="K75" s="19">
        <f t="shared" si="38"/>
        <v>-5.2</v>
      </c>
      <c r="L75" s="19">
        <f t="shared" si="38"/>
        <v>-5.2</v>
      </c>
      <c r="N75" t="s">
        <v>88</v>
      </c>
    </row>
    <row r="76" ht="15" spans="3:12">
      <c r="C76" s="47" t="s">
        <v>96</v>
      </c>
      <c r="D76" s="47"/>
      <c r="E76" s="62"/>
      <c r="F76" s="63">
        <f>SUM(F73:F75)</f>
        <v>520.2</v>
      </c>
      <c r="G76" s="63">
        <f t="shared" ref="G76:H76" si="39">SUM(G73:G75)</f>
        <v>600.1</v>
      </c>
      <c r="H76" s="63">
        <f ca="1" t="shared" si="39"/>
        <v>764.751515416276</v>
      </c>
      <c r="I76" s="63">
        <f ca="1" t="shared" ref="I76:L76" si="40">SUM(I73:I75)</f>
        <v>965.348931570949</v>
      </c>
      <c r="J76" s="63">
        <f ca="1" t="shared" si="40"/>
        <v>1188.51796116668</v>
      </c>
      <c r="K76" s="63">
        <f ca="1" t="shared" si="40"/>
        <v>1421.528635433</v>
      </c>
      <c r="L76" s="63">
        <f ca="1" t="shared" si="40"/>
        <v>1655.51188515958</v>
      </c>
    </row>
    <row r="77" spans="5:7">
      <c r="E77" s="45"/>
      <c r="F77" s="45"/>
      <c r="G77" s="45"/>
    </row>
    <row r="78" ht="15" spans="3:12">
      <c r="C78" s="35" t="s">
        <v>97</v>
      </c>
      <c r="D78" s="35"/>
      <c r="E78" s="64"/>
      <c r="F78" s="65">
        <f t="shared" ref="F78:L78" si="41">ROUND(F56-F71-F76,3)</f>
        <v>0</v>
      </c>
      <c r="G78" s="65">
        <f t="shared" si="41"/>
        <v>0</v>
      </c>
      <c r="H78" s="65">
        <f ca="1" t="shared" si="41"/>
        <v>0</v>
      </c>
      <c r="I78" s="65">
        <f ca="1" t="shared" si="41"/>
        <v>0</v>
      </c>
      <c r="J78" s="65">
        <f ca="1" t="shared" si="41"/>
        <v>0</v>
      </c>
      <c r="K78" s="65">
        <f ca="1" t="shared" si="41"/>
        <v>0</v>
      </c>
      <c r="L78" s="65">
        <f ca="1" t="shared" si="41"/>
        <v>0</v>
      </c>
    </row>
    <row r="79" spans="6:12">
      <c r="F79" s="45"/>
      <c r="G79" s="45"/>
      <c r="I79" s="45"/>
      <c r="J79" s="45"/>
      <c r="K79" s="45"/>
      <c r="L79" s="45"/>
    </row>
    <row r="80" ht="15" spans="1:12">
      <c r="A80" t="s">
        <v>12</v>
      </c>
      <c r="C80" s="34" t="s">
        <v>98</v>
      </c>
      <c r="D80" s="34"/>
      <c r="E80" s="52"/>
      <c r="F80" s="52"/>
      <c r="G80" s="52"/>
      <c r="H80" s="52"/>
      <c r="I80" s="52"/>
      <c r="J80" s="52"/>
      <c r="K80" s="52"/>
      <c r="L80" s="52"/>
    </row>
    <row r="81" ht="15" spans="3:12">
      <c r="C81" s="53" t="str">
        <f>C14</f>
        <v>Fiscal year  </v>
      </c>
      <c r="D81" s="53"/>
      <c r="E81" s="54"/>
      <c r="F81" s="54"/>
      <c r="G81" s="54"/>
      <c r="H81" s="55">
        <f t="shared" ref="H81:L82" si="42">H14</f>
        <v>2022</v>
      </c>
      <c r="I81" s="55">
        <f t="shared" si="42"/>
        <v>2023</v>
      </c>
      <c r="J81" s="55">
        <f t="shared" si="42"/>
        <v>2024</v>
      </c>
      <c r="K81" s="55">
        <f t="shared" si="42"/>
        <v>2025</v>
      </c>
      <c r="L81" s="55">
        <f t="shared" si="42"/>
        <v>2026</v>
      </c>
    </row>
    <row r="82" ht="15" spans="3:12">
      <c r="C82" s="13" t="str">
        <f>C15</f>
        <v>Fiscal year end date</v>
      </c>
      <c r="D82" s="13"/>
      <c r="E82" s="56"/>
      <c r="F82" s="56"/>
      <c r="G82" s="56"/>
      <c r="H82" s="56">
        <f t="shared" si="42"/>
        <v>44651</v>
      </c>
      <c r="I82" s="56">
        <f t="shared" si="42"/>
        <v>45016</v>
      </c>
      <c r="J82" s="56">
        <f t="shared" si="42"/>
        <v>45382</v>
      </c>
      <c r="K82" s="56">
        <f t="shared" si="42"/>
        <v>45747</v>
      </c>
      <c r="L82" s="56">
        <f t="shared" si="42"/>
        <v>46112</v>
      </c>
    </row>
    <row r="84" ht="15" spans="3:14">
      <c r="C84" t="s">
        <v>40</v>
      </c>
      <c r="E84" s="66"/>
      <c r="F84" s="66"/>
      <c r="G84" s="66"/>
      <c r="H84" s="19">
        <f ca="1">H29</f>
        <v>140.697685416276</v>
      </c>
      <c r="I84" s="19">
        <f ca="1">I29</f>
        <v>174.164754309673</v>
      </c>
      <c r="J84" s="19">
        <f ca="1">J29</f>
        <v>195.043101566235</v>
      </c>
      <c r="K84" s="19">
        <f ca="1">K29</f>
        <v>203.953449835344</v>
      </c>
      <c r="L84" s="19">
        <f ca="1">L29</f>
        <v>204.534880806979</v>
      </c>
      <c r="N84" s="40"/>
    </row>
    <row r="85" spans="3:14">
      <c r="C85" t="s">
        <v>99</v>
      </c>
      <c r="E85" s="66"/>
      <c r="F85" s="66"/>
      <c r="G85" s="66"/>
      <c r="H85" s="19">
        <f ca="1">H31</f>
        <v>98.9661154882812</v>
      </c>
      <c r="I85" s="19">
        <f ca="1">I31</f>
        <v>116.284949859671</v>
      </c>
      <c r="J85" s="19">
        <f ca="1">J31</f>
        <v>128.294204967304</v>
      </c>
      <c r="K85" s="19">
        <f ca="1">K31</f>
        <v>135.108713343417</v>
      </c>
      <c r="L85" s="19">
        <f ca="1">L31</f>
        <v>138.218681700589</v>
      </c>
      <c r="N85" t="s">
        <v>100</v>
      </c>
    </row>
    <row r="86" spans="3:12">
      <c r="C86" t="s">
        <v>46</v>
      </c>
      <c r="E86" s="66"/>
      <c r="F86" s="66"/>
      <c r="G86" s="66"/>
      <c r="H86" s="19">
        <f ca="1">H33</f>
        <v>14.45383</v>
      </c>
      <c r="I86" s="19">
        <f ca="1">I33</f>
        <v>16.932661845</v>
      </c>
      <c r="J86" s="19">
        <f ca="1">J33</f>
        <v>18.6259280295</v>
      </c>
      <c r="K86" s="19">
        <f ca="1">K33</f>
        <v>19.557224430975</v>
      </c>
      <c r="L86" s="19">
        <f ca="1">L33</f>
        <v>19.9483689195945</v>
      </c>
    </row>
    <row r="87" spans="3:12">
      <c r="C87" t="s">
        <v>101</v>
      </c>
      <c r="E87" s="45"/>
      <c r="F87" s="45"/>
      <c r="G87" s="45"/>
      <c r="H87" s="19">
        <f ca="1">SUM(G46:G50)-SUM(H46:H50)</f>
        <v>-130.072629851779</v>
      </c>
      <c r="I87" s="19">
        <f ca="1">SUM(H46:H50)-SUM(I46:I50)</f>
        <v>-102.20930601958</v>
      </c>
      <c r="J87" s="19">
        <f ca="1">SUM(I46:I50)-SUM(J46:J50)</f>
        <v>-69.818193587136</v>
      </c>
      <c r="K87" s="19">
        <f ca="1">SUM(J46:J50)-SUM(K46:K50)</f>
        <v>-38.4000064729249</v>
      </c>
      <c r="L87" s="19">
        <f ca="1">SUM(K46:K50)-SUM(L46:L50)</f>
        <v>-16.1280027186282</v>
      </c>
    </row>
    <row r="88" spans="3:12">
      <c r="C88" t="s">
        <v>102</v>
      </c>
      <c r="E88" s="45"/>
      <c r="F88" s="45"/>
      <c r="G88" s="45"/>
      <c r="H88" s="19">
        <f ca="1">SUM(H63:H66)-SUM(G63:G66)</f>
        <v>86.34637585348</v>
      </c>
      <c r="I88" s="19">
        <f ca="1">SUM(I58:I62)+SUM(I64:I66)-SUM(H58:H62)-SUM(H64:H66)</f>
        <v>67.853353458872</v>
      </c>
      <c r="J88" s="19">
        <f ca="1">SUM(J58:J62)+SUM(J64:J66)-SUM(I58:I62)-SUM(I64:I66)</f>
        <v>46.3499729312353</v>
      </c>
      <c r="K88" s="19">
        <f ca="1">SUM(K58:K62)+SUM(K64:K66)-SUM(J58:J62)-SUM(J64:J66)</f>
        <v>25.4924851121794</v>
      </c>
      <c r="L88" s="19">
        <f ca="1">SUM(L58:L62)+SUM(L64:L66)-SUM(K58:K62)-SUM(K64:K66)</f>
        <v>10.7068437471153</v>
      </c>
    </row>
    <row r="89" spans="3:14">
      <c r="C89" t="s">
        <v>103</v>
      </c>
      <c r="H89" s="19">
        <f ca="1">-H123</f>
        <v>-81.8788</v>
      </c>
      <c r="I89" s="19">
        <f ca="1" t="shared" ref="I89:L89" si="43">-I123</f>
        <v>-95.3722542</v>
      </c>
      <c r="J89" s="19">
        <f ca="1" t="shared" si="43"/>
        <v>-104.443055805</v>
      </c>
      <c r="K89" s="19">
        <f ca="1" t="shared" si="43"/>
        <v>-109.2830998545</v>
      </c>
      <c r="L89" s="19">
        <f ca="1" t="shared" si="43"/>
        <v>-111.216570082695</v>
      </c>
      <c r="N89" t="s">
        <v>104</v>
      </c>
    </row>
    <row r="90" ht="15" spans="3:14">
      <c r="C90" t="s">
        <v>89</v>
      </c>
      <c r="H90" s="19">
        <f ca="1">H70-G70</f>
        <v>5.69364</v>
      </c>
      <c r="I90" s="19">
        <f ca="1" t="shared" ref="I90:L90" si="44">I70-H70</f>
        <v>4.47505926</v>
      </c>
      <c r="J90" s="19">
        <f ca="1" t="shared" si="44"/>
        <v>3.056869926</v>
      </c>
      <c r="K90" s="19">
        <f ca="1" t="shared" si="44"/>
        <v>1.6812784593</v>
      </c>
      <c r="L90" s="19">
        <f ca="1" t="shared" si="44"/>
        <v>0.706136952906</v>
      </c>
      <c r="N90" s="40"/>
    </row>
    <row r="91" ht="15" spans="3:12">
      <c r="C91" s="40" t="s">
        <v>105</v>
      </c>
      <c r="D91" s="40"/>
      <c r="H91" s="63">
        <f ca="1">SUM(H84:H90)</f>
        <v>134.206216906259</v>
      </c>
      <c r="I91" s="63">
        <f ca="1" t="shared" ref="I91:L91" si="45">SUM(I84:I90)</f>
        <v>182.129218513636</v>
      </c>
      <c r="J91" s="63">
        <f ca="1" t="shared" si="45"/>
        <v>217.108828028138</v>
      </c>
      <c r="K91" s="63">
        <f ca="1" t="shared" si="45"/>
        <v>238.110044853791</v>
      </c>
      <c r="L91" s="63">
        <f ca="1" t="shared" si="45"/>
        <v>246.77033932586</v>
      </c>
    </row>
    <row r="92" spans="8:12">
      <c r="H92" s="45"/>
      <c r="I92" s="45"/>
      <c r="J92" s="45"/>
      <c r="K92" s="45"/>
      <c r="L92" s="45"/>
    </row>
    <row r="93" spans="3:14">
      <c r="C93" t="s">
        <v>106</v>
      </c>
      <c r="H93" s="19">
        <f ca="1">-(H109)</f>
        <v>-29.54721</v>
      </c>
      <c r="I93" s="19">
        <f ca="1" t="shared" ref="I93:L93" si="46">-(I109)</f>
        <v>-34.614556515</v>
      </c>
      <c r="J93" s="19">
        <f ca="1" t="shared" si="46"/>
        <v>-38.0760121665</v>
      </c>
      <c r="K93" s="19">
        <f ca="1" t="shared" si="46"/>
        <v>-39.979812774825</v>
      </c>
      <c r="L93" s="19">
        <f ca="1" t="shared" si="46"/>
        <v>-40.7794090303215</v>
      </c>
      <c r="N93" t="s">
        <v>69</v>
      </c>
    </row>
    <row r="94" spans="3:12">
      <c r="C94" t="s">
        <v>107</v>
      </c>
      <c r="H94" s="19">
        <f ca="1">SUM(G52:G54)-SUM(H52:H54)</f>
        <v>-123.30638</v>
      </c>
      <c r="I94" s="19">
        <f ca="1" t="shared" ref="I94:L94" si="47">SUM(H52:H54)-SUM(I52:I54)</f>
        <v>-96.9157441699999</v>
      </c>
      <c r="J94" s="19">
        <f ca="1" t="shared" si="47"/>
        <v>-66.2022124170002</v>
      </c>
      <c r="K94" s="19">
        <f ca="1" t="shared" si="47"/>
        <v>-36.4112168293501</v>
      </c>
      <c r="L94" s="19">
        <f ca="1" t="shared" si="47"/>
        <v>-15.2927110683269</v>
      </c>
    </row>
    <row r="95" ht="15" spans="3:12">
      <c r="C95" s="40" t="s">
        <v>108</v>
      </c>
      <c r="D95" s="40"/>
      <c r="H95" s="63">
        <f ca="1">IFERROR(H93+H94,"NA")</f>
        <v>-152.85359</v>
      </c>
      <c r="I95" s="63">
        <f ca="1" t="shared" ref="I95:L95" si="48">IFERROR(I93+I94,"NA")</f>
        <v>-131.530300685</v>
      </c>
      <c r="J95" s="63">
        <f ca="1" t="shared" si="48"/>
        <v>-104.2782245835</v>
      </c>
      <c r="K95" s="63">
        <f ca="1" t="shared" si="48"/>
        <v>-76.3910296041751</v>
      </c>
      <c r="L95" s="63">
        <f ca="1" t="shared" si="48"/>
        <v>-56.0721200986484</v>
      </c>
    </row>
    <row r="96" spans="8:12">
      <c r="H96" s="45"/>
      <c r="I96" s="45"/>
      <c r="J96" s="45"/>
      <c r="K96" s="45"/>
      <c r="L96" s="45"/>
    </row>
    <row r="97" spans="3:12">
      <c r="C97" t="s">
        <v>109</v>
      </c>
      <c r="H97" s="45">
        <f>H67+H68+H69-G67-G68-G69</f>
        <v>0</v>
      </c>
      <c r="I97" s="45">
        <f>I67+I68+I69-H67-H68-H69</f>
        <v>0</v>
      </c>
      <c r="J97" s="45">
        <f>J67+J68+J69-I67-I68-I69</f>
        <v>0</v>
      </c>
      <c r="K97" s="45">
        <f>K67+K68+K69-J67-J68-J69</f>
        <v>0</v>
      </c>
      <c r="L97" s="45">
        <f>L67+L68+L69-K67-K68-K69</f>
        <v>0</v>
      </c>
    </row>
    <row r="98" spans="3:14">
      <c r="C98" t="s">
        <v>110</v>
      </c>
      <c r="H98" s="19">
        <f>H130</f>
        <v>3.7</v>
      </c>
      <c r="I98" s="19">
        <f t="shared" ref="I98:L98" si="49">I130</f>
        <v>3.7</v>
      </c>
      <c r="J98" s="19">
        <f t="shared" si="49"/>
        <v>3.7</v>
      </c>
      <c r="K98" s="19">
        <f t="shared" si="49"/>
        <v>3.7</v>
      </c>
      <c r="L98" s="19">
        <f t="shared" si="49"/>
        <v>3.7</v>
      </c>
      <c r="N98" t="s">
        <v>94</v>
      </c>
    </row>
    <row r="99" spans="3:14">
      <c r="C99" t="s">
        <v>111</v>
      </c>
      <c r="H99" s="19">
        <f>H129</f>
        <v>5.8</v>
      </c>
      <c r="I99" s="19">
        <f t="shared" ref="I99:L99" si="50">I129</f>
        <v>5.8</v>
      </c>
      <c r="J99" s="19">
        <f t="shared" si="50"/>
        <v>5.8</v>
      </c>
      <c r="K99" s="19">
        <f t="shared" si="50"/>
        <v>5.8</v>
      </c>
      <c r="L99" s="19">
        <f t="shared" si="50"/>
        <v>5.8</v>
      </c>
      <c r="N99" t="s">
        <v>94</v>
      </c>
    </row>
    <row r="100" ht="15" spans="3:12">
      <c r="C100" s="40" t="s">
        <v>112</v>
      </c>
      <c r="D100" s="40"/>
      <c r="H100" s="63">
        <f>SUM(H97:H99)</f>
        <v>9.5</v>
      </c>
      <c r="I100" s="63">
        <f t="shared" ref="I100:L100" si="51">SUM(I97:I99)</f>
        <v>9.5</v>
      </c>
      <c r="J100" s="63">
        <f t="shared" si="51"/>
        <v>9.5</v>
      </c>
      <c r="K100" s="63">
        <f t="shared" si="51"/>
        <v>9.5</v>
      </c>
      <c r="L100" s="63">
        <f t="shared" si="51"/>
        <v>9.5</v>
      </c>
    </row>
    <row r="101" spans="8:12">
      <c r="H101" s="45"/>
      <c r="I101" s="45"/>
      <c r="J101" s="45"/>
      <c r="K101" s="45"/>
      <c r="L101" s="45"/>
    </row>
    <row r="102" ht="15" spans="3:12">
      <c r="C102" s="40" t="s">
        <v>113</v>
      </c>
      <c r="D102" s="40"/>
      <c r="H102" s="62">
        <f ca="1">H91+H95+H100</f>
        <v>-9.14737309374135</v>
      </c>
      <c r="I102" s="62">
        <f ca="1" t="shared" ref="I102:L102" si="52">I91+I95+I100</f>
        <v>60.0989178286364</v>
      </c>
      <c r="J102" s="62">
        <f ca="1" t="shared" si="52"/>
        <v>122.330603444638</v>
      </c>
      <c r="K102" s="62">
        <f ca="1" t="shared" si="52"/>
        <v>171.219015249615</v>
      </c>
      <c r="L102" s="62">
        <f ca="1" t="shared" si="52"/>
        <v>200.198219227212</v>
      </c>
    </row>
    <row r="104" ht="15" spans="1:12">
      <c r="A104" t="s">
        <v>12</v>
      </c>
      <c r="C104" s="34" t="s">
        <v>114</v>
      </c>
      <c r="D104" s="34"/>
      <c r="E104" s="13"/>
      <c r="F104" s="13"/>
      <c r="G104" s="13"/>
      <c r="H104" s="13"/>
      <c r="I104" s="13"/>
      <c r="J104" s="13"/>
      <c r="K104" s="13"/>
      <c r="L104" s="13"/>
    </row>
    <row r="105" ht="15" spans="3:12">
      <c r="C105" s="53" t="str">
        <f>C14</f>
        <v>Fiscal year  </v>
      </c>
      <c r="D105" s="53"/>
      <c r="E105" s="54"/>
      <c r="F105" s="54">
        <f t="shared" ref="F105:L106" si="53">F14</f>
        <v>2020</v>
      </c>
      <c r="G105" s="54">
        <f t="shared" si="53"/>
        <v>2021</v>
      </c>
      <c r="H105" s="55">
        <f t="shared" si="53"/>
        <v>2022</v>
      </c>
      <c r="I105" s="55">
        <f t="shared" si="53"/>
        <v>2023</v>
      </c>
      <c r="J105" s="55">
        <f t="shared" si="53"/>
        <v>2024</v>
      </c>
      <c r="K105" s="55">
        <f t="shared" si="53"/>
        <v>2025</v>
      </c>
      <c r="L105" s="55">
        <f t="shared" si="53"/>
        <v>2026</v>
      </c>
    </row>
    <row r="106" ht="15" spans="3:12">
      <c r="C106" s="13" t="str">
        <f>C15</f>
        <v>Fiscal year end date</v>
      </c>
      <c r="D106" s="13"/>
      <c r="E106" s="56"/>
      <c r="F106" s="56">
        <f t="shared" si="53"/>
        <v>43921</v>
      </c>
      <c r="G106" s="56">
        <f t="shared" si="53"/>
        <v>44283</v>
      </c>
      <c r="H106" s="56">
        <f t="shared" si="53"/>
        <v>44651</v>
      </c>
      <c r="I106" s="56">
        <f t="shared" si="53"/>
        <v>45016</v>
      </c>
      <c r="J106" s="56">
        <f t="shared" si="53"/>
        <v>45382</v>
      </c>
      <c r="K106" s="56">
        <f t="shared" si="53"/>
        <v>45747</v>
      </c>
      <c r="L106" s="56">
        <f t="shared" si="53"/>
        <v>46112</v>
      </c>
    </row>
    <row r="107" ht="15" spans="3:12">
      <c r="C107" s="40"/>
      <c r="D107" s="40" t="s">
        <v>115</v>
      </c>
      <c r="E107" s="40" t="s">
        <v>116</v>
      </c>
      <c r="H107" s="67" t="s">
        <v>117</v>
      </c>
      <c r="I107" s="67"/>
      <c r="J107" s="67"/>
      <c r="K107" s="67"/>
      <c r="L107" s="67"/>
    </row>
    <row r="108" spans="3:14">
      <c r="C108" s="46" t="s">
        <v>118</v>
      </c>
      <c r="D108" s="46"/>
      <c r="H108" s="19">
        <f>G111</f>
        <v>116.5</v>
      </c>
      <c r="I108" s="19">
        <f ca="1">H111</f>
        <v>127.536484511719</v>
      </c>
      <c r="J108" s="19">
        <f ca="1">I111</f>
        <v>140.119580552047</v>
      </c>
      <c r="K108" s="19">
        <f ca="1">J111</f>
        <v>153.580226074744</v>
      </c>
      <c r="L108" s="19">
        <f ca="1">K111</f>
        <v>167.314105745827</v>
      </c>
      <c r="N108" t="s">
        <v>119</v>
      </c>
    </row>
    <row r="109" ht="15" spans="3:14">
      <c r="C109" s="125" t="s">
        <v>120</v>
      </c>
      <c r="D109" s="21">
        <v>19.2</v>
      </c>
      <c r="E109" s="21">
        <v>26.4</v>
      </c>
      <c r="F109" s="21">
        <v>51.2</v>
      </c>
      <c r="G109" s="21">
        <v>23.1</v>
      </c>
      <c r="H109" s="113">
        <f ca="1">G109*(1+H36)</f>
        <v>29.54721</v>
      </c>
      <c r="I109" s="113">
        <f ca="1">H109*(1+I36)</f>
        <v>34.614556515</v>
      </c>
      <c r="J109" s="113">
        <f ca="1">I109*(1+J36)</f>
        <v>38.0760121665</v>
      </c>
      <c r="K109" s="113">
        <f ca="1">J109*(1+K36)</f>
        <v>39.979812774825</v>
      </c>
      <c r="L109" s="113">
        <f ca="1">K109*(1+L36)</f>
        <v>40.7794090303215</v>
      </c>
      <c r="N109" t="s">
        <v>121</v>
      </c>
    </row>
    <row r="110" ht="15" spans="3:20">
      <c r="C110" s="126" t="s">
        <v>122</v>
      </c>
      <c r="D110" s="69">
        <v>-12.1</v>
      </c>
      <c r="E110" s="69">
        <v>-14.2</v>
      </c>
      <c r="F110" s="70">
        <v>-20.4</v>
      </c>
      <c r="G110" s="69">
        <v>-21.7</v>
      </c>
      <c r="H110" s="71">
        <f ca="1">-(H113*H109)</f>
        <v>-18.5107254882813</v>
      </c>
      <c r="I110" s="71">
        <f ca="1">-(I113*I109)</f>
        <v>-22.0314604746715</v>
      </c>
      <c r="J110" s="71">
        <f ca="1">-(J113*J109)</f>
        <v>-24.6153666438036</v>
      </c>
      <c r="K110" s="71">
        <f ca="1">-(K113*K109)</f>
        <v>-26.2459331037421</v>
      </c>
      <c r="L110" s="71">
        <f ca="1">-(L113*L109)</f>
        <v>-27.1786458561201</v>
      </c>
      <c r="N110" t="s">
        <v>123</v>
      </c>
      <c r="T110">
        <f>-G110/F111</f>
        <v>0.188531711555169</v>
      </c>
    </row>
    <row r="111" ht="15" spans="3:14">
      <c r="C111" s="72" t="s">
        <v>124</v>
      </c>
      <c r="D111" s="62"/>
      <c r="E111" s="62"/>
      <c r="F111" s="63">
        <f>F51</f>
        <v>115.1</v>
      </c>
      <c r="G111" s="63">
        <f>G51</f>
        <v>116.5</v>
      </c>
      <c r="H111" s="63">
        <f ca="1">SUM(H108:H110)</f>
        <v>127.536484511719</v>
      </c>
      <c r="I111" s="63">
        <f ca="1">SUM(I108:I110)</f>
        <v>140.119580552047</v>
      </c>
      <c r="J111" s="63">
        <f ca="1">SUM(J108:J110)</f>
        <v>153.580226074744</v>
      </c>
      <c r="K111" s="63">
        <f ca="1">SUM(K108:K110)</f>
        <v>167.314105745827</v>
      </c>
      <c r="L111" s="63">
        <f ca="1">SUM(L108:L110)</f>
        <v>180.914868920028</v>
      </c>
      <c r="N111" t="s">
        <v>125</v>
      </c>
    </row>
    <row r="112" ht="15" spans="3:14">
      <c r="C112" s="46"/>
      <c r="D112" s="46"/>
      <c r="N112" s="49"/>
    </row>
    <row r="113" ht="15" spans="3:18">
      <c r="C113" s="46" t="s">
        <v>126</v>
      </c>
      <c r="D113" s="73">
        <f>-(D110/D109)</f>
        <v>0.630208333333333</v>
      </c>
      <c r="E113" s="73">
        <f>-(E110/E109)</f>
        <v>0.537878787878788</v>
      </c>
      <c r="F113" s="73">
        <f>-(F110/F109)</f>
        <v>0.3984375</v>
      </c>
      <c r="G113" s="73">
        <f>-(G110/G109)</f>
        <v>0.939393939393939</v>
      </c>
      <c r="H113" s="50">
        <f>AVERAGE(D113:G113)</f>
        <v>0.626479640151515</v>
      </c>
      <c r="I113" s="50">
        <f>H113+$N$113</f>
        <v>0.636479640151515</v>
      </c>
      <c r="J113" s="50">
        <f t="shared" ref="J113:L113" si="54">I113+$N$113</f>
        <v>0.646479640151515</v>
      </c>
      <c r="K113" s="50">
        <f t="shared" si="54"/>
        <v>0.656479640151515</v>
      </c>
      <c r="L113" s="50">
        <f t="shared" si="54"/>
        <v>0.666479640151515</v>
      </c>
      <c r="N113" s="87">
        <v>0.01</v>
      </c>
      <c r="O113" t="s">
        <v>127</v>
      </c>
      <c r="P113" s="88"/>
      <c r="Q113" s="88"/>
      <c r="R113" s="88"/>
    </row>
    <row r="114" ht="15" spans="3:18">
      <c r="C114" s="46"/>
      <c r="D114" s="46"/>
      <c r="E114" s="73"/>
      <c r="F114" s="73"/>
      <c r="G114" s="73"/>
      <c r="H114" s="50"/>
      <c r="I114" s="50"/>
      <c r="J114" s="50"/>
      <c r="K114" s="50"/>
      <c r="L114" s="50"/>
      <c r="P114" s="88"/>
      <c r="Q114" s="88"/>
      <c r="R114" s="88"/>
    </row>
    <row r="115" ht="15" spans="1:18">
      <c r="A115" t="s">
        <v>12</v>
      </c>
      <c r="C115" s="74" t="s">
        <v>128</v>
      </c>
      <c r="D115" s="74"/>
      <c r="E115" s="75"/>
      <c r="F115" s="75"/>
      <c r="G115" s="75"/>
      <c r="H115" s="76"/>
      <c r="I115" s="76"/>
      <c r="J115" s="76"/>
      <c r="K115" s="76"/>
      <c r="L115" s="76"/>
      <c r="P115" s="88"/>
      <c r="Q115" s="88"/>
      <c r="R115" s="88"/>
    </row>
    <row r="116" ht="15" spans="3:18">
      <c r="C116" s="46" t="s">
        <v>129</v>
      </c>
      <c r="D116" s="19">
        <f>D118+D110</f>
        <v>7.7</v>
      </c>
      <c r="E116" s="19">
        <f>E118+E110</f>
        <v>8.2</v>
      </c>
      <c r="F116" s="19">
        <f>F118+F110</f>
        <v>42.7</v>
      </c>
      <c r="G116" s="19">
        <f>G118+G110</f>
        <v>62.9</v>
      </c>
      <c r="H116" s="39">
        <f ca="1">H117*H17</f>
        <v>80.45539</v>
      </c>
      <c r="I116" s="39">
        <f ca="1">I117*I17</f>
        <v>94.253489385</v>
      </c>
      <c r="J116" s="39">
        <f ca="1">J117*J17</f>
        <v>103.6788383235</v>
      </c>
      <c r="K116" s="39">
        <f ca="1">K117*K17</f>
        <v>108.862780239675</v>
      </c>
      <c r="L116" s="39">
        <f ca="1">L117*L17</f>
        <v>111.040035844468</v>
      </c>
      <c r="N116" t="s">
        <v>130</v>
      </c>
      <c r="P116" s="88"/>
      <c r="Q116" s="88"/>
      <c r="R116" s="88"/>
    </row>
    <row r="117" ht="15" spans="3:14">
      <c r="C117" s="44" t="s">
        <v>131</v>
      </c>
      <c r="D117" s="77">
        <f>D116/56.3</f>
        <v>0.136767317939609</v>
      </c>
      <c r="E117" s="77">
        <f>E116/232.9</f>
        <v>0.0352082438814942</v>
      </c>
      <c r="F117" s="77">
        <f>F116/F17</f>
        <v>0.0445673729255819</v>
      </c>
      <c r="G117" s="77">
        <f>G116/G17</f>
        <v>0.0696027442735421</v>
      </c>
      <c r="H117" s="50">
        <f>G117</f>
        <v>0.0696027442735421</v>
      </c>
      <c r="I117" s="50">
        <f>H117</f>
        <v>0.0696027442735421</v>
      </c>
      <c r="J117" s="50">
        <f>I117</f>
        <v>0.0696027442735421</v>
      </c>
      <c r="K117" s="50">
        <f>J117</f>
        <v>0.0696027442735421</v>
      </c>
      <c r="L117" s="50">
        <f>K117</f>
        <v>0.0696027442735421</v>
      </c>
      <c r="N117" t="s">
        <v>132</v>
      </c>
    </row>
    <row r="118" ht="15" spans="3:14">
      <c r="C118" s="47" t="s">
        <v>133</v>
      </c>
      <c r="D118" s="62">
        <v>19.8</v>
      </c>
      <c r="E118" s="63">
        <v>22.4</v>
      </c>
      <c r="F118" s="63">
        <f>F31</f>
        <v>63.1</v>
      </c>
      <c r="G118" s="63">
        <f>G31</f>
        <v>84.6</v>
      </c>
      <c r="H118" s="41">
        <f ca="1">-H110+H116</f>
        <v>98.9661154882812</v>
      </c>
      <c r="I118" s="41">
        <f ca="1" t="shared" ref="I118:L118" si="55">-I110+I116</f>
        <v>116.284949859671</v>
      </c>
      <c r="J118" s="41">
        <f ca="1" t="shared" si="55"/>
        <v>128.294204967304</v>
      </c>
      <c r="K118" s="41">
        <f ca="1" t="shared" si="55"/>
        <v>135.108713343417</v>
      </c>
      <c r="L118" s="41">
        <f ca="1" t="shared" si="55"/>
        <v>138.218681700589</v>
      </c>
      <c r="N118" t="s">
        <v>134</v>
      </c>
    </row>
    <row r="119" spans="3:12">
      <c r="C119" s="46"/>
      <c r="D119" s="46"/>
      <c r="E119" s="45"/>
      <c r="F119" s="45"/>
      <c r="G119" s="45"/>
      <c r="I119" s="45"/>
      <c r="J119" s="45"/>
      <c r="K119" s="45"/>
      <c r="L119" s="45"/>
    </row>
    <row r="120" ht="15" spans="1:12">
      <c r="A120" t="s">
        <v>12</v>
      </c>
      <c r="C120" s="78" t="s">
        <v>135</v>
      </c>
      <c r="D120" s="78"/>
      <c r="E120" s="13"/>
      <c r="F120" s="13"/>
      <c r="G120" s="13"/>
      <c r="I120" s="45"/>
      <c r="J120" s="45"/>
      <c r="K120" s="45"/>
      <c r="L120" s="45"/>
    </row>
    <row r="121" ht="15" spans="3:14">
      <c r="C121" s="46" t="s">
        <v>118</v>
      </c>
      <c r="D121" s="46"/>
      <c r="E121" s="45"/>
      <c r="H121" s="79">
        <f>G124</f>
        <v>5.1</v>
      </c>
      <c r="I121" s="79">
        <f ca="1">H124</f>
        <v>6.52341</v>
      </c>
      <c r="J121" s="79">
        <f ca="1">I124</f>
        <v>7.642174815</v>
      </c>
      <c r="K121" s="79">
        <f ca="1">J124</f>
        <v>8.4063922965</v>
      </c>
      <c r="L121" s="79">
        <f ca="1">K124</f>
        <v>8.826711911325</v>
      </c>
      <c r="N121" t="s">
        <v>119</v>
      </c>
    </row>
    <row r="122" spans="3:14">
      <c r="C122" s="44" t="s">
        <v>136</v>
      </c>
      <c r="D122" s="44"/>
      <c r="H122" s="19">
        <f ca="1">-(H116)</f>
        <v>-80.45539</v>
      </c>
      <c r="I122" s="19">
        <f ca="1">-(I116)</f>
        <v>-94.253489385</v>
      </c>
      <c r="J122" s="19">
        <f ca="1">-(J116)</f>
        <v>-103.6788383235</v>
      </c>
      <c r="K122" s="19">
        <f ca="1">-(K116)</f>
        <v>-108.862780239675</v>
      </c>
      <c r="L122" s="19">
        <f ca="1">-(L116)</f>
        <v>-111.040035844468</v>
      </c>
      <c r="N122" t="s">
        <v>137</v>
      </c>
    </row>
    <row r="123" ht="15" customHeight="1" spans="3:14">
      <c r="C123" s="68" t="s">
        <v>138</v>
      </c>
      <c r="D123" s="68"/>
      <c r="E123" s="80"/>
      <c r="F123" s="80"/>
      <c r="G123" s="80"/>
      <c r="H123" s="81">
        <f ca="1">H124-H122-H121</f>
        <v>81.8788</v>
      </c>
      <c r="I123" s="81">
        <f ca="1">I124-I122-I121</f>
        <v>95.3722542</v>
      </c>
      <c r="J123" s="81">
        <f ca="1">J124-J122-J121</f>
        <v>104.443055805</v>
      </c>
      <c r="K123" s="81">
        <f ca="1">K124-K122-K121</f>
        <v>109.2830998545</v>
      </c>
      <c r="L123" s="81">
        <f ca="1">L124-L122-L121</f>
        <v>111.216570082695</v>
      </c>
      <c r="N123" t="s">
        <v>139</v>
      </c>
    </row>
    <row r="124" ht="15" spans="3:14">
      <c r="C124" s="72" t="s">
        <v>124</v>
      </c>
      <c r="D124" s="62"/>
      <c r="E124" s="62"/>
      <c r="F124" s="63">
        <f t="shared" ref="F124:L124" si="56">F55</f>
        <v>6</v>
      </c>
      <c r="G124" s="63">
        <f t="shared" si="56"/>
        <v>5.1</v>
      </c>
      <c r="H124" s="63">
        <f ca="1" t="shared" si="56"/>
        <v>6.52341</v>
      </c>
      <c r="I124" s="63">
        <f ca="1" t="shared" si="56"/>
        <v>7.642174815</v>
      </c>
      <c r="J124" s="63">
        <f ca="1" t="shared" si="56"/>
        <v>8.4063922965</v>
      </c>
      <c r="K124" s="63">
        <f ca="1" t="shared" si="56"/>
        <v>8.826711911325</v>
      </c>
      <c r="L124" s="63">
        <f ca="1" t="shared" si="56"/>
        <v>9.0032461495515</v>
      </c>
      <c r="N124" t="s">
        <v>140</v>
      </c>
    </row>
    <row r="125" spans="3:12">
      <c r="C125" s="44"/>
      <c r="D125" s="44"/>
      <c r="F125" s="45"/>
      <c r="G125" s="45"/>
      <c r="I125" s="45"/>
      <c r="J125" s="45"/>
      <c r="K125" s="45"/>
      <c r="L125" s="45"/>
    </row>
    <row r="126" ht="15" spans="1:12">
      <c r="A126" t="s">
        <v>12</v>
      </c>
      <c r="C126" s="82" t="s">
        <v>141</v>
      </c>
      <c r="D126" s="82"/>
      <c r="E126" s="78"/>
      <c r="F126" s="78"/>
      <c r="G126" s="78"/>
      <c r="H126" s="13"/>
      <c r="I126" s="13"/>
      <c r="J126" s="13"/>
      <c r="K126" s="13"/>
      <c r="L126" s="13"/>
    </row>
    <row r="127" spans="3:14">
      <c r="C127" s="46" t="s">
        <v>118</v>
      </c>
      <c r="D127" s="46"/>
      <c r="G127" s="19">
        <f t="shared" ref="G127:H127" si="57">F131</f>
        <v>405.1</v>
      </c>
      <c r="H127" s="19">
        <f t="shared" si="57"/>
        <v>484.8</v>
      </c>
      <c r="I127" s="19">
        <f ca="1" t="shared" ref="I127" si="58">H131</f>
        <v>634.997685416276</v>
      </c>
      <c r="J127" s="19">
        <f ca="1" t="shared" ref="J127" si="59">I131</f>
        <v>818.662439725949</v>
      </c>
      <c r="K127" s="19">
        <f ca="1" t="shared" ref="K127" si="60">J131</f>
        <v>1023.20554129218</v>
      </c>
      <c r="L127" s="19">
        <f ca="1" t="shared" ref="L127" si="61">K131</f>
        <v>1236.65899112753</v>
      </c>
      <c r="N127" t="s">
        <v>119</v>
      </c>
    </row>
    <row r="128" ht="15" spans="3:14">
      <c r="C128" s="44" t="s">
        <v>142</v>
      </c>
      <c r="D128" s="61"/>
      <c r="E128" s="61"/>
      <c r="F128" s="61">
        <f>F29</f>
        <v>151.7</v>
      </c>
      <c r="G128" s="39">
        <f>G29</f>
        <v>70.2</v>
      </c>
      <c r="H128" s="39">
        <f ca="1">H29</f>
        <v>140.697685416276</v>
      </c>
      <c r="I128" s="39">
        <f ca="1" t="shared" ref="I128:L128" si="62">I29</f>
        <v>174.164754309673</v>
      </c>
      <c r="J128" s="39">
        <f ca="1" t="shared" si="62"/>
        <v>195.043101566235</v>
      </c>
      <c r="K128" s="39">
        <f ca="1" t="shared" si="62"/>
        <v>203.953449835344</v>
      </c>
      <c r="L128" s="39">
        <f ca="1" t="shared" si="62"/>
        <v>204.534880806979</v>
      </c>
      <c r="N128" t="s">
        <v>143</v>
      </c>
    </row>
    <row r="129" ht="15" spans="3:14">
      <c r="C129" s="44" t="s">
        <v>144</v>
      </c>
      <c r="D129" s="42"/>
      <c r="E129" s="42"/>
      <c r="F129" s="42"/>
      <c r="G129" s="21">
        <v>5.8</v>
      </c>
      <c r="H129" s="19">
        <f>G129</f>
        <v>5.8</v>
      </c>
      <c r="I129" s="19">
        <f t="shared" ref="I129:L129" si="63">H129</f>
        <v>5.8</v>
      </c>
      <c r="J129" s="19">
        <f t="shared" si="63"/>
        <v>5.8</v>
      </c>
      <c r="K129" s="19">
        <f t="shared" si="63"/>
        <v>5.8</v>
      </c>
      <c r="L129" s="19">
        <f t="shared" si="63"/>
        <v>5.8</v>
      </c>
      <c r="N129" t="s">
        <v>145</v>
      </c>
    </row>
    <row r="130" ht="15" spans="3:14">
      <c r="C130" s="68" t="s">
        <v>146</v>
      </c>
      <c r="D130" s="70"/>
      <c r="E130" s="70"/>
      <c r="F130" s="70"/>
      <c r="G130" s="69">
        <v>3.7</v>
      </c>
      <c r="H130" s="71">
        <f>G130</f>
        <v>3.7</v>
      </c>
      <c r="I130" s="71">
        <f t="shared" ref="I130:L130" si="64">H130</f>
        <v>3.7</v>
      </c>
      <c r="J130" s="71">
        <f t="shared" si="64"/>
        <v>3.7</v>
      </c>
      <c r="K130" s="71">
        <f t="shared" si="64"/>
        <v>3.7</v>
      </c>
      <c r="L130" s="71">
        <f t="shared" si="64"/>
        <v>3.7</v>
      </c>
      <c r="N130" t="s">
        <v>145</v>
      </c>
    </row>
    <row r="131" ht="15" spans="3:14">
      <c r="C131" s="72" t="s">
        <v>124</v>
      </c>
      <c r="D131" s="43"/>
      <c r="E131" s="43"/>
      <c r="F131" s="43">
        <f>F74</f>
        <v>405.1</v>
      </c>
      <c r="G131" s="41">
        <f>G74</f>
        <v>484.8</v>
      </c>
      <c r="H131" s="41">
        <f ca="1">SUM(H127:H130)</f>
        <v>634.997685416276</v>
      </c>
      <c r="I131" s="41">
        <f ca="1" t="shared" ref="I131:L131" si="65">SUM(I127:I130)</f>
        <v>818.662439725949</v>
      </c>
      <c r="J131" s="41">
        <f ca="1" t="shared" si="65"/>
        <v>1023.20554129218</v>
      </c>
      <c r="K131" s="41">
        <f ca="1" t="shared" si="65"/>
        <v>1236.65899112753</v>
      </c>
      <c r="L131" s="41">
        <f ca="1" t="shared" si="65"/>
        <v>1450.69387193451</v>
      </c>
      <c r="N131" t="s">
        <v>147</v>
      </c>
    </row>
    <row r="132" spans="6:7">
      <c r="F132" s="66"/>
      <c r="G132" s="66"/>
    </row>
    <row r="133" spans="5:20">
      <c r="E133" s="45"/>
      <c r="F133" s="45"/>
      <c r="G133" s="83"/>
      <c r="H133" s="84"/>
      <c r="I133" s="84"/>
      <c r="J133" s="84"/>
      <c r="K133" s="84"/>
      <c r="L133" s="84"/>
      <c r="T133" s="66"/>
    </row>
    <row r="134" ht="15" spans="1:19">
      <c r="A134" t="s">
        <v>12</v>
      </c>
      <c r="C134" s="34" t="s">
        <v>148</v>
      </c>
      <c r="D134" s="34"/>
      <c r="E134" s="75"/>
      <c r="F134" s="75"/>
      <c r="G134" s="75"/>
      <c r="H134" s="85"/>
      <c r="I134" s="85"/>
      <c r="J134" s="85"/>
      <c r="K134" s="85"/>
      <c r="L134" s="85"/>
      <c r="S134" s="89"/>
    </row>
    <row r="135" ht="15" spans="3:20">
      <c r="C135" s="53" t="str">
        <f>C14</f>
        <v>Fiscal year  </v>
      </c>
      <c r="D135" s="53"/>
      <c r="E135" s="54"/>
      <c r="F135" s="54">
        <f t="shared" ref="F135:L136" si="66">F14</f>
        <v>2020</v>
      </c>
      <c r="G135" s="54">
        <f t="shared" si="66"/>
        <v>2021</v>
      </c>
      <c r="H135" s="55">
        <f t="shared" si="66"/>
        <v>2022</v>
      </c>
      <c r="I135" s="55">
        <f t="shared" si="66"/>
        <v>2023</v>
      </c>
      <c r="J135" s="55">
        <f t="shared" si="66"/>
        <v>2024</v>
      </c>
      <c r="K135" s="55">
        <f t="shared" si="66"/>
        <v>2025</v>
      </c>
      <c r="L135" s="55">
        <f t="shared" si="66"/>
        <v>2026</v>
      </c>
      <c r="S135" s="89"/>
      <c r="T135" s="66"/>
    </row>
    <row r="136" ht="15" spans="3:19">
      <c r="C136" s="13" t="str">
        <f>C15</f>
        <v>Fiscal year end date</v>
      </c>
      <c r="D136" s="13"/>
      <c r="E136" s="56"/>
      <c r="F136" s="56">
        <f t="shared" si="66"/>
        <v>43921</v>
      </c>
      <c r="G136" s="56">
        <f t="shared" si="66"/>
        <v>44283</v>
      </c>
      <c r="H136" s="56">
        <f t="shared" si="66"/>
        <v>44651</v>
      </c>
      <c r="I136" s="56">
        <f t="shared" si="66"/>
        <v>45016</v>
      </c>
      <c r="J136" s="56">
        <f t="shared" si="66"/>
        <v>45382</v>
      </c>
      <c r="K136" s="56">
        <f t="shared" si="66"/>
        <v>45747</v>
      </c>
      <c r="L136" s="56">
        <f t="shared" si="66"/>
        <v>46112</v>
      </c>
      <c r="S136" s="89"/>
    </row>
    <row r="137" ht="15" spans="3:19">
      <c r="C137" s="44"/>
      <c r="D137" s="44"/>
      <c r="E137" s="45"/>
      <c r="F137" s="45"/>
      <c r="G137" s="45"/>
      <c r="H137" s="86"/>
      <c r="I137" s="86"/>
      <c r="J137" s="86"/>
      <c r="K137" s="86"/>
      <c r="L137" s="86"/>
      <c r="S137" s="89"/>
    </row>
    <row r="138" spans="3:19">
      <c r="C138" s="46" t="s">
        <v>149</v>
      </c>
      <c r="D138" s="45"/>
      <c r="E138" s="45"/>
      <c r="F138" s="19">
        <f>-(F24)</f>
        <v>21</v>
      </c>
      <c r="G138" s="19">
        <f>-(G24)</f>
        <v>27.2</v>
      </c>
      <c r="H138" s="19">
        <f ca="1">H143+H148</f>
        <v>34.5672207280426</v>
      </c>
      <c r="I138" s="19">
        <f ca="1">I143+I148</f>
        <v>34.8547648924338</v>
      </c>
      <c r="J138" s="19">
        <f ca="1">J143+J148</f>
        <v>35.0752077059364</v>
      </c>
      <c r="K138" s="19">
        <f ca="1">K143+K148</f>
        <v>35.2208772788077</v>
      </c>
      <c r="L138" s="19">
        <f ca="1">L143+L148</f>
        <v>35.2983562498851</v>
      </c>
      <c r="N138" t="s">
        <v>150</v>
      </c>
      <c r="S138" s="66"/>
    </row>
    <row r="139" ht="15" spans="3:19">
      <c r="C139" s="90"/>
      <c r="D139" s="90"/>
      <c r="S139" s="66"/>
    </row>
    <row r="140" ht="15" spans="1:19">
      <c r="A140" t="s">
        <v>12</v>
      </c>
      <c r="C140" s="91" t="s">
        <v>151</v>
      </c>
      <c r="D140" s="91"/>
      <c r="S140" s="66"/>
    </row>
    <row r="141" ht="15" spans="3:14">
      <c r="C141" s="44" t="s">
        <v>152</v>
      </c>
      <c r="D141" s="44"/>
      <c r="E141" s="92"/>
      <c r="F141" s="92">
        <f ca="1">F143/F142</f>
        <v>0.0218</v>
      </c>
      <c r="G141" s="92">
        <f ca="1">G143/G142</f>
        <v>0</v>
      </c>
      <c r="H141" s="93">
        <f ca="1">AVERAGE(F141:G141)</f>
        <v>0.0109</v>
      </c>
      <c r="I141" s="93">
        <f ca="1">H141</f>
        <v>0.0109</v>
      </c>
      <c r="J141" s="93">
        <f ca="1">I141</f>
        <v>0.0109</v>
      </c>
      <c r="K141" s="93">
        <f ca="1">J141</f>
        <v>0.0109</v>
      </c>
      <c r="L141" s="93">
        <f ca="1">K141</f>
        <v>0.0109</v>
      </c>
      <c r="N141" t="s">
        <v>153</v>
      </c>
    </row>
    <row r="142" spans="3:14">
      <c r="C142" s="44" t="s">
        <v>154</v>
      </c>
      <c r="D142" s="68"/>
      <c r="E142" s="94"/>
      <c r="F142" s="71">
        <f t="shared" ref="F142:L142" si="67">SUM(F61:F62)</f>
        <v>35.9</v>
      </c>
      <c r="G142" s="71">
        <f t="shared" si="67"/>
        <v>45.2</v>
      </c>
      <c r="H142" s="71">
        <f ca="1" t="shared" si="67"/>
        <v>57.81532</v>
      </c>
      <c r="I142" s="71">
        <f ca="1" t="shared" si="67"/>
        <v>67.73064738</v>
      </c>
      <c r="J142" s="71">
        <f ca="1" t="shared" si="67"/>
        <v>74.503712118</v>
      </c>
      <c r="K142" s="71">
        <f ca="1" t="shared" si="67"/>
        <v>78.2288977239</v>
      </c>
      <c r="L142" s="71">
        <f ca="1" t="shared" si="67"/>
        <v>79.793475678378</v>
      </c>
      <c r="N142" t="s">
        <v>155</v>
      </c>
    </row>
    <row r="143" ht="15" spans="3:14">
      <c r="C143" s="95" t="s">
        <v>156</v>
      </c>
      <c r="D143" s="96"/>
      <c r="E143" s="62"/>
      <c r="F143" s="63">
        <f ca="1">AVERAGE(E142:F142)*F141</f>
        <v>0.78262</v>
      </c>
      <c r="G143" s="63">
        <f ca="1">AVERAGE(F142:G142)*G141</f>
        <v>0</v>
      </c>
      <c r="H143" s="97">
        <f ca="1">IF($D$7=1,AVERAGE(G142,H142)*H141,0)</f>
        <v>0.561433494</v>
      </c>
      <c r="I143" s="97">
        <f ca="1" t="shared" ref="I143:L143" si="68">IF($D$7=1,AVERAGE(H142,I142)*I141,0)</f>
        <v>0.684225522221</v>
      </c>
      <c r="J143" s="97">
        <f ca="1" t="shared" si="68"/>
        <v>0.7751772592641</v>
      </c>
      <c r="K143" s="97">
        <f ca="1" t="shared" si="68"/>
        <v>0.832392723638355</v>
      </c>
      <c r="L143" s="97">
        <f ca="1" t="shared" si="68"/>
        <v>0.861221935042415</v>
      </c>
      <c r="N143" t="s">
        <v>157</v>
      </c>
    </row>
    <row r="144" spans="3:7">
      <c r="C144" s="98"/>
      <c r="D144" s="98"/>
      <c r="E144" s="45"/>
      <c r="F144" s="45"/>
      <c r="G144" s="45"/>
    </row>
    <row r="145" ht="15" spans="1:7">
      <c r="A145" t="s">
        <v>12</v>
      </c>
      <c r="C145" s="91" t="s">
        <v>109</v>
      </c>
      <c r="D145" s="91"/>
      <c r="E145" s="45"/>
      <c r="F145" s="45"/>
      <c r="G145" s="45"/>
    </row>
    <row r="146" spans="3:14">
      <c r="C146" s="44" t="s">
        <v>154</v>
      </c>
      <c r="D146" s="44"/>
      <c r="E146" s="45"/>
      <c r="F146" s="19">
        <f t="shared" ref="F146:L146" si="69">SUM(F67:F70)</f>
        <v>704.8</v>
      </c>
      <c r="G146" s="19">
        <f t="shared" si="69"/>
        <v>1175.2</v>
      </c>
      <c r="H146" s="19">
        <f ca="1" t="shared" si="69"/>
        <v>1180.89364</v>
      </c>
      <c r="I146" s="19">
        <f ca="1" t="shared" si="69"/>
        <v>1185.36869926</v>
      </c>
      <c r="J146" s="19">
        <f ca="1" t="shared" si="69"/>
        <v>1188.425569186</v>
      </c>
      <c r="K146" s="19">
        <f ca="1" t="shared" si="69"/>
        <v>1190.1068476453</v>
      </c>
      <c r="L146" s="19">
        <f ca="1" t="shared" si="69"/>
        <v>1190.81298459821</v>
      </c>
      <c r="N146" t="s">
        <v>158</v>
      </c>
    </row>
    <row r="147" ht="15" spans="3:19">
      <c r="C147" s="44" t="s">
        <v>152</v>
      </c>
      <c r="D147" s="44"/>
      <c r="E147" s="77"/>
      <c r="F147" s="77">
        <f ca="1" t="shared" ref="F147:G147" si="70">F148/AVERAGE(E146:F146)</f>
        <v>0.0286852724177071</v>
      </c>
      <c r="G147" s="77">
        <f ca="1" t="shared" si="70"/>
        <v>0.028936170212766</v>
      </c>
      <c r="H147" s="99">
        <f ca="1">G147</f>
        <v>0.028936170212766</v>
      </c>
      <c r="I147" s="99">
        <f ca="1">H147</f>
        <v>0.028936170212766</v>
      </c>
      <c r="J147" s="99">
        <f ca="1">I147</f>
        <v>0.028936170212766</v>
      </c>
      <c r="K147" s="99">
        <f ca="1">J147</f>
        <v>0.028936170212766</v>
      </c>
      <c r="L147" s="99">
        <f ca="1">K147</f>
        <v>0.028936170212766</v>
      </c>
      <c r="N147" t="s">
        <v>159</v>
      </c>
      <c r="S147" s="89"/>
    </row>
    <row r="148" ht="15" spans="3:14">
      <c r="C148" s="72" t="s">
        <v>160</v>
      </c>
      <c r="D148" s="72"/>
      <c r="E148" s="62"/>
      <c r="F148" s="63">
        <f ca="1">F138-F143</f>
        <v>20.21738</v>
      </c>
      <c r="G148" s="63">
        <f ca="1">G138-G143</f>
        <v>27.2</v>
      </c>
      <c r="H148" s="41">
        <f ca="1">AVERAGE(G147,H147)*G146</f>
        <v>34.0057872340426</v>
      </c>
      <c r="I148" s="41">
        <f ca="1" t="shared" ref="I148:L148" si="71">AVERAGE(H147,I147)*H146</f>
        <v>34.1705393702128</v>
      </c>
      <c r="J148" s="41">
        <f ca="1" t="shared" si="71"/>
        <v>34.3000304466723</v>
      </c>
      <c r="K148" s="41">
        <f ca="1" t="shared" si="71"/>
        <v>34.3884845551694</v>
      </c>
      <c r="L148" s="41">
        <f ca="1" t="shared" si="71"/>
        <v>34.4371343148427</v>
      </c>
      <c r="N148" t="s">
        <v>161</v>
      </c>
    </row>
    <row r="149" spans="6:6">
      <c r="F149" s="45"/>
    </row>
    <row r="150" ht="15" spans="3:7">
      <c r="C150" s="90" t="s">
        <v>162</v>
      </c>
      <c r="D150" s="90"/>
      <c r="F150" s="45"/>
      <c r="G150" s="45"/>
    </row>
    <row r="151" ht="15" customHeight="1" spans="3:14">
      <c r="C151" s="44" t="s">
        <v>163</v>
      </c>
      <c r="D151" s="100"/>
      <c r="E151" s="92"/>
      <c r="F151" s="92"/>
      <c r="G151" s="92">
        <f>G152/(AVERAGE(F45,G45))</f>
        <v>0.00274725274725275</v>
      </c>
      <c r="H151" s="101">
        <f>G151</f>
        <v>0.00274725274725275</v>
      </c>
      <c r="I151" s="101">
        <f>H151</f>
        <v>0.00274725274725275</v>
      </c>
      <c r="J151" s="101">
        <f>I151</f>
        <v>0.00274725274725275</v>
      </c>
      <c r="K151" s="101">
        <f>J151</f>
        <v>0.00274725274725275</v>
      </c>
      <c r="L151" s="101">
        <f>K151</f>
        <v>0.00274725274725275</v>
      </c>
      <c r="N151" t="s">
        <v>159</v>
      </c>
    </row>
    <row r="152" ht="15" customHeight="1" spans="3:14">
      <c r="C152" s="44" t="s">
        <v>29</v>
      </c>
      <c r="D152" s="45"/>
      <c r="E152" s="45"/>
      <c r="F152" s="19">
        <f>F23</f>
        <v>0.4</v>
      </c>
      <c r="G152" s="19">
        <f>G23</f>
        <v>0.7</v>
      </c>
      <c r="H152" s="39">
        <f ca="1">IF($D$7=1,AVERAGE(G45,H45)*H151,0)</f>
        <v>1.30034701498112</v>
      </c>
      <c r="I152" s="39">
        <f ca="1" t="shared" ref="I152:L152" si="72">IF($D$7=1,AVERAGE(H45,I45)*I151,0)</f>
        <v>1.37033540060598</v>
      </c>
      <c r="J152" s="39">
        <f ca="1" t="shared" si="72"/>
        <v>1.62092540235498</v>
      </c>
      <c r="K152" s="39">
        <f ca="1" t="shared" si="72"/>
        <v>2.02415290056137</v>
      </c>
      <c r="L152" s="39">
        <f ca="1" t="shared" si="72"/>
        <v>2.53434140945812</v>
      </c>
      <c r="N152" t="s">
        <v>164</v>
      </c>
    </row>
    <row r="153" ht="15" spans="3:12">
      <c r="C153" s="102"/>
      <c r="D153" s="102"/>
      <c r="E153" s="77"/>
      <c r="F153" s="77"/>
      <c r="G153" s="77"/>
      <c r="H153" s="71"/>
      <c r="I153" s="71"/>
      <c r="J153" s="71"/>
      <c r="K153" s="71"/>
      <c r="L153" s="71"/>
    </row>
    <row r="154" ht="15" spans="14:14">
      <c r="N154" s="49"/>
    </row>
    <row r="155" ht="15" spans="1:12">
      <c r="A155" t="s">
        <v>12</v>
      </c>
      <c r="C155" s="34" t="s">
        <v>165</v>
      </c>
      <c r="D155" s="34"/>
      <c r="E155" s="34"/>
      <c r="F155" s="34"/>
      <c r="G155" s="34"/>
      <c r="H155" s="34"/>
      <c r="I155" s="34"/>
      <c r="J155" s="34"/>
      <c r="K155" s="34"/>
      <c r="L155" s="34"/>
    </row>
    <row r="156" ht="15"/>
    <row r="157" ht="15.75" spans="3:12">
      <c r="C157" t="s">
        <v>166</v>
      </c>
      <c r="D157" s="103" t="str">
        <f>L5</f>
        <v>Base case</v>
      </c>
      <c r="G157" s="104" t="s">
        <v>167</v>
      </c>
      <c r="H157" s="55">
        <f t="shared" ref="H157:L158" si="73">H14</f>
        <v>2022</v>
      </c>
      <c r="I157" s="55">
        <f t="shared" si="73"/>
        <v>2023</v>
      </c>
      <c r="J157" s="55">
        <f t="shared" si="73"/>
        <v>2024</v>
      </c>
      <c r="K157" s="55">
        <f t="shared" si="73"/>
        <v>2025</v>
      </c>
      <c r="L157" s="55">
        <f t="shared" si="73"/>
        <v>2026</v>
      </c>
    </row>
    <row r="158" ht="15" spans="7:12">
      <c r="G158" s="105" t="s">
        <v>168</v>
      </c>
      <c r="H158" s="56">
        <f t="shared" si="73"/>
        <v>44651</v>
      </c>
      <c r="I158" s="56">
        <f t="shared" si="73"/>
        <v>45016</v>
      </c>
      <c r="J158" s="56">
        <f t="shared" si="73"/>
        <v>45382</v>
      </c>
      <c r="K158" s="56">
        <f t="shared" si="73"/>
        <v>45747</v>
      </c>
      <c r="L158" s="56">
        <f t="shared" si="73"/>
        <v>46112</v>
      </c>
    </row>
    <row r="159" spans="3:12">
      <c r="C159" s="44" t="s">
        <v>49</v>
      </c>
      <c r="G159" s="106" t="str">
        <f ca="1" t="shared" ref="G159:L159" si="74">OFFSET(G$164,MATCH($L$5,$C$165:$C$167,0)+MATCH($C159,$C$164:$C$179,0)-1,0)</f>
        <v>NM</v>
      </c>
      <c r="H159" s="73">
        <f ca="1" t="shared" si="74"/>
        <v>0.2791</v>
      </c>
      <c r="I159" s="73">
        <f ca="1" t="shared" si="74"/>
        <v>0.1715</v>
      </c>
      <c r="J159" s="73">
        <f ca="1" t="shared" si="74"/>
        <v>0.1</v>
      </c>
      <c r="K159" s="73">
        <f ca="1" t="shared" si="74"/>
        <v>0.05</v>
      </c>
      <c r="L159" s="73">
        <f ca="1" t="shared" si="74"/>
        <v>0.02</v>
      </c>
    </row>
    <row r="160" spans="3:12">
      <c r="C160" s="44" t="s">
        <v>52</v>
      </c>
      <c r="G160" s="106" t="str">
        <f ca="1">OFFSET(G$164,MATCH($L$5,$C$165:$C$167,0)+MATCH($C160,$C$164:$C$179,0)-1,0)</f>
        <v>NM</v>
      </c>
      <c r="H160" s="73">
        <f ca="1">OFFSET(H$164,MATCH($L$5,$C$169:$C$171,0)+MATCH($C160,$C$164:$C$179,0)-1,0)</f>
        <v>0.613</v>
      </c>
      <c r="I160" s="73">
        <f ca="1">OFFSET(I$164,MATCH($L$5,$C$169:$C$171,0)+MATCH($C160,$C$164:$C$179,0)-1,0)</f>
        <v>0.613</v>
      </c>
      <c r="J160" s="73">
        <f ca="1">OFFSET(J$164,MATCH($L$5,$C$169:$C$171,0)+MATCH($C160,$C$164:$C$179,0)-1,0)</f>
        <v>0.613</v>
      </c>
      <c r="K160" s="73">
        <f ca="1">OFFSET(K$164,MATCH($L$5,$C$169:$C$171,0)+MATCH($C160,$C$164:$C$179,0)-1,0)</f>
        <v>0.613</v>
      </c>
      <c r="L160" s="73">
        <f ca="1">OFFSET(L$164,MATCH($L$5,$C$169:$C$171,0)+MATCH($C160,$C$164:$C$179,0)-1,0)</f>
        <v>0.613</v>
      </c>
    </row>
    <row r="161" spans="3:12">
      <c r="C161" s="44" t="s">
        <v>54</v>
      </c>
      <c r="G161" s="106" t="str">
        <f ca="1">OFFSET(G$164,MATCH($L$5,$C$165:$C$167,0)+MATCH($C161,$C$164:$C$179,0)-1,0)</f>
        <v>NM</v>
      </c>
      <c r="H161" s="73">
        <f ca="1" t="shared" ref="H161:L162" si="75">OFFSET(H$164,MATCH($L$5,$C$165:$C$167,0)+MATCH($C161,$C$164:$C$179,0)-1,0)</f>
        <v>0.52</v>
      </c>
      <c r="I161" s="73">
        <f ca="1" t="shared" si="75"/>
        <v>0.52</v>
      </c>
      <c r="J161" s="73">
        <f ca="1" t="shared" si="75"/>
        <v>0.52</v>
      </c>
      <c r="K161" s="73">
        <f ca="1" t="shared" si="75"/>
        <v>0.52</v>
      </c>
      <c r="L161" s="73">
        <f ca="1" t="shared" si="75"/>
        <v>0.52</v>
      </c>
    </row>
    <row r="162" spans="3:12">
      <c r="C162" s="44" t="s">
        <v>55</v>
      </c>
      <c r="G162" s="106" t="str">
        <f ca="1">OFFSET(G$164,MATCH($L$5,$C$165:$C$167,0)+MATCH($C162,$C$164:$C$179,0)-1,0)</f>
        <v>NM</v>
      </c>
      <c r="H162" s="73">
        <f ca="1" t="shared" si="75"/>
        <v>0.3787</v>
      </c>
      <c r="I162" s="73">
        <f ca="1" t="shared" si="75"/>
        <v>0.3787</v>
      </c>
      <c r="J162" s="73">
        <f ca="1" t="shared" si="75"/>
        <v>0.3787</v>
      </c>
      <c r="K162" s="73">
        <f ca="1" t="shared" si="75"/>
        <v>0.3787</v>
      </c>
      <c r="L162" s="73">
        <f ca="1" t="shared" si="75"/>
        <v>0.3787</v>
      </c>
    </row>
    <row r="163" spans="7:7">
      <c r="G163" s="107"/>
    </row>
    <row r="164" ht="15" spans="3:7">
      <c r="C164" s="72" t="s">
        <v>49</v>
      </c>
      <c r="G164" s="107"/>
    </row>
    <row r="165" ht="15" spans="3:12">
      <c r="C165" s="98" t="s">
        <v>169</v>
      </c>
      <c r="G165" s="108">
        <v>0.05</v>
      </c>
      <c r="H165" s="50">
        <f>H166+$G$165</f>
        <v>0.3291</v>
      </c>
      <c r="I165" s="50">
        <f t="shared" ref="I165:L165" si="76">I166+$G$165</f>
        <v>0.2215</v>
      </c>
      <c r="J165" s="50">
        <f t="shared" si="76"/>
        <v>0.15</v>
      </c>
      <c r="K165" s="50">
        <f t="shared" si="76"/>
        <v>0.1</v>
      </c>
      <c r="L165" s="50">
        <f t="shared" si="76"/>
        <v>0.07</v>
      </c>
    </row>
    <row r="166" ht="15" spans="3:12">
      <c r="C166" s="98" t="s">
        <v>4</v>
      </c>
      <c r="G166" s="109" t="s">
        <v>170</v>
      </c>
      <c r="H166" s="60">
        <v>0.2791</v>
      </c>
      <c r="I166" s="60">
        <v>0.1715</v>
      </c>
      <c r="J166" s="60">
        <f>10%</f>
        <v>0.1</v>
      </c>
      <c r="K166" s="60">
        <v>0.05</v>
      </c>
      <c r="L166" s="60">
        <v>0.02</v>
      </c>
    </row>
    <row r="167" ht="15" spans="3:12">
      <c r="C167" s="98" t="s">
        <v>171</v>
      </c>
      <c r="G167" s="108">
        <v>-0.05</v>
      </c>
      <c r="H167" s="50">
        <f>H166+$G$167</f>
        <v>0.2291</v>
      </c>
      <c r="I167" s="50">
        <f t="shared" ref="I167:L167" si="77">I166+$G$167</f>
        <v>0.1215</v>
      </c>
      <c r="J167" s="50">
        <f t="shared" si="77"/>
        <v>0.05</v>
      </c>
      <c r="K167" s="50">
        <f t="shared" si="77"/>
        <v>0</v>
      </c>
      <c r="L167" s="50">
        <f t="shared" si="77"/>
        <v>-0.03</v>
      </c>
    </row>
    <row r="168" ht="15" spans="3:12">
      <c r="C168" s="72" t="s">
        <v>52</v>
      </c>
      <c r="G168" s="109"/>
      <c r="H168" s="60"/>
      <c r="I168" s="60"/>
      <c r="J168" s="60"/>
      <c r="K168" s="60"/>
      <c r="L168" s="60"/>
    </row>
    <row r="169" ht="15" spans="3:12">
      <c r="C169" s="98" t="s">
        <v>169</v>
      </c>
      <c r="G169" s="108">
        <v>0.01</v>
      </c>
      <c r="H169" s="50">
        <f>H170+$G$169</f>
        <v>0.623</v>
      </c>
      <c r="I169" s="50">
        <f t="shared" ref="I169:L169" si="78">I170+$G$169</f>
        <v>0.623</v>
      </c>
      <c r="J169" s="50">
        <f t="shared" si="78"/>
        <v>0.623</v>
      </c>
      <c r="K169" s="50">
        <f t="shared" si="78"/>
        <v>0.623</v>
      </c>
      <c r="L169" s="50">
        <f t="shared" si="78"/>
        <v>0.623</v>
      </c>
    </row>
    <row r="170" ht="15" spans="3:12">
      <c r="C170" s="98" t="s">
        <v>4</v>
      </c>
      <c r="G170" s="109" t="s">
        <v>170</v>
      </c>
      <c r="H170" s="60">
        <v>0.613</v>
      </c>
      <c r="I170" s="60">
        <v>0.613</v>
      </c>
      <c r="J170" s="60">
        <v>0.613</v>
      </c>
      <c r="K170" s="60">
        <v>0.613</v>
      </c>
      <c r="L170" s="60">
        <v>0.613</v>
      </c>
    </row>
    <row r="171" ht="15" spans="3:12">
      <c r="C171" s="98" t="s">
        <v>171</v>
      </c>
      <c r="G171" s="108">
        <v>-0.01</v>
      </c>
      <c r="H171" s="50">
        <f>H170+$G$171</f>
        <v>0.603</v>
      </c>
      <c r="I171" s="50">
        <f t="shared" ref="I171:L171" si="79">I170+$G$171</f>
        <v>0.603</v>
      </c>
      <c r="J171" s="50">
        <f t="shared" si="79"/>
        <v>0.603</v>
      </c>
      <c r="K171" s="50">
        <f t="shared" si="79"/>
        <v>0.603</v>
      </c>
      <c r="L171" s="50">
        <f t="shared" si="79"/>
        <v>0.603</v>
      </c>
    </row>
    <row r="172" ht="15" spans="3:12">
      <c r="C172" s="72" t="s">
        <v>54</v>
      </c>
      <c r="G172" s="109"/>
      <c r="H172" s="110"/>
      <c r="I172" s="110"/>
      <c r="J172" s="110"/>
      <c r="K172" s="110"/>
      <c r="L172" s="110"/>
    </row>
    <row r="173" ht="15" spans="3:12">
      <c r="C173" s="98" t="s">
        <v>169</v>
      </c>
      <c r="G173" s="108">
        <v>-0.05</v>
      </c>
      <c r="H173" s="50">
        <f>H174+$G$173</f>
        <v>0.47</v>
      </c>
      <c r="I173" s="50">
        <f t="shared" ref="I173:L173" si="80">I174+$G$173</f>
        <v>0.47</v>
      </c>
      <c r="J173" s="50">
        <f t="shared" si="80"/>
        <v>0.47</v>
      </c>
      <c r="K173" s="50">
        <f t="shared" si="80"/>
        <v>0.47</v>
      </c>
      <c r="L173" s="50">
        <f t="shared" si="80"/>
        <v>0.47</v>
      </c>
    </row>
    <row r="174" ht="15" spans="3:12">
      <c r="C174" s="98" t="s">
        <v>4</v>
      </c>
      <c r="G174" s="109" t="s">
        <v>170</v>
      </c>
      <c r="H174" s="60">
        <v>0.52</v>
      </c>
      <c r="I174" s="60">
        <v>0.52</v>
      </c>
      <c r="J174" s="60">
        <v>0.52</v>
      </c>
      <c r="K174" s="60">
        <v>0.52</v>
      </c>
      <c r="L174" s="60">
        <v>0.52</v>
      </c>
    </row>
    <row r="175" ht="15" spans="3:12">
      <c r="C175" s="98" t="s">
        <v>171</v>
      </c>
      <c r="G175" s="108">
        <v>0.05</v>
      </c>
      <c r="H175" s="50">
        <f>H174+$G$175</f>
        <v>0.57</v>
      </c>
      <c r="I175" s="50">
        <f t="shared" ref="I175:L175" si="81">I174+$G$175</f>
        <v>0.57</v>
      </c>
      <c r="J175" s="50">
        <f t="shared" si="81"/>
        <v>0.57</v>
      </c>
      <c r="K175" s="50">
        <f t="shared" si="81"/>
        <v>0.57</v>
      </c>
      <c r="L175" s="50">
        <f t="shared" si="81"/>
        <v>0.57</v>
      </c>
    </row>
    <row r="176" ht="15" spans="3:12">
      <c r="C176" s="72" t="s">
        <v>55</v>
      </c>
      <c r="G176" s="109"/>
      <c r="H176" s="110"/>
      <c r="I176" s="110"/>
      <c r="J176" s="110"/>
      <c r="K176" s="110"/>
      <c r="L176" s="110"/>
    </row>
    <row r="177" ht="15" spans="3:12">
      <c r="C177" s="98" t="s">
        <v>169</v>
      </c>
      <c r="G177" s="108">
        <v>-0.02</v>
      </c>
      <c r="H177" s="50">
        <f>H178+$G$177</f>
        <v>0.3587</v>
      </c>
      <c r="I177" s="50">
        <f t="shared" ref="I177:L177" si="82">I178+$G$177</f>
        <v>0.3587</v>
      </c>
      <c r="J177" s="50">
        <f t="shared" si="82"/>
        <v>0.3587</v>
      </c>
      <c r="K177" s="50">
        <f t="shared" si="82"/>
        <v>0.3587</v>
      </c>
      <c r="L177" s="50">
        <f t="shared" si="82"/>
        <v>0.3587</v>
      </c>
    </row>
    <row r="178" ht="15" spans="3:12">
      <c r="C178" s="98" t="s">
        <v>4</v>
      </c>
      <c r="G178" s="109" t="s">
        <v>170</v>
      </c>
      <c r="H178" s="60">
        <v>0.3787</v>
      </c>
      <c r="I178" s="60">
        <v>0.3787</v>
      </c>
      <c r="J178" s="60">
        <v>0.3787</v>
      </c>
      <c r="K178" s="60">
        <v>0.3787</v>
      </c>
      <c r="L178" s="60">
        <v>0.3787</v>
      </c>
    </row>
    <row r="179" ht="15.75" spans="3:12">
      <c r="C179" s="98" t="s">
        <v>171</v>
      </c>
      <c r="G179" s="111">
        <v>0.02</v>
      </c>
      <c r="H179" s="50">
        <f>H178+$G$179</f>
        <v>0.3987</v>
      </c>
      <c r="I179" s="50">
        <f t="shared" ref="I179:L179" si="83">I178+$G$179</f>
        <v>0.3987</v>
      </c>
      <c r="J179" s="50">
        <f t="shared" si="83"/>
        <v>0.3987</v>
      </c>
      <c r="K179" s="50">
        <f t="shared" si="83"/>
        <v>0.3987</v>
      </c>
      <c r="L179" s="50">
        <f t="shared" si="83"/>
        <v>0.3987</v>
      </c>
    </row>
    <row r="183" ht="15" spans="3:11">
      <c r="C183" s="34" t="s">
        <v>172</v>
      </c>
      <c r="D183" s="34"/>
      <c r="E183" s="34"/>
      <c r="F183" s="34"/>
      <c r="G183" s="34"/>
      <c r="H183" s="34"/>
      <c r="I183" s="34"/>
      <c r="J183" s="34"/>
      <c r="K183" s="34"/>
    </row>
    <row r="184" ht="15" spans="3:3">
      <c r="C184" s="40"/>
    </row>
    <row r="185" ht="15.75" spans="3:9">
      <c r="C185" s="114" t="s">
        <v>173</v>
      </c>
      <c r="D185" s="115"/>
      <c r="E185" s="115"/>
      <c r="F185" s="115"/>
      <c r="G185" s="115"/>
      <c r="H185" s="115"/>
      <c r="I185" s="115"/>
    </row>
    <row r="186" ht="15" spans="4:9">
      <c r="D186" s="40"/>
      <c r="E186" s="116" t="s">
        <v>174</v>
      </c>
      <c r="F186" s="117"/>
      <c r="G186" s="117"/>
      <c r="H186" s="117"/>
      <c r="I186" s="117"/>
    </row>
    <row r="187" ht="15.75" customHeight="1" spans="4:9">
      <c r="D187" s="118">
        <f ca="1">H29</f>
        <v>140.697685416276</v>
      </c>
      <c r="E187" s="119">
        <v>0.35</v>
      </c>
      <c r="F187" s="119">
        <f>30%</f>
        <v>0.3</v>
      </c>
      <c r="G187" s="119">
        <v>0.25</v>
      </c>
      <c r="H187" s="119">
        <v>0.2</v>
      </c>
      <c r="I187" s="119">
        <v>0.15</v>
      </c>
    </row>
    <row r="188" ht="15" spans="3:9">
      <c r="C188" s="120"/>
      <c r="D188" s="121">
        <v>0.64</v>
      </c>
      <c r="E188" s="122">
        <v>180.868223910333</v>
      </c>
      <c r="F188" s="122">
        <v>171.133056100487</v>
      </c>
      <c r="G188" s="122">
        <v>161.39788829064</v>
      </c>
      <c r="H188" s="122">
        <v>151.662720480794</v>
      </c>
      <c r="I188" s="122">
        <v>141.927552670948</v>
      </c>
    </row>
    <row r="189" ht="15" spans="3:9">
      <c r="C189" s="123" t="s">
        <v>175</v>
      </c>
      <c r="D189" s="121">
        <v>0.63</v>
      </c>
      <c r="E189" s="122">
        <v>170.561730852834</v>
      </c>
      <c r="F189" s="122">
        <v>161.20828500808</v>
      </c>
      <c r="G189" s="122">
        <v>151.854839163326</v>
      </c>
      <c r="H189" s="122">
        <v>142.501393318573</v>
      </c>
      <c r="I189" s="122">
        <v>133.147947473819</v>
      </c>
    </row>
    <row r="190" ht="15" spans="3:9">
      <c r="C190" s="123" t="s">
        <v>176</v>
      </c>
      <c r="D190" s="121">
        <v>0.62</v>
      </c>
      <c r="E190" s="122">
        <v>160.255237795334</v>
      </c>
      <c r="F190" s="122">
        <v>151.283513915673</v>
      </c>
      <c r="G190" s="122">
        <v>142.311790036012</v>
      </c>
      <c r="H190" s="122">
        <v>133.340066156351</v>
      </c>
      <c r="I190" s="122">
        <v>124.36834227669</v>
      </c>
    </row>
    <row r="191" ht="15" spans="3:9">
      <c r="C191" s="123" t="s">
        <v>177</v>
      </c>
      <c r="D191" s="121">
        <v>0.61</v>
      </c>
      <c r="E191" s="122">
        <v>149.948744737835</v>
      </c>
      <c r="F191" s="122">
        <v>141.358742823266</v>
      </c>
      <c r="G191" s="122">
        <v>132.768740908698</v>
      </c>
      <c r="H191" s="122">
        <v>124.178738994129</v>
      </c>
      <c r="I191" s="122">
        <v>115.588737079561</v>
      </c>
    </row>
    <row r="192" ht="15" spans="4:9">
      <c r="D192" s="121">
        <v>0.6</v>
      </c>
      <c r="E192" s="122">
        <v>139.642251680336</v>
      </c>
      <c r="F192" s="122">
        <v>131.433971730859</v>
      </c>
      <c r="G192" s="122">
        <v>123.225691781383</v>
      </c>
      <c r="H192" s="122">
        <v>115.017411831908</v>
      </c>
      <c r="I192" s="122">
        <v>106.809131882432</v>
      </c>
    </row>
    <row r="193" ht="15" spans="4:9">
      <c r="D193" s="121">
        <v>0.59</v>
      </c>
      <c r="E193" s="122">
        <v>129.335758622836</v>
      </c>
      <c r="F193" s="122">
        <v>121.509200638453</v>
      </c>
      <c r="G193" s="122">
        <v>113.682642654069</v>
      </c>
      <c r="H193" s="122">
        <v>105.856084669686</v>
      </c>
      <c r="I193" s="122">
        <v>98.0295266853025</v>
      </c>
    </row>
    <row r="195" ht="15.75" spans="3:9">
      <c r="C195" s="114" t="s">
        <v>173</v>
      </c>
      <c r="D195" s="115"/>
      <c r="E195" s="115"/>
      <c r="F195" s="115"/>
      <c r="G195" s="115"/>
      <c r="H195" s="115"/>
      <c r="I195" s="115"/>
    </row>
    <row r="196" ht="15" spans="4:9">
      <c r="D196" s="40"/>
      <c r="E196" s="116" t="s">
        <v>174</v>
      </c>
      <c r="F196" s="117"/>
      <c r="G196" s="117"/>
      <c r="H196" s="117"/>
      <c r="I196" s="117"/>
    </row>
    <row r="197" ht="15.75" spans="4:9">
      <c r="D197" s="118">
        <f ca="1">H29</f>
        <v>140.697685416276</v>
      </c>
      <c r="E197" s="119">
        <v>0.35</v>
      </c>
      <c r="F197" s="119">
        <f>30%</f>
        <v>0.3</v>
      </c>
      <c r="G197" s="119">
        <v>0.25</v>
      </c>
      <c r="H197" s="119">
        <v>0.2</v>
      </c>
      <c r="I197" s="119">
        <v>0.15</v>
      </c>
    </row>
    <row r="198" ht="15" spans="3:9">
      <c r="C198" s="120"/>
      <c r="D198" s="121">
        <v>0.56</v>
      </c>
      <c r="E198" s="122">
        <v>148.713114264544</v>
      </c>
      <c r="F198" s="122">
        <v>140.023164721652</v>
      </c>
      <c r="G198" s="122">
        <v>131.33321517876</v>
      </c>
      <c r="H198" s="122">
        <v>122.643265635868</v>
      </c>
      <c r="I198" s="122">
        <v>113.953316092976</v>
      </c>
    </row>
    <row r="199" ht="15" spans="3:9">
      <c r="C199" s="123" t="s">
        <v>178</v>
      </c>
      <c r="D199" s="121">
        <v>0.54</v>
      </c>
      <c r="E199" s="122">
        <v>150.876903459815</v>
      </c>
      <c r="F199" s="122">
        <v>142.17966943632</v>
      </c>
      <c r="G199" s="122">
        <v>133.482435412826</v>
      </c>
      <c r="H199" s="122">
        <v>124.785201389332</v>
      </c>
      <c r="I199" s="122">
        <v>116.087967365838</v>
      </c>
    </row>
    <row r="200" ht="15" spans="3:9">
      <c r="C200" s="123" t="s">
        <v>179</v>
      </c>
      <c r="D200" s="121">
        <v>0.52</v>
      </c>
      <c r="E200" s="122">
        <v>153.040692655085</v>
      </c>
      <c r="F200" s="122">
        <v>144.336174150988</v>
      </c>
      <c r="G200" s="122">
        <v>135.631655646892</v>
      </c>
      <c r="H200" s="122">
        <v>126.927137142796</v>
      </c>
      <c r="I200" s="122">
        <v>118.222618638699</v>
      </c>
    </row>
    <row r="201" ht="15" spans="3:9">
      <c r="C201" s="123"/>
      <c r="D201" s="121">
        <v>0.5</v>
      </c>
      <c r="E201" s="122">
        <v>155.204481850355</v>
      </c>
      <c r="F201" s="122">
        <v>146.492678865656</v>
      </c>
      <c r="G201" s="122">
        <v>137.780875880958</v>
      </c>
      <c r="H201" s="122">
        <v>129.069072896259</v>
      </c>
      <c r="I201" s="122">
        <v>120.357269911561</v>
      </c>
    </row>
    <row r="202" ht="15" spans="4:9">
      <c r="D202" s="121">
        <v>0.48</v>
      </c>
      <c r="E202" s="122">
        <v>157.368271045625</v>
      </c>
      <c r="F202" s="122">
        <v>148.649183580325</v>
      </c>
      <c r="G202" s="122">
        <v>139.930096115024</v>
      </c>
      <c r="H202" s="122">
        <v>131.211008649723</v>
      </c>
      <c r="I202" s="122">
        <v>122.491921184423</v>
      </c>
    </row>
    <row r="203" ht="15" spans="4:9">
      <c r="D203" s="121">
        <v>0.46</v>
      </c>
      <c r="E203" s="122">
        <v>159.532060240896</v>
      </c>
      <c r="F203" s="122">
        <v>150.805688294993</v>
      </c>
      <c r="G203" s="122">
        <v>142.07931634909</v>
      </c>
      <c r="H203" s="122">
        <v>133.352944403187</v>
      </c>
      <c r="I203" s="122">
        <v>124.626572457284</v>
      </c>
    </row>
    <row r="205" ht="15.75" spans="3:9">
      <c r="C205" s="114" t="s">
        <v>173</v>
      </c>
      <c r="D205" s="115"/>
      <c r="E205" s="115"/>
      <c r="F205" s="115"/>
      <c r="G205" s="115"/>
      <c r="H205" s="115"/>
      <c r="I205" s="115"/>
    </row>
    <row r="206" ht="15" spans="4:9">
      <c r="D206" s="40"/>
      <c r="E206" s="116" t="s">
        <v>174</v>
      </c>
      <c r="F206" s="117"/>
      <c r="G206" s="117"/>
      <c r="H206" s="117"/>
      <c r="I206" s="117"/>
    </row>
    <row r="207" ht="15.75" spans="4:9">
      <c r="D207" s="118">
        <f ca="1">H29</f>
        <v>140.697685416276</v>
      </c>
      <c r="E207" s="119">
        <v>0.35</v>
      </c>
      <c r="F207" s="119">
        <f>30%</f>
        <v>0.3</v>
      </c>
      <c r="G207" s="119">
        <v>0.25</v>
      </c>
      <c r="H207" s="119">
        <v>0.2</v>
      </c>
      <c r="I207" s="119">
        <v>0.15</v>
      </c>
    </row>
    <row r="208" ht="15" spans="3:9">
      <c r="C208" s="120"/>
      <c r="D208" s="121">
        <v>0.4</v>
      </c>
      <c r="E208" s="122">
        <v>131.102038285028</v>
      </c>
      <c r="F208" s="122">
        <v>123.210062535378</v>
      </c>
      <c r="G208" s="122">
        <v>115.318086785728</v>
      </c>
      <c r="H208" s="122">
        <v>107.426111036079</v>
      </c>
      <c r="I208" s="122">
        <v>99.5341352864289</v>
      </c>
    </row>
    <row r="209" ht="15" spans="3:9">
      <c r="C209" s="123" t="s">
        <v>180</v>
      </c>
      <c r="D209" s="121">
        <v>0.39</v>
      </c>
      <c r="E209" s="122">
        <v>141.401876017449</v>
      </c>
      <c r="F209" s="122">
        <v>133.128424796228</v>
      </c>
      <c r="G209" s="122">
        <v>124.854973575007</v>
      </c>
      <c r="H209" s="122">
        <v>116.581522353786</v>
      </c>
      <c r="I209" s="122">
        <v>108.308071132565</v>
      </c>
    </row>
    <row r="210" ht="15" spans="3:9">
      <c r="C210" s="123" t="s">
        <v>181</v>
      </c>
      <c r="D210" s="121">
        <v>0.38</v>
      </c>
      <c r="E210" s="122">
        <v>151.70171374987</v>
      </c>
      <c r="F210" s="122">
        <v>143.046787057078</v>
      </c>
      <c r="G210" s="122">
        <v>134.391860364286</v>
      </c>
      <c r="H210" s="122">
        <v>125.736933671494</v>
      </c>
      <c r="I210" s="122">
        <v>117.082006978702</v>
      </c>
    </row>
    <row r="211" ht="15" spans="3:9">
      <c r="C211" s="123"/>
      <c r="D211" s="121">
        <v>0.37</v>
      </c>
      <c r="E211" s="122">
        <v>162.001551482291</v>
      </c>
      <c r="F211" s="122">
        <v>152.965149317927</v>
      </c>
      <c r="G211" s="122">
        <v>143.928747153564</v>
      </c>
      <c r="H211" s="122">
        <v>134.892344989201</v>
      </c>
      <c r="I211" s="122">
        <v>125.855942824838</v>
      </c>
    </row>
    <row r="212" ht="15" spans="4:9">
      <c r="D212" s="121">
        <v>0.36</v>
      </c>
      <c r="E212" s="122">
        <v>172.301389214712</v>
      </c>
      <c r="F212" s="122">
        <v>162.883511578777</v>
      </c>
      <c r="G212" s="122">
        <v>153.465633942843</v>
      </c>
      <c r="H212" s="122">
        <v>144.047756306909</v>
      </c>
      <c r="I212" s="122">
        <v>134.629878670974</v>
      </c>
    </row>
    <row r="213" ht="15" spans="4:9">
      <c r="D213" s="121">
        <v>0.35</v>
      </c>
      <c r="E213" s="122">
        <v>182.601226947133</v>
      </c>
      <c r="F213" s="122">
        <v>172.801873839627</v>
      </c>
      <c r="G213" s="122">
        <v>163.002520732122</v>
      </c>
      <c r="H213" s="122">
        <v>153.203167624616</v>
      </c>
      <c r="I213" s="122">
        <v>143.403814517111</v>
      </c>
    </row>
  </sheetData>
  <conditionalFormatting sqref="C39:D39">
    <cfRule type="expression" dxfId="0" priority="3">
      <formula>#REF!=$C39</formula>
    </cfRule>
  </conditionalFormatting>
  <conditionalFormatting sqref="C162">
    <cfRule type="expression" dxfId="0" priority="1">
      <formula>#REF!=$C162</formula>
    </cfRule>
  </conditionalFormatting>
  <conditionalFormatting sqref="C176">
    <cfRule type="expression" dxfId="0" priority="2">
      <formula>#REF!=$C176</formula>
    </cfRule>
  </conditionalFormatting>
  <dataValidations count="3">
    <dataValidation type="list" allowBlank="1" showInputMessage="1" showErrorMessage="1" sqref="D7">
      <formula1>"0,1"</formula1>
    </dataValidation>
    <dataValidation type="list" allowBlank="1" showInputMessage="1" showErrorMessage="1" sqref="L5">
      <formula1>$C$165:$C$167</formula1>
    </dataValidation>
    <dataValidation type="list" allowBlank="1" showInputMessage="1" showErrorMessage="1" sqref="C3">
      <formula1>"$ bns except per share, $ mm except per share,$ in thousands except per share"</formula1>
    </dataValidation>
  </dataValidations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34"/>
  <sheetViews>
    <sheetView topLeftCell="A2" workbookViewId="0">
      <selection activeCell="N30" sqref="N30:N34"/>
    </sheetView>
  </sheetViews>
  <sheetFormatPr defaultColWidth="7.75" defaultRowHeight="14.25"/>
  <cols>
    <col min="1" max="2" width="1.5" customWidth="1"/>
    <col min="3" max="3" width="40.875" customWidth="1"/>
    <col min="4" max="4" width="10.875" customWidth="1"/>
    <col min="5" max="12" width="10" customWidth="1"/>
    <col min="13" max="13" width="2.875" customWidth="1"/>
    <col min="14" max="14" width="13.75" customWidth="1"/>
    <col min="15" max="17" width="9" customWidth="1"/>
    <col min="18" max="19" width="8.25" customWidth="1"/>
  </cols>
  <sheetData>
    <row r="1" ht="15"/>
    <row r="2" ht="15.75" spans="3:12">
      <c r="C2" s="1" t="str">
        <f>"Financial Statement Model for "&amp;D5</f>
        <v>Financial Statement Model for Canada Goose</v>
      </c>
      <c r="D2" s="2"/>
      <c r="E2" s="2"/>
      <c r="F2" s="2"/>
      <c r="G2" s="2"/>
      <c r="H2" s="2"/>
      <c r="I2" s="2"/>
      <c r="J2" s="2"/>
      <c r="K2" s="2"/>
      <c r="L2" s="2"/>
    </row>
    <row r="3" ht="15" spans="3:8">
      <c r="C3" s="3" t="s">
        <v>0</v>
      </c>
      <c r="D3" s="4"/>
      <c r="E3" s="4"/>
      <c r="F3" s="4"/>
      <c r="G3" s="4"/>
      <c r="H3" s="4"/>
    </row>
    <row r="5" ht="15" spans="3:12">
      <c r="C5" s="5" t="s">
        <v>1</v>
      </c>
      <c r="D5" s="6" t="s">
        <v>2</v>
      </c>
      <c r="I5" t="s">
        <v>3</v>
      </c>
      <c r="L5" s="7" t="s">
        <v>4</v>
      </c>
    </row>
    <row r="6" ht="15" spans="3:4">
      <c r="C6" s="5" t="s">
        <v>5</v>
      </c>
      <c r="D6" s="6" t="s">
        <v>6</v>
      </c>
    </row>
    <row r="7" ht="15" spans="3:4">
      <c r="C7" t="s">
        <v>7</v>
      </c>
      <c r="D7" s="7">
        <v>1</v>
      </c>
    </row>
    <row r="8" ht="15" spans="3:4">
      <c r="C8" t="s">
        <v>8</v>
      </c>
      <c r="D8" s="8">
        <v>36.5</v>
      </c>
    </row>
    <row r="9" ht="15" spans="3:4">
      <c r="C9" t="s">
        <v>9</v>
      </c>
      <c r="D9" s="9">
        <v>44602</v>
      </c>
    </row>
    <row r="10" ht="15" spans="3:4">
      <c r="C10" s="5" t="s">
        <v>10</v>
      </c>
      <c r="D10" s="10">
        <v>44283</v>
      </c>
    </row>
    <row r="11" ht="15" customHeight="1" spans="3:4">
      <c r="C11" t="s">
        <v>11</v>
      </c>
      <c r="D11" s="11">
        <v>110.2616</v>
      </c>
    </row>
    <row r="12" ht="15" customHeight="1" spans="4:4">
      <c r="D12" s="11"/>
    </row>
    <row r="13" ht="15" customHeight="1" spans="3:16">
      <c r="C13" s="12" t="s">
        <v>182</v>
      </c>
      <c r="D13" s="13"/>
      <c r="E13" s="13"/>
      <c r="F13" s="13"/>
      <c r="G13" s="13"/>
      <c r="H13" s="13"/>
      <c r="I13" s="13"/>
      <c r="J13" s="13"/>
      <c r="K13" s="13"/>
      <c r="L13" s="13"/>
      <c r="N13" s="18" t="s">
        <v>183</v>
      </c>
      <c r="O13" s="18"/>
      <c r="P13" s="29">
        <v>0.02</v>
      </c>
    </row>
    <row r="14" ht="15" customHeight="1" spans="3:12">
      <c r="C14" t="s">
        <v>14</v>
      </c>
      <c r="D14" s="14"/>
      <c r="E14" s="14">
        <f>F14-1</f>
        <v>2019</v>
      </c>
      <c r="F14" s="14">
        <f>G14-1</f>
        <v>2020</v>
      </c>
      <c r="G14" s="14">
        <f>YEAR(D10)</f>
        <v>2021</v>
      </c>
      <c r="H14" s="15">
        <f>G14+1</f>
        <v>2022</v>
      </c>
      <c r="I14" s="15">
        <f>H14+1</f>
        <v>2023</v>
      </c>
      <c r="J14" s="15">
        <f>I14+1</f>
        <v>2024</v>
      </c>
      <c r="K14" s="15">
        <f>J14+1</f>
        <v>2025</v>
      </c>
      <c r="L14" s="15">
        <f>K14+1</f>
        <v>2026</v>
      </c>
    </row>
    <row r="15" ht="15" customHeight="1" spans="3:12">
      <c r="C15" s="16" t="s">
        <v>15</v>
      </c>
      <c r="D15" s="17"/>
      <c r="E15" s="17">
        <f>EOMONTH(F15,-12)</f>
        <v>43555</v>
      </c>
      <c r="F15" s="17">
        <f>EOMONTH(G15,-12)</f>
        <v>43921</v>
      </c>
      <c r="G15" s="17">
        <f>D10</f>
        <v>44283</v>
      </c>
      <c r="H15" s="17">
        <f>EOMONTH(G15,12)</f>
        <v>44651</v>
      </c>
      <c r="I15" s="17">
        <f>EOMONTH(H15,12)</f>
        <v>45016</v>
      </c>
      <c r="J15" s="17">
        <f>EOMONTH(I15,12)</f>
        <v>45382</v>
      </c>
      <c r="K15" s="17">
        <f>EOMONTH(J15,12)</f>
        <v>45747</v>
      </c>
      <c r="L15" s="17">
        <f>EOMONTH(K15,12)</f>
        <v>46112</v>
      </c>
    </row>
    <row r="16" ht="15" customHeight="1" spans="4:4">
      <c r="D16" s="11"/>
    </row>
    <row r="17" ht="15" customHeight="1" spans="3:12">
      <c r="C17" s="18" t="s">
        <v>184</v>
      </c>
      <c r="D17" s="11"/>
      <c r="E17" s="19"/>
      <c r="F17" s="20"/>
      <c r="G17" s="20">
        <f>G77</f>
        <v>116.9</v>
      </c>
      <c r="H17" s="20">
        <f ca="1" t="shared" ref="H17:L17" si="0">H77</f>
        <v>204.513709634906</v>
      </c>
      <c r="I17" s="20">
        <f ca="1" t="shared" si="0"/>
        <v>244.238308891199</v>
      </c>
      <c r="J17" s="20">
        <f ca="1" t="shared" si="0"/>
        <v>268.570831340079</v>
      </c>
      <c r="K17" s="20">
        <f ca="1" t="shared" si="0"/>
        <v>278.255955587797</v>
      </c>
      <c r="L17" s="20">
        <f ca="1" t="shared" si="0"/>
        <v>277.664526266888</v>
      </c>
    </row>
    <row r="18" ht="15" customHeight="1" spans="3:12">
      <c r="C18" t="s">
        <v>185</v>
      </c>
      <c r="D18" s="11"/>
      <c r="E18" s="19"/>
      <c r="F18" s="21"/>
      <c r="G18" s="21">
        <f>G83</f>
        <v>-15.8</v>
      </c>
      <c r="H18" s="19">
        <f ca="1" t="shared" ref="H18:L18" si="1">H83</f>
        <v>-26.1491505055688</v>
      </c>
      <c r="I18" s="19">
        <f ca="1" t="shared" si="1"/>
        <v>-32.3408035518953</v>
      </c>
      <c r="J18" s="19">
        <f ca="1" t="shared" si="1"/>
        <v>-36.1586782656021</v>
      </c>
      <c r="K18" s="19">
        <f ca="1" t="shared" si="1"/>
        <v>-37.7162034132906</v>
      </c>
      <c r="L18" s="19">
        <f ca="1" t="shared" si="1"/>
        <v>-37.690124796077</v>
      </c>
    </row>
    <row r="19" ht="15" customHeight="1" spans="3:12">
      <c r="C19" s="18" t="s">
        <v>186</v>
      </c>
      <c r="D19" s="11"/>
      <c r="E19" s="19"/>
      <c r="F19" s="20"/>
      <c r="G19" s="20">
        <f t="shared" ref="G19" si="2">SUM(G17:G18)</f>
        <v>101.1</v>
      </c>
      <c r="H19" s="20">
        <f ca="1" t="shared" ref="H19:L19" si="3">SUM(H17:H18)</f>
        <v>178.364559129338</v>
      </c>
      <c r="I19" s="20">
        <f ca="1" t="shared" si="3"/>
        <v>211.897505339304</v>
      </c>
      <c r="J19" s="20">
        <f ca="1" t="shared" si="3"/>
        <v>232.412153074477</v>
      </c>
      <c r="K19" s="20">
        <f ca="1" t="shared" si="3"/>
        <v>240.539752174506</v>
      </c>
      <c r="L19" s="20">
        <f ca="1" t="shared" si="3"/>
        <v>239.974401470811</v>
      </c>
    </row>
    <row r="20" ht="15" customHeight="1" spans="3:12">
      <c r="C20" t="s">
        <v>187</v>
      </c>
      <c r="D20" s="11"/>
      <c r="E20" s="22"/>
      <c r="F20" s="21"/>
      <c r="G20" s="21">
        <f>G86</f>
        <v>84.6</v>
      </c>
      <c r="H20" s="23">
        <f ca="1" t="shared" ref="H20:L20" si="4">H86</f>
        <v>98.9661154882812</v>
      </c>
      <c r="I20" s="23">
        <f ca="1" t="shared" si="4"/>
        <v>115.938804294521</v>
      </c>
      <c r="J20" s="23">
        <f ca="1" t="shared" si="4"/>
        <v>127.532684723974</v>
      </c>
      <c r="K20" s="23">
        <f ca="1" t="shared" si="4"/>
        <v>133.909318960172</v>
      </c>
      <c r="L20" s="23">
        <f ca="1" t="shared" si="4"/>
        <v>136.587505339376</v>
      </c>
    </row>
    <row r="21" ht="15" customHeight="1" spans="3:12">
      <c r="C21" s="18" t="s">
        <v>44</v>
      </c>
      <c r="D21" s="11"/>
      <c r="E21" s="19"/>
      <c r="F21" s="20"/>
      <c r="G21" s="20">
        <f t="shared" ref="G21" si="5">SUM(G19:G20)</f>
        <v>185.7</v>
      </c>
      <c r="H21" s="20">
        <f ca="1" t="shared" ref="H21:L21" si="6">SUM(H19:H20)</f>
        <v>277.330674617619</v>
      </c>
      <c r="I21" s="20">
        <f ca="1" t="shared" si="6"/>
        <v>327.836309633825</v>
      </c>
      <c r="J21" s="20">
        <f ca="1" t="shared" si="6"/>
        <v>359.944837798451</v>
      </c>
      <c r="K21" s="20">
        <f ca="1" t="shared" si="6"/>
        <v>374.449071134678</v>
      </c>
      <c r="L21" s="20">
        <f ca="1" t="shared" si="6"/>
        <v>376.561906810187</v>
      </c>
    </row>
    <row r="22" ht="15" customHeight="1" spans="3:12">
      <c r="C22" t="s">
        <v>188</v>
      </c>
      <c r="D22" s="11"/>
      <c r="F22" s="21"/>
      <c r="G22" s="21">
        <f>G148</f>
        <v>0</v>
      </c>
      <c r="H22" s="19">
        <f ca="1">H148</f>
        <v>-29.54721</v>
      </c>
      <c r="I22" s="19">
        <f ca="1" t="shared" ref="I22:L22" si="7">I148</f>
        <v>-34.614556515</v>
      </c>
      <c r="J22" s="19">
        <f ca="1" t="shared" si="7"/>
        <v>-38.0760121665</v>
      </c>
      <c r="K22" s="19">
        <f ca="1" t="shared" si="7"/>
        <v>-39.979812774825</v>
      </c>
      <c r="L22" s="19">
        <f ca="1" t="shared" si="7"/>
        <v>-40.7794090303215</v>
      </c>
    </row>
    <row r="23" ht="15" customHeight="1" spans="3:15">
      <c r="C23" t="s">
        <v>189</v>
      </c>
      <c r="D23" s="11"/>
      <c r="F23" s="21"/>
      <c r="G23" s="21">
        <f>-SUM(G101:G102)-SUM(G113:G115)+SUM(F101:F102)+SUM(F113:F115)</f>
        <v>17.5</v>
      </c>
      <c r="H23" s="21">
        <f ca="1" t="shared" ref="H23:L23" si="8">-SUM(H101:H102)-SUM(H113:H115)+SUM(G101:G102)+SUM(G113:G115)</f>
        <v>-167.548595705259</v>
      </c>
      <c r="I23" s="21">
        <f ca="1" t="shared" si="8"/>
        <v>-131.651734163452</v>
      </c>
      <c r="J23" s="21">
        <f ca="1" t="shared" si="8"/>
        <v>-89.9300329868712</v>
      </c>
      <c r="K23" s="21">
        <f ca="1" t="shared" si="8"/>
        <v>-49.4615181427793</v>
      </c>
      <c r="L23" s="21">
        <f ca="1" t="shared" si="8"/>
        <v>-20.7738376199671</v>
      </c>
      <c r="N23" s="30" t="s">
        <v>190</v>
      </c>
      <c r="O23" s="30"/>
    </row>
    <row r="24" ht="15" customHeight="1" spans="3:14">
      <c r="C24" s="18" t="s">
        <v>191</v>
      </c>
      <c r="D24" s="11"/>
      <c r="F24" s="20"/>
      <c r="G24" s="20">
        <f>SUM(G21:G23)</f>
        <v>203.2</v>
      </c>
      <c r="H24" s="20">
        <f ca="1" t="shared" ref="H24:L24" si="9">SUM(H21:H23)</f>
        <v>80.2348689123599</v>
      </c>
      <c r="I24" s="20">
        <f ca="1" t="shared" si="9"/>
        <v>161.570018955373</v>
      </c>
      <c r="J24" s="20">
        <f ca="1" t="shared" si="9"/>
        <v>231.93879264508</v>
      </c>
      <c r="K24" s="20">
        <f ca="1" t="shared" si="9"/>
        <v>285.007740217074</v>
      </c>
      <c r="L24" s="20">
        <f ca="1" t="shared" si="9"/>
        <v>315.008660159898</v>
      </c>
      <c r="N24" s="31">
        <f ca="1">(L24*(1+P13))/(D35-P13)</f>
        <v>5728.83372224705</v>
      </c>
    </row>
    <row r="25" ht="15" customHeight="1" spans="3:14">
      <c r="C25" s="18"/>
      <c r="D25" s="11"/>
      <c r="F25" s="24" t="s">
        <v>192</v>
      </c>
      <c r="G25" s="24"/>
      <c r="H25" s="25">
        <f ca="1">1/(1+$D$35)^(1/6)</f>
        <v>0.98785261218545</v>
      </c>
      <c r="I25" s="25">
        <f ca="1">1/(1+$D$35)^(7/6)</f>
        <v>0.91800504550266</v>
      </c>
      <c r="J25" s="25">
        <f ca="1">1/(1+$D$35)^(13/6)</f>
        <v>0.853096153386629</v>
      </c>
      <c r="K25" s="25">
        <f ca="1">1/(1+$D$35)^(19/6)</f>
        <v>0.792776739614286</v>
      </c>
      <c r="L25" s="25">
        <f ca="1">1/(1+$D$35)^(25/6)</f>
        <v>0.736722298393273</v>
      </c>
      <c r="N25" s="32">
        <f ca="1">L25</f>
        <v>0.736722298393273</v>
      </c>
    </row>
    <row r="26" ht="15" customHeight="1" spans="3:14">
      <c r="C26" s="18"/>
      <c r="D26" s="11"/>
      <c r="F26" s="24" t="s">
        <v>193</v>
      </c>
      <c r="G26" s="24"/>
      <c r="H26" s="24">
        <f ca="1">H24*H25</f>
        <v>79.2602248434319</v>
      </c>
      <c r="I26" s="24">
        <f ca="1" t="shared" ref="I26:L26" si="10">I24*I25</f>
        <v>148.322092602993</v>
      </c>
      <c r="J26" s="24">
        <f ca="1" t="shared" si="10"/>
        <v>197.866091826657</v>
      </c>
      <c r="K26" s="24">
        <f ca="1" t="shared" si="10"/>
        <v>225.947507054127</v>
      </c>
      <c r="L26" s="24">
        <f ca="1" t="shared" si="10"/>
        <v>232.073904126785</v>
      </c>
      <c r="M26" s="24"/>
      <c r="N26" s="24">
        <f ca="1" t="shared" ref="N26" si="11">N24*N25</f>
        <v>4220.55954696673</v>
      </c>
    </row>
    <row r="27" ht="15" customHeight="1" spans="3:12">
      <c r="C27" s="18"/>
      <c r="D27" s="11"/>
      <c r="F27" s="20" t="s">
        <v>194</v>
      </c>
      <c r="G27" s="20"/>
      <c r="H27" s="24">
        <f ca="1">SUM(H26:N26)</f>
        <v>5104.02936742073</v>
      </c>
      <c r="I27" s="20"/>
      <c r="J27" s="20"/>
      <c r="K27" s="20"/>
      <c r="L27" s="20"/>
    </row>
    <row r="28" ht="15" customHeight="1" spans="3:12">
      <c r="C28" s="18"/>
      <c r="D28" s="11"/>
      <c r="F28" s="24" t="s">
        <v>195</v>
      </c>
      <c r="G28" s="24"/>
      <c r="H28" s="24">
        <f ca="1">H100</f>
        <v>468.752626906259</v>
      </c>
      <c r="I28" s="20"/>
      <c r="J28" s="20"/>
      <c r="K28" s="20"/>
      <c r="L28" s="20"/>
    </row>
    <row r="29" ht="15" customHeight="1" spans="3:12">
      <c r="C29" s="18"/>
      <c r="D29" s="11"/>
      <c r="F29" s="24" t="s">
        <v>196</v>
      </c>
      <c r="G29" s="24"/>
      <c r="H29" s="24">
        <f ca="1">-(H116+H117+H122+H123+H124+H125)</f>
        <v>-1238.70896</v>
      </c>
      <c r="I29" s="20"/>
      <c r="J29" s="20"/>
      <c r="K29" s="20"/>
      <c r="L29" s="20"/>
    </row>
    <row r="30" ht="15" customHeight="1" spans="3:12">
      <c r="C30" s="18"/>
      <c r="D30" s="11"/>
      <c r="F30" s="20" t="s">
        <v>197</v>
      </c>
      <c r="G30" s="20"/>
      <c r="H30" s="24">
        <f ca="1">SUM(H27:H29)</f>
        <v>4334.07303432699</v>
      </c>
      <c r="I30" s="20"/>
      <c r="J30" s="20"/>
      <c r="K30" s="20"/>
      <c r="L30" s="20"/>
    </row>
    <row r="31" ht="15" customHeight="1" spans="4:8">
      <c r="D31" s="11"/>
      <c r="F31" s="20" t="s">
        <v>198</v>
      </c>
      <c r="H31" s="26">
        <f ca="1">H30/D11</f>
        <v>39.3071843173597</v>
      </c>
    </row>
    <row r="32" ht="15" customHeight="1" spans="4:14">
      <c r="D32" s="11"/>
      <c r="F32" s="24"/>
      <c r="N32" s="33"/>
    </row>
    <row r="33" ht="15" customHeight="1" spans="4:6">
      <c r="D33" s="11"/>
      <c r="F33" s="24"/>
    </row>
    <row r="34" ht="15" customHeight="1" spans="4:6">
      <c r="D34" s="11"/>
      <c r="F34" s="24"/>
    </row>
    <row r="35" ht="15" customHeight="1" spans="3:4">
      <c r="C35" s="18" t="s">
        <v>199</v>
      </c>
      <c r="D35" s="27">
        <f ca="1">D36*D38*(1-D41)+D37*D39</f>
        <v>0.0760862557618564</v>
      </c>
    </row>
    <row r="36" ht="15" customHeight="1" spans="3:4">
      <c r="C36" t="s">
        <v>200</v>
      </c>
      <c r="D36" s="28">
        <v>0.0186</v>
      </c>
    </row>
    <row r="37" ht="15" customHeight="1" spans="3:4">
      <c r="C37" t="s">
        <v>201</v>
      </c>
      <c r="D37" s="28">
        <v>0.155</v>
      </c>
    </row>
    <row r="38" ht="15" customHeight="1" spans="3:12">
      <c r="C38" t="s">
        <v>202</v>
      </c>
      <c r="D38" s="27">
        <f ca="1">H38</f>
        <v>0.566440735238543</v>
      </c>
      <c r="F38" s="27">
        <f>F126/F111</f>
        <v>0.535660091047041</v>
      </c>
      <c r="G38" s="27">
        <f t="shared" ref="G38:L38" si="12">G126/G111</f>
        <v>0.601844479830149</v>
      </c>
      <c r="H38" s="27">
        <f ca="1" t="shared" si="12"/>
        <v>0.566440735238543</v>
      </c>
      <c r="I38" s="27">
        <f ca="1" t="shared" si="12"/>
        <v>0.526089676110045</v>
      </c>
      <c r="J38" s="27">
        <f ca="1" t="shared" si="12"/>
        <v>0.485489564632933</v>
      </c>
      <c r="K38" s="27">
        <f ca="1" t="shared" si="12"/>
        <v>0.447073743677114</v>
      </c>
      <c r="L38" s="27">
        <f ca="1" t="shared" si="12"/>
        <v>0.412388801718556</v>
      </c>
    </row>
    <row r="39" ht="15" customHeight="1" spans="3:12">
      <c r="C39" t="s">
        <v>203</v>
      </c>
      <c r="D39" s="27">
        <f ca="1">H39</f>
        <v>0.433559264761457</v>
      </c>
      <c r="F39" s="27">
        <f>F131/F111</f>
        <v>0.464339908952959</v>
      </c>
      <c r="G39" s="27">
        <f t="shared" ref="G39:L39" si="13">G131/G111</f>
        <v>0.398155520169851</v>
      </c>
      <c r="H39" s="27">
        <f ca="1" t="shared" si="13"/>
        <v>0.433559264761457</v>
      </c>
      <c r="I39" s="27">
        <f ca="1" t="shared" si="13"/>
        <v>0.473910323889955</v>
      </c>
      <c r="J39" s="27">
        <f ca="1" t="shared" si="13"/>
        <v>0.514510435367067</v>
      </c>
      <c r="K39" s="27">
        <f ca="1" t="shared" si="13"/>
        <v>0.552926256322886</v>
      </c>
      <c r="L39" s="27">
        <f ca="1" t="shared" si="13"/>
        <v>0.587611198281444</v>
      </c>
    </row>
    <row r="40" ht="15" customHeight="1" spans="3:12">
      <c r="C40" t="s">
        <v>204</v>
      </c>
      <c r="D40" s="27">
        <f ca="1">SUM(D38:D39)</f>
        <v>1</v>
      </c>
      <c r="E40" s="27"/>
      <c r="F40" s="27">
        <f>SUM(F38:F39)</f>
        <v>1</v>
      </c>
      <c r="G40" s="27">
        <f t="shared" ref="G40:L40" si="14">SUM(G38:G39)</f>
        <v>1</v>
      </c>
      <c r="H40" s="27">
        <f ca="1" t="shared" si="14"/>
        <v>1</v>
      </c>
      <c r="I40" s="27">
        <f ca="1" t="shared" si="14"/>
        <v>1</v>
      </c>
      <c r="J40" s="27">
        <f ca="1" t="shared" si="14"/>
        <v>1</v>
      </c>
      <c r="K40" s="27">
        <f ca="1" t="shared" si="14"/>
        <v>1</v>
      </c>
      <c r="L40" s="27">
        <f ca="1" t="shared" si="14"/>
        <v>1</v>
      </c>
    </row>
    <row r="41" ht="15" customHeight="1" spans="3:4">
      <c r="C41" t="s">
        <v>56</v>
      </c>
      <c r="D41" s="27">
        <f>H95</f>
        <v>0.156725480355035</v>
      </c>
    </row>
    <row r="42" ht="15" customHeight="1" spans="4:4">
      <c r="D42" s="11"/>
    </row>
    <row r="43" ht="15" customHeight="1" spans="3:16">
      <c r="C43" s="12" t="s">
        <v>205</v>
      </c>
      <c r="D43" s="13"/>
      <c r="E43" s="13"/>
      <c r="F43" s="13"/>
      <c r="G43" s="13"/>
      <c r="H43" s="13"/>
      <c r="I43" s="13"/>
      <c r="J43" s="13"/>
      <c r="K43" s="13"/>
      <c r="L43" s="13"/>
      <c r="N43" s="18" t="s">
        <v>183</v>
      </c>
      <c r="O43" s="18"/>
      <c r="P43" s="29">
        <v>0.02</v>
      </c>
    </row>
    <row r="44" ht="15" customHeight="1" spans="3:12">
      <c r="C44" t="s">
        <v>14</v>
      </c>
      <c r="D44" s="14"/>
      <c r="E44" s="14">
        <f>F44-1</f>
        <v>2019</v>
      </c>
      <c r="F44" s="14">
        <f>G44-1</f>
        <v>2020</v>
      </c>
      <c r="G44" s="14">
        <f>YEAR(D10)</f>
        <v>2021</v>
      </c>
      <c r="H44" s="15">
        <f>G44+1</f>
        <v>2022</v>
      </c>
      <c r="I44" s="15">
        <f>H44+1</f>
        <v>2023</v>
      </c>
      <c r="J44" s="15">
        <f>I44+1</f>
        <v>2024</v>
      </c>
      <c r="K44" s="15">
        <f>J44+1</f>
        <v>2025</v>
      </c>
      <c r="L44" s="15">
        <f>K44+1</f>
        <v>2026</v>
      </c>
    </row>
    <row r="45" ht="15" customHeight="1" spans="3:12">
      <c r="C45" s="16" t="s">
        <v>15</v>
      </c>
      <c r="D45" s="17"/>
      <c r="E45" s="17">
        <f>EOMONTH(F45,-12)</f>
        <v>43555</v>
      </c>
      <c r="F45" s="17">
        <f>EOMONTH(G45,-12)</f>
        <v>43921</v>
      </c>
      <c r="G45" s="17">
        <f>D10</f>
        <v>44283</v>
      </c>
      <c r="H45" s="17">
        <f>EOMONTH(G45,12)</f>
        <v>44651</v>
      </c>
      <c r="I45" s="17">
        <f>EOMONTH(H45,12)</f>
        <v>45016</v>
      </c>
      <c r="J45" s="17">
        <f>EOMONTH(I45,12)</f>
        <v>45382</v>
      </c>
      <c r="K45" s="17">
        <f>EOMONTH(J45,12)</f>
        <v>45747</v>
      </c>
      <c r="L45" s="17">
        <f>EOMONTH(K45,12)</f>
        <v>46112</v>
      </c>
    </row>
    <row r="46" ht="15" customHeight="1" spans="4:4">
      <c r="D46" s="11"/>
    </row>
    <row r="47" ht="15" customHeight="1" spans="3:12">
      <c r="C47" s="18" t="s">
        <v>191</v>
      </c>
      <c r="D47" s="11"/>
      <c r="E47" s="19"/>
      <c r="F47" s="20"/>
      <c r="G47" s="20">
        <f>G24</f>
        <v>203.2</v>
      </c>
      <c r="H47" s="20">
        <f ca="1" t="shared" ref="H47:L47" si="15">H24</f>
        <v>80.2348689123599</v>
      </c>
      <c r="I47" s="20">
        <f ca="1" t="shared" si="15"/>
        <v>161.570018955373</v>
      </c>
      <c r="J47" s="20">
        <f ca="1" t="shared" si="15"/>
        <v>231.93879264508</v>
      </c>
      <c r="K47" s="20">
        <f ca="1" t="shared" si="15"/>
        <v>285.007740217074</v>
      </c>
      <c r="L47" s="20">
        <f ca="1" t="shared" si="15"/>
        <v>315.008660159898</v>
      </c>
    </row>
    <row r="48" ht="15" customHeight="1" spans="3:12">
      <c r="C48" t="s">
        <v>206</v>
      </c>
      <c r="D48" s="11"/>
      <c r="E48" s="19"/>
      <c r="F48" s="21"/>
      <c r="G48" s="21">
        <f t="shared" ref="G48:L48" si="16">G79*(1-$D$41)</f>
        <v>-22.9370669343431</v>
      </c>
      <c r="H48" s="21">
        <f ca="1" t="shared" si="16"/>
        <v>-29.1496564549016</v>
      </c>
      <c r="I48" s="21">
        <f ca="1" t="shared" si="16"/>
        <v>-29.3921351220053</v>
      </c>
      <c r="J48" s="21">
        <f ca="1" t="shared" si="16"/>
        <v>-29.5780289296709</v>
      </c>
      <c r="K48" s="21">
        <f ca="1" t="shared" si="16"/>
        <v>-29.7008683687609</v>
      </c>
      <c r="L48" s="21">
        <f ca="1" t="shared" si="16"/>
        <v>-29.7662044108788</v>
      </c>
    </row>
    <row r="49" ht="15" customHeight="1" spans="3:14">
      <c r="C49" t="s">
        <v>207</v>
      </c>
      <c r="D49" s="11"/>
      <c r="E49" s="22"/>
      <c r="F49" s="21"/>
      <c r="G49" s="21">
        <f>G122+G121+G116-F122-F121-F116</f>
        <v>209.7</v>
      </c>
      <c r="H49" s="21">
        <f ca="1">H122+H121+H116-G122-G121-G116</f>
        <v>0</v>
      </c>
      <c r="I49" s="21">
        <f ca="1" t="shared" ref="H49:L49" si="17">I122+I121+I116-H122-H121-H116</f>
        <v>0</v>
      </c>
      <c r="J49" s="21">
        <f ca="1" t="shared" si="17"/>
        <v>0</v>
      </c>
      <c r="K49" s="21">
        <f ca="1" t="shared" si="17"/>
        <v>0</v>
      </c>
      <c r="L49" s="21">
        <f ca="1" t="shared" si="17"/>
        <v>0</v>
      </c>
      <c r="N49" s="30" t="s">
        <v>190</v>
      </c>
    </row>
    <row r="50" ht="15" customHeight="1" spans="3:14">
      <c r="C50" s="18" t="s">
        <v>208</v>
      </c>
      <c r="D50" s="11"/>
      <c r="E50" s="19"/>
      <c r="F50" s="20"/>
      <c r="G50" s="20">
        <f>SUM(G47:G49)</f>
        <v>389.962933065657</v>
      </c>
      <c r="H50" s="20">
        <f ca="1" t="shared" ref="H50:L50" si="18">SUM(H47:H49)</f>
        <v>51.0852124574583</v>
      </c>
      <c r="I50" s="20">
        <f ca="1" t="shared" si="18"/>
        <v>132.177883833368</v>
      </c>
      <c r="J50" s="20">
        <f ca="1" t="shared" si="18"/>
        <v>202.360763715409</v>
      </c>
      <c r="K50" s="20">
        <f ca="1" t="shared" si="18"/>
        <v>255.306871848313</v>
      </c>
      <c r="L50" s="20">
        <f ca="1" t="shared" si="18"/>
        <v>285.242455749019</v>
      </c>
      <c r="N50" s="31">
        <f ca="1">(L50*(1+P43))/(D37-P43)</f>
        <v>2155.16522121481</v>
      </c>
    </row>
    <row r="51" ht="15" customHeight="1" spans="3:14">
      <c r="C51" s="18"/>
      <c r="D51" s="11"/>
      <c r="F51" s="24" t="s">
        <v>192</v>
      </c>
      <c r="G51" s="24"/>
      <c r="H51" s="25">
        <f>1/(1+$D$37)^(1/6)</f>
        <v>0.976269382496498</v>
      </c>
      <c r="I51" s="25">
        <f t="shared" ref="I51:N51" si="19">1/(1+$D$37)^(1/6)</f>
        <v>0.976269382496498</v>
      </c>
      <c r="J51" s="25">
        <f t="shared" si="19"/>
        <v>0.976269382496498</v>
      </c>
      <c r="K51" s="25">
        <f t="shared" si="19"/>
        <v>0.976269382496498</v>
      </c>
      <c r="L51" s="25">
        <f t="shared" si="19"/>
        <v>0.976269382496498</v>
      </c>
      <c r="M51" s="25"/>
      <c r="N51" s="25">
        <f t="shared" si="19"/>
        <v>0.976269382496498</v>
      </c>
    </row>
    <row r="52" ht="15" customHeight="1" spans="3:14">
      <c r="C52" s="18"/>
      <c r="D52" s="11"/>
      <c r="F52" s="24" t="s">
        <v>193</v>
      </c>
      <c r="G52" s="24"/>
      <c r="H52" s="24">
        <f ca="1">H50*H51</f>
        <v>49.8729288205453</v>
      </c>
      <c r="I52" s="24">
        <f ca="1" t="shared" ref="I52:L52" si="20">I50*I51</f>
        <v>129.041221029696</v>
      </c>
      <c r="J52" s="24">
        <f ca="1" t="shared" si="20"/>
        <v>197.558617833962</v>
      </c>
      <c r="K52" s="24">
        <f ca="1" t="shared" si="20"/>
        <v>249.248282126465</v>
      </c>
      <c r="L52" s="24">
        <f ca="1" t="shared" si="20"/>
        <v>278.47347613588</v>
      </c>
      <c r="M52" s="24"/>
      <c r="N52" s="24">
        <f ca="1">N50*N51</f>
        <v>2104.02181969331</v>
      </c>
    </row>
    <row r="53" ht="15" customHeight="1" spans="3:12">
      <c r="C53" s="18"/>
      <c r="D53" s="11"/>
      <c r="F53" s="20" t="s">
        <v>197</v>
      </c>
      <c r="G53" s="20"/>
      <c r="H53" s="24">
        <f ca="1">SUM(H52:N52)</f>
        <v>3008.21634563986</v>
      </c>
      <c r="I53" s="20"/>
      <c r="J53" s="20"/>
      <c r="K53" s="20"/>
      <c r="L53" s="20"/>
    </row>
    <row r="54" ht="15" customHeight="1" spans="4:8">
      <c r="D54" s="11"/>
      <c r="F54" s="20" t="s">
        <v>198</v>
      </c>
      <c r="H54" s="26">
        <f ca="1">H53/D11</f>
        <v>27.2825384870151</v>
      </c>
    </row>
    <row r="55" ht="15" customHeight="1" spans="4:8">
      <c r="D55" s="11"/>
      <c r="F55" s="20"/>
      <c r="H55" s="26"/>
    </row>
    <row r="56" ht="15" customHeight="1" spans="4:8">
      <c r="D56" s="11"/>
      <c r="F56" s="20"/>
      <c r="H56" s="26"/>
    </row>
    <row r="57" ht="15" customHeight="1" spans="4:8">
      <c r="D57" s="11"/>
      <c r="F57" s="20"/>
      <c r="H57" s="26"/>
    </row>
    <row r="58" ht="15" customHeight="1" spans="4:8">
      <c r="D58" s="11"/>
      <c r="F58" s="20"/>
      <c r="H58" s="26"/>
    </row>
    <row r="59" ht="15" customHeight="1" spans="4:8">
      <c r="D59" s="11"/>
      <c r="F59" s="20"/>
      <c r="H59" s="26"/>
    </row>
    <row r="60" ht="15" customHeight="1" spans="4:8">
      <c r="D60" s="11"/>
      <c r="F60" s="20"/>
      <c r="H60" s="26"/>
    </row>
    <row r="61" ht="15" customHeight="1" spans="4:8">
      <c r="D61" s="11"/>
      <c r="F61" s="20"/>
      <c r="H61" s="26"/>
    </row>
    <row r="62" ht="15" customHeight="1" spans="4:8">
      <c r="D62" s="11"/>
      <c r="F62" s="20"/>
      <c r="H62" s="26"/>
    </row>
    <row r="63" ht="15" customHeight="1" spans="4:8">
      <c r="D63" s="11"/>
      <c r="F63" s="20"/>
      <c r="H63" s="26"/>
    </row>
    <row r="64" ht="15" customHeight="1" spans="4:8">
      <c r="D64" s="11"/>
      <c r="F64" s="20"/>
      <c r="H64" s="26"/>
    </row>
    <row r="65" ht="15" customHeight="1" spans="4:8">
      <c r="D65" s="11"/>
      <c r="F65" s="20"/>
      <c r="H65" s="26"/>
    </row>
    <row r="66" ht="15" customHeight="1" spans="4:8">
      <c r="D66" s="11"/>
      <c r="F66" s="20"/>
      <c r="H66" s="26"/>
    </row>
    <row r="68" ht="15" spans="1:12">
      <c r="A68" t="s">
        <v>12</v>
      </c>
      <c r="C68" s="34" t="s">
        <v>13</v>
      </c>
      <c r="D68" s="13"/>
      <c r="E68" s="13"/>
      <c r="F68" s="13"/>
      <c r="G68" s="13"/>
      <c r="H68" s="13"/>
      <c r="I68" s="13"/>
      <c r="J68" s="13"/>
      <c r="K68" s="13"/>
      <c r="L68" s="13"/>
    </row>
    <row r="69" ht="15" spans="3:12">
      <c r="C69" t="s">
        <v>14</v>
      </c>
      <c r="D69" s="14"/>
      <c r="E69" s="14">
        <f>F69-1</f>
        <v>2019</v>
      </c>
      <c r="F69" s="14">
        <f>G69-1</f>
        <v>2020</v>
      </c>
      <c r="G69" s="14">
        <f>YEAR(D10)</f>
        <v>2021</v>
      </c>
      <c r="H69" s="15">
        <f>G69+1</f>
        <v>2022</v>
      </c>
      <c r="I69" s="15">
        <f>H69+1</f>
        <v>2023</v>
      </c>
      <c r="J69" s="15">
        <f>I69+1</f>
        <v>2024</v>
      </c>
      <c r="K69" s="15">
        <f>J69+1</f>
        <v>2025</v>
      </c>
      <c r="L69" s="15">
        <f>K69+1</f>
        <v>2026</v>
      </c>
    </row>
    <row r="70" ht="15" spans="3:20">
      <c r="C70" s="16" t="s">
        <v>15</v>
      </c>
      <c r="D70" s="17"/>
      <c r="E70" s="17">
        <f>EOMONTH(F70,-12)</f>
        <v>43555</v>
      </c>
      <c r="F70" s="17">
        <f>EOMONTH(G70,-12)</f>
        <v>43921</v>
      </c>
      <c r="G70" s="17">
        <f>D10</f>
        <v>44283</v>
      </c>
      <c r="H70" s="17">
        <f>EOMONTH(G70,12)</f>
        <v>44651</v>
      </c>
      <c r="I70" s="17">
        <f>EOMONTH(H70,12)</f>
        <v>45016</v>
      </c>
      <c r="J70" s="17">
        <f>EOMONTH(I70,12)</f>
        <v>45382</v>
      </c>
      <c r="K70" s="17">
        <f>EOMONTH(J70,12)</f>
        <v>45747</v>
      </c>
      <c r="L70" s="17">
        <f>EOMONTH(K70,12)</f>
        <v>46112</v>
      </c>
      <c r="N70" s="57"/>
      <c r="O70" s="58"/>
      <c r="P70" s="58"/>
      <c r="Q70" s="58"/>
      <c r="R70" s="58"/>
      <c r="S70" s="58"/>
      <c r="T70" s="58"/>
    </row>
    <row r="71" ht="15" spans="3:12">
      <c r="C71" s="35"/>
      <c r="D71" s="35"/>
      <c r="E71" s="36"/>
      <c r="F71" s="37"/>
      <c r="G71" s="37"/>
      <c r="H71" s="38"/>
      <c r="I71" s="59"/>
      <c r="J71" s="59"/>
      <c r="K71" s="37"/>
      <c r="L71" s="37"/>
    </row>
    <row r="72" ht="15" spans="3:12">
      <c r="C72" t="s">
        <v>17</v>
      </c>
      <c r="D72" s="21"/>
      <c r="E72" s="21">
        <v>830.5</v>
      </c>
      <c r="F72" s="21">
        <v>958.1</v>
      </c>
      <c r="G72" s="21">
        <v>903.7</v>
      </c>
      <c r="H72" s="39">
        <f ca="1">G72*(1+H91)</f>
        <v>1155.92267</v>
      </c>
      <c r="I72" s="39">
        <f ca="1">H72*(1+I91)</f>
        <v>1354.163407905</v>
      </c>
      <c r="J72" s="39">
        <f ca="1">I72*(1+J91)</f>
        <v>1489.5797486955</v>
      </c>
      <c r="K72" s="39">
        <f ca="1">J72*(1+K91)</f>
        <v>1564.05873613028</v>
      </c>
      <c r="L72" s="39">
        <f ca="1">K72*(1+L91)</f>
        <v>1595.33991085288</v>
      </c>
    </row>
    <row r="73" ht="15" spans="3:12">
      <c r="C73" t="s">
        <v>19</v>
      </c>
      <c r="D73" s="21"/>
      <c r="E73" s="21">
        <v>-313.7</v>
      </c>
      <c r="F73" s="21">
        <v>-364.8</v>
      </c>
      <c r="G73" s="21">
        <v>-349.7</v>
      </c>
      <c r="H73" s="39">
        <f ca="1">H74-H72</f>
        <v>-447.34207329</v>
      </c>
      <c r="I73" s="39">
        <f ca="1">I74-I72</f>
        <v>-524.061238859235</v>
      </c>
      <c r="J73" s="39">
        <f ca="1">J74-J72</f>
        <v>-576.467362745159</v>
      </c>
      <c r="K73" s="39">
        <f ca="1">K74-K72</f>
        <v>-605.290730882417</v>
      </c>
      <c r="L73" s="39">
        <f ca="1">L74-L72</f>
        <v>-617.396545500065</v>
      </c>
    </row>
    <row r="74" ht="15" spans="3:12">
      <c r="C74" s="40" t="s">
        <v>21</v>
      </c>
      <c r="D74" s="41"/>
      <c r="E74" s="41">
        <f>SUM(E72:E73)</f>
        <v>516.8</v>
      </c>
      <c r="F74" s="41">
        <f>SUM(F72:F73)</f>
        <v>593.3</v>
      </c>
      <c r="G74" s="41">
        <f>SUM(G72:G73)</f>
        <v>554</v>
      </c>
      <c r="H74" s="41">
        <f ca="1">H72*H92</f>
        <v>708.58059671</v>
      </c>
      <c r="I74" s="41">
        <f ca="1">I72*I92</f>
        <v>830.102169045765</v>
      </c>
      <c r="J74" s="41">
        <f ca="1">J72*J92</f>
        <v>913.112385950342</v>
      </c>
      <c r="K74" s="41">
        <f ca="1">K72*K92</f>
        <v>958.768005247859</v>
      </c>
      <c r="L74" s="41">
        <f ca="1">L72*L92</f>
        <v>977.943365352816</v>
      </c>
    </row>
    <row r="75" ht="15" spans="3:12">
      <c r="C75" t="s">
        <v>23</v>
      </c>
      <c r="D75" s="21"/>
      <c r="E75" s="21">
        <v>-18</v>
      </c>
      <c r="F75" s="21">
        <v>-50.7</v>
      </c>
      <c r="G75" s="21">
        <v>-69.8</v>
      </c>
      <c r="H75" s="39">
        <f ca="1">-H93*H106</f>
        <v>-66.3189719460938</v>
      </c>
      <c r="I75" s="39">
        <f ca="1" t="shared" ref="I75:L75" si="21">-I93*I106</f>
        <v>-73.0421775809426</v>
      </c>
      <c r="J75" s="39">
        <f ca="1" t="shared" si="21"/>
        <v>-80.4377037792763</v>
      </c>
      <c r="K75" s="39">
        <f ca="1" t="shared" si="21"/>
        <v>-88.2030062875267</v>
      </c>
      <c r="L75" s="39">
        <f ca="1" t="shared" si="21"/>
        <v>-96.1236148459421</v>
      </c>
    </row>
    <row r="76" ht="15" spans="3:12">
      <c r="C76" t="s">
        <v>25</v>
      </c>
      <c r="D76" s="21"/>
      <c r="E76" s="21">
        <v>-302.1</v>
      </c>
      <c r="F76" s="21">
        <v>-350.5</v>
      </c>
      <c r="G76" s="21">
        <v>-367.3</v>
      </c>
      <c r="H76" s="39">
        <f ca="1">-H72*H94</f>
        <v>-437.747915129</v>
      </c>
      <c r="I76" s="39">
        <f ca="1">-I72*I94</f>
        <v>-512.821682573624</v>
      </c>
      <c r="J76" s="39">
        <f ca="1">-J72*J94</f>
        <v>-564.103850830986</v>
      </c>
      <c r="K76" s="39">
        <f ca="1">-K72*K94</f>
        <v>-592.309043372535</v>
      </c>
      <c r="L76" s="39">
        <f ca="1">-L72*L94</f>
        <v>-604.155224239986</v>
      </c>
    </row>
    <row r="77" ht="15" spans="3:14">
      <c r="C77" s="40" t="s">
        <v>27</v>
      </c>
      <c r="D77" s="41"/>
      <c r="E77" s="41">
        <f>E74+E75+E76</f>
        <v>196.7</v>
      </c>
      <c r="F77" s="41">
        <f>F74+F75+F76</f>
        <v>192.1</v>
      </c>
      <c r="G77" s="41">
        <f>G74+G75+G76</f>
        <v>116.9</v>
      </c>
      <c r="H77" s="41">
        <f ca="1" t="shared" ref="H77:L77" si="22">H74+H75+H76</f>
        <v>204.513709634906</v>
      </c>
      <c r="I77" s="41">
        <f ca="1" t="shared" si="22"/>
        <v>244.238308891199</v>
      </c>
      <c r="J77" s="41">
        <f ca="1" t="shared" si="22"/>
        <v>268.570831340079</v>
      </c>
      <c r="K77" s="41">
        <f ca="1" t="shared" si="22"/>
        <v>278.255955587797</v>
      </c>
      <c r="L77" s="41">
        <f ca="1" t="shared" si="22"/>
        <v>277.664526266888</v>
      </c>
      <c r="N77" s="40"/>
    </row>
    <row r="78" ht="15" spans="3:12">
      <c r="C78" t="s">
        <v>29</v>
      </c>
      <c r="D78" s="42"/>
      <c r="E78" s="21">
        <v>0.5</v>
      </c>
      <c r="F78" s="21">
        <v>0.4</v>
      </c>
      <c r="G78" s="21">
        <v>0.7</v>
      </c>
      <c r="H78" s="19">
        <f ca="1">H207</f>
        <v>1.30034701498112</v>
      </c>
      <c r="I78" s="19">
        <f ca="1">I207</f>
        <v>1.36965063578157</v>
      </c>
      <c r="J78" s="19">
        <f ca="1">J207</f>
        <v>1.61783906312113</v>
      </c>
      <c r="K78" s="19">
        <f ca="1">K207</f>
        <v>2.01630350749057</v>
      </c>
      <c r="L78" s="19">
        <f ca="1">L207</f>
        <v>2.51881500710769</v>
      </c>
    </row>
    <row r="79" ht="15" spans="3:12">
      <c r="C79" t="s">
        <v>31</v>
      </c>
      <c r="D79" s="42"/>
      <c r="E79" s="21">
        <v>-14.1</v>
      </c>
      <c r="F79" s="21">
        <v>-21</v>
      </c>
      <c r="G79" s="21">
        <v>-27.2</v>
      </c>
      <c r="H79" s="19">
        <f ca="1">-H193</f>
        <v>-34.5672207280426</v>
      </c>
      <c r="I79" s="19">
        <f ca="1" t="shared" ref="I79:L79" si="23">-I193</f>
        <v>-34.8547648924338</v>
      </c>
      <c r="J79" s="19">
        <f ca="1" t="shared" si="23"/>
        <v>-35.0752077059364</v>
      </c>
      <c r="K79" s="19">
        <f ca="1" t="shared" si="23"/>
        <v>-35.2208772788077</v>
      </c>
      <c r="L79" s="19">
        <f ca="1" t="shared" si="23"/>
        <v>-35.2983562498851</v>
      </c>
    </row>
    <row r="80" ht="15" spans="3:12">
      <c r="C80" t="s">
        <v>33</v>
      </c>
      <c r="D80" s="42"/>
      <c r="E80" s="21">
        <v>-0.6</v>
      </c>
      <c r="F80" s="21">
        <v>-7.8</v>
      </c>
      <c r="G80" s="21">
        <v>-4.4</v>
      </c>
      <c r="H80" s="19">
        <f>G80</f>
        <v>-4.4</v>
      </c>
      <c r="I80" s="19">
        <f>H80</f>
        <v>-4.4</v>
      </c>
      <c r="J80" s="19">
        <f>I80</f>
        <v>-4.4</v>
      </c>
      <c r="K80" s="19">
        <f>J80</f>
        <v>-4.4</v>
      </c>
      <c r="L80" s="19">
        <f>K80</f>
        <v>-4.4</v>
      </c>
    </row>
    <row r="81" ht="15" spans="3:12">
      <c r="C81" s="40" t="s">
        <v>35</v>
      </c>
      <c r="D81" s="43"/>
      <c r="E81" s="43">
        <f t="shared" ref="E81:L81" si="24">SUM(E78:E80)</f>
        <v>-14.2</v>
      </c>
      <c r="F81" s="43">
        <f t="shared" si="24"/>
        <v>-28.4</v>
      </c>
      <c r="G81" s="43">
        <f t="shared" si="24"/>
        <v>-30.9</v>
      </c>
      <c r="H81" s="41">
        <f ca="1" t="shared" si="24"/>
        <v>-37.6668737130614</v>
      </c>
      <c r="I81" s="41">
        <f ca="1" t="shared" si="24"/>
        <v>-37.8851142566522</v>
      </c>
      <c r="J81" s="41">
        <f ca="1" t="shared" si="24"/>
        <v>-37.8573686428153</v>
      </c>
      <c r="K81" s="41">
        <f ca="1" t="shared" si="24"/>
        <v>-37.6045737713171</v>
      </c>
      <c r="L81" s="41">
        <f ca="1" t="shared" si="24"/>
        <v>-37.1795412427774</v>
      </c>
    </row>
    <row r="82" ht="15" spans="3:15">
      <c r="C82" s="40" t="s">
        <v>36</v>
      </c>
      <c r="D82" s="43"/>
      <c r="E82" s="41">
        <f>SUM(E77:E80)</f>
        <v>182.5</v>
      </c>
      <c r="F82" s="41">
        <f>SUM(F77:F80)</f>
        <v>163.7</v>
      </c>
      <c r="G82" s="41">
        <f>SUM(G77:G80)</f>
        <v>86</v>
      </c>
      <c r="H82" s="41">
        <f ca="1">SUM(H77:H80)</f>
        <v>166.846835921845</v>
      </c>
      <c r="I82" s="41">
        <f ca="1">SUM(I77:I80)</f>
        <v>206.353194634547</v>
      </c>
      <c r="J82" s="41">
        <f ca="1" t="shared" ref="J82:L82" si="25">SUM(J77:J80)</f>
        <v>230.713462697264</v>
      </c>
      <c r="K82" s="41">
        <f ca="1" t="shared" si="25"/>
        <v>240.65138181648</v>
      </c>
      <c r="L82" s="41">
        <f ca="1" t="shared" si="25"/>
        <v>240.48498502411</v>
      </c>
      <c r="N82" s="40"/>
      <c r="O82" s="40"/>
    </row>
    <row r="83" ht="15" spans="3:12">
      <c r="C83" t="s">
        <v>38</v>
      </c>
      <c r="D83" s="21"/>
      <c r="E83" s="21">
        <v>-38.9</v>
      </c>
      <c r="F83" s="21">
        <v>-12</v>
      </c>
      <c r="G83" s="21">
        <v>-15.8</v>
      </c>
      <c r="H83" s="39">
        <f ca="1">-H95*H82</f>
        <v>-26.1491505055688</v>
      </c>
      <c r="I83" s="39">
        <f ca="1">-I95*I82</f>
        <v>-32.3408035518953</v>
      </c>
      <c r="J83" s="39">
        <f ca="1">-J95*J82</f>
        <v>-36.1586782656021</v>
      </c>
      <c r="K83" s="39">
        <f ca="1">-K95*K82</f>
        <v>-37.7162034132906</v>
      </c>
      <c r="L83" s="39">
        <f ca="1">-L95*L82</f>
        <v>-37.690124796077</v>
      </c>
    </row>
    <row r="84" ht="15" spans="3:14">
      <c r="C84" s="40" t="s">
        <v>40</v>
      </c>
      <c r="D84" s="43"/>
      <c r="E84" s="41">
        <f t="shared" ref="E84:L84" si="26">SUM(E82:E83)</f>
        <v>143.6</v>
      </c>
      <c r="F84" s="41">
        <f t="shared" si="26"/>
        <v>151.7</v>
      </c>
      <c r="G84" s="41">
        <f t="shared" si="26"/>
        <v>70.2</v>
      </c>
      <c r="H84" s="41">
        <f ca="1" t="shared" si="26"/>
        <v>140.697685416276</v>
      </c>
      <c r="I84" s="41">
        <f ca="1" t="shared" si="26"/>
        <v>174.012391082651</v>
      </c>
      <c r="J84" s="41">
        <f ca="1" t="shared" si="26"/>
        <v>194.554784431662</v>
      </c>
      <c r="K84" s="41">
        <f ca="1" t="shared" si="26"/>
        <v>202.935178403189</v>
      </c>
      <c r="L84" s="41">
        <f ca="1" t="shared" si="26"/>
        <v>202.794860228033</v>
      </c>
      <c r="N84" s="40"/>
    </row>
    <row r="85" spans="3:12">
      <c r="C85" s="44"/>
      <c r="D85" s="45"/>
      <c r="E85" s="45"/>
      <c r="F85" s="45"/>
      <c r="G85" s="45"/>
      <c r="H85" s="45"/>
      <c r="I85" s="45"/>
      <c r="J85" s="45"/>
      <c r="K85" s="45"/>
      <c r="L85" s="45"/>
    </row>
    <row r="86" ht="15" spans="3:12">
      <c r="C86" s="46" t="s">
        <v>42</v>
      </c>
      <c r="D86" s="42"/>
      <c r="E86" s="21">
        <v>22.7</v>
      </c>
      <c r="F86" s="21">
        <v>63.1</v>
      </c>
      <c r="G86" s="21">
        <v>84.6</v>
      </c>
      <c r="H86" s="19">
        <f ca="1">H173</f>
        <v>98.9661154882812</v>
      </c>
      <c r="I86" s="19">
        <f ca="1">I173</f>
        <v>115.938804294521</v>
      </c>
      <c r="J86" s="19">
        <f ca="1">J173</f>
        <v>127.532684723974</v>
      </c>
      <c r="K86" s="19">
        <f ca="1">K173</f>
        <v>133.909318960172</v>
      </c>
      <c r="L86" s="19">
        <f ca="1">L173</f>
        <v>136.587505339376</v>
      </c>
    </row>
    <row r="87" ht="15" spans="3:14">
      <c r="C87" s="47" t="s">
        <v>44</v>
      </c>
      <c r="D87" s="43"/>
      <c r="E87" s="41">
        <f>E77+E86</f>
        <v>219.4</v>
      </c>
      <c r="F87" s="41">
        <f>F77+F86</f>
        <v>255.2</v>
      </c>
      <c r="G87" s="41">
        <f>G77+G86</f>
        <v>201.5</v>
      </c>
      <c r="H87" s="41">
        <f ca="1" t="shared" ref="H87:L87" si="27">H77+H86</f>
        <v>303.479825123188</v>
      </c>
      <c r="I87" s="41">
        <f ca="1" t="shared" si="27"/>
        <v>360.17711318572</v>
      </c>
      <c r="J87" s="41">
        <f ca="1" t="shared" si="27"/>
        <v>396.103516064053</v>
      </c>
      <c r="K87" s="41">
        <f ca="1" t="shared" si="27"/>
        <v>412.165274547969</v>
      </c>
      <c r="L87" s="41">
        <f ca="1" t="shared" si="27"/>
        <v>414.252031606264</v>
      </c>
      <c r="N87" s="40"/>
    </row>
    <row r="88" ht="15" spans="3:12">
      <c r="C88" s="46" t="s">
        <v>46</v>
      </c>
      <c r="D88" s="42"/>
      <c r="E88" s="21">
        <v>6.6</v>
      </c>
      <c r="F88" s="21">
        <v>7.8</v>
      </c>
      <c r="G88" s="21">
        <v>11.3</v>
      </c>
      <c r="H88" s="19">
        <f ca="1">G88*(1+H91)</f>
        <v>14.45383</v>
      </c>
      <c r="I88" s="19">
        <f ca="1">H88*(1+I91)</f>
        <v>16.932661845</v>
      </c>
      <c r="J88" s="19">
        <f ca="1">I88*(1+J91)</f>
        <v>18.6259280295</v>
      </c>
      <c r="K88" s="19">
        <f ca="1">J88*(1+K91)</f>
        <v>19.557224430975</v>
      </c>
      <c r="L88" s="19">
        <f ca="1">K88*(1+L91)</f>
        <v>19.9483689195945</v>
      </c>
    </row>
    <row r="89" spans="3:8">
      <c r="C89" s="44"/>
      <c r="H89" s="48"/>
    </row>
    <row r="90" ht="15" spans="3:3">
      <c r="C90" s="49" t="s">
        <v>48</v>
      </c>
    </row>
    <row r="91" ht="15" spans="3:21">
      <c r="C91" s="44" t="s">
        <v>49</v>
      </c>
      <c r="D91" s="50"/>
      <c r="E91" s="51" t="s">
        <v>50</v>
      </c>
      <c r="F91" s="50">
        <f>F72/E72-1</f>
        <v>0.15364238410596</v>
      </c>
      <c r="G91" s="50">
        <f>G72/F72-1</f>
        <v>-0.0567790418536687</v>
      </c>
      <c r="H91" s="50">
        <f ca="1">H214</f>
        <v>0.2791</v>
      </c>
      <c r="I91" s="50">
        <f ca="1" t="shared" ref="I91:L91" si="28">I214</f>
        <v>0.1715</v>
      </c>
      <c r="J91" s="50">
        <f ca="1" t="shared" si="28"/>
        <v>0.1</v>
      </c>
      <c r="K91" s="50">
        <f ca="1" t="shared" si="28"/>
        <v>0.05</v>
      </c>
      <c r="L91" s="50">
        <f ca="1" t="shared" si="28"/>
        <v>0.02</v>
      </c>
      <c r="P91" s="60"/>
      <c r="Q91" s="60"/>
      <c r="R91" s="60"/>
      <c r="S91" s="60"/>
      <c r="T91" s="60"/>
      <c r="U91" s="60"/>
    </row>
    <row r="92" ht="15" spans="3:21">
      <c r="C92" s="44" t="s">
        <v>52</v>
      </c>
      <c r="D92" s="50"/>
      <c r="E92" s="50">
        <f>E74/E72</f>
        <v>0.622275737507526</v>
      </c>
      <c r="F92" s="50">
        <f>F74/F72</f>
        <v>0.619246425216574</v>
      </c>
      <c r="G92" s="50">
        <f>G74/G72</f>
        <v>0.613035299324997</v>
      </c>
      <c r="H92" s="50">
        <f ca="1" t="shared" ref="H92:L94" si="29">H215</f>
        <v>0.613</v>
      </c>
      <c r="I92" s="50">
        <f ca="1" t="shared" si="29"/>
        <v>0.613</v>
      </c>
      <c r="J92" s="50">
        <f ca="1" t="shared" si="29"/>
        <v>0.613</v>
      </c>
      <c r="K92" s="50">
        <f ca="1" t="shared" si="29"/>
        <v>0.613</v>
      </c>
      <c r="L92" s="50">
        <f ca="1" t="shared" si="29"/>
        <v>0.613</v>
      </c>
      <c r="P92" s="60"/>
      <c r="Q92" s="60"/>
      <c r="R92" s="60"/>
      <c r="S92" s="60"/>
      <c r="T92" s="60"/>
      <c r="U92" s="60"/>
    </row>
    <row r="93" ht="15" spans="3:21">
      <c r="C93" s="44" t="s">
        <v>54</v>
      </c>
      <c r="D93" s="50"/>
      <c r="E93" s="51" t="s">
        <v>50</v>
      </c>
      <c r="F93" s="50">
        <f t="shared" ref="F93:G93" si="30">-F75/F106</f>
        <v>0.440486533449175</v>
      </c>
      <c r="G93" s="50">
        <f t="shared" si="30"/>
        <v>0.599141630901288</v>
      </c>
      <c r="H93" s="50">
        <f ca="1" t="shared" si="29"/>
        <v>0.52</v>
      </c>
      <c r="I93" s="50">
        <f ca="1" t="shared" si="29"/>
        <v>0.52</v>
      </c>
      <c r="J93" s="50">
        <f ca="1" t="shared" si="29"/>
        <v>0.52</v>
      </c>
      <c r="K93" s="50">
        <f ca="1" t="shared" si="29"/>
        <v>0.52</v>
      </c>
      <c r="L93" s="50">
        <f ca="1" t="shared" si="29"/>
        <v>0.52</v>
      </c>
      <c r="P93" s="60"/>
      <c r="Q93" s="60"/>
      <c r="R93" s="60"/>
      <c r="S93" s="60"/>
      <c r="T93" s="60"/>
      <c r="U93" s="60"/>
    </row>
    <row r="94" ht="15" spans="3:21">
      <c r="C94" s="44" t="s">
        <v>55</v>
      </c>
      <c r="D94" s="50"/>
      <c r="E94" s="50">
        <f>-E76/E72</f>
        <v>0.363756773028296</v>
      </c>
      <c r="F94" s="50">
        <f>-F76/F72</f>
        <v>0.365828201649097</v>
      </c>
      <c r="G94" s="50">
        <f>-G76/G72</f>
        <v>0.406440190328649</v>
      </c>
      <c r="H94" s="50">
        <f ca="1" t="shared" si="29"/>
        <v>0.3787</v>
      </c>
      <c r="I94" s="50">
        <f ca="1" t="shared" si="29"/>
        <v>0.3787</v>
      </c>
      <c r="J94" s="50">
        <f ca="1" t="shared" si="29"/>
        <v>0.3787</v>
      </c>
      <c r="K94" s="50">
        <f ca="1" t="shared" si="29"/>
        <v>0.3787</v>
      </c>
      <c r="L94" s="50">
        <f ca="1" t="shared" si="29"/>
        <v>0.3787</v>
      </c>
      <c r="P94" s="60"/>
      <c r="Q94" s="60"/>
      <c r="R94" s="60"/>
      <c r="S94" s="60"/>
      <c r="T94" s="60"/>
      <c r="U94" s="60"/>
    </row>
    <row r="95" ht="15" spans="3:21">
      <c r="C95" s="44" t="s">
        <v>56</v>
      </c>
      <c r="D95" s="50"/>
      <c r="E95" s="50">
        <f>-(E83/E82)</f>
        <v>0.213150684931507</v>
      </c>
      <c r="F95" s="50">
        <f>-(F83/F82)</f>
        <v>0.0733048259010385</v>
      </c>
      <c r="G95" s="50">
        <f>-(G83/G82)</f>
        <v>0.183720930232558</v>
      </c>
      <c r="H95" s="50">
        <f>AVERAGE(E95:G95)</f>
        <v>0.156725480355035</v>
      </c>
      <c r="I95" s="50">
        <f t="shared" ref="I95:L95" si="31">H95</f>
        <v>0.156725480355035</v>
      </c>
      <c r="J95" s="50">
        <f t="shared" si="31"/>
        <v>0.156725480355035</v>
      </c>
      <c r="K95" s="50">
        <f t="shared" si="31"/>
        <v>0.156725480355035</v>
      </c>
      <c r="L95" s="50">
        <f t="shared" si="31"/>
        <v>0.156725480355035</v>
      </c>
      <c r="P95" s="60"/>
      <c r="Q95" s="60"/>
      <c r="R95" s="60"/>
      <c r="S95" s="60"/>
      <c r="T95" s="60"/>
      <c r="U95" s="60"/>
    </row>
    <row r="96" spans="3:8">
      <c r="C96" s="44"/>
      <c r="D96" s="44"/>
      <c r="H96" s="48"/>
    </row>
    <row r="97" ht="15" spans="1:12">
      <c r="A97" t="s">
        <v>12</v>
      </c>
      <c r="C97" s="34" t="s">
        <v>57</v>
      </c>
      <c r="D97" s="34"/>
      <c r="E97" s="52"/>
      <c r="F97" s="52"/>
      <c r="G97" s="52"/>
      <c r="H97" s="13"/>
      <c r="I97" s="13"/>
      <c r="J97" s="13"/>
      <c r="K97" s="13"/>
      <c r="L97" s="13"/>
    </row>
    <row r="98" ht="15" spans="3:12">
      <c r="C98" s="53" t="str">
        <f>C69</f>
        <v>Fiscal year  </v>
      </c>
      <c r="D98" s="53"/>
      <c r="E98" s="54">
        <f t="shared" ref="E98:L99" si="32">E69</f>
        <v>2019</v>
      </c>
      <c r="F98" s="54">
        <f t="shared" si="32"/>
        <v>2020</v>
      </c>
      <c r="G98" s="54">
        <f t="shared" si="32"/>
        <v>2021</v>
      </c>
      <c r="H98" s="55">
        <f t="shared" si="32"/>
        <v>2022</v>
      </c>
      <c r="I98" s="55">
        <f t="shared" si="32"/>
        <v>2023</v>
      </c>
      <c r="J98" s="55">
        <f t="shared" si="32"/>
        <v>2024</v>
      </c>
      <c r="K98" s="55">
        <f t="shared" si="32"/>
        <v>2025</v>
      </c>
      <c r="L98" s="55">
        <f t="shared" si="32"/>
        <v>2026</v>
      </c>
    </row>
    <row r="99" ht="15" spans="3:12">
      <c r="C99" s="13" t="str">
        <f>C70</f>
        <v>Fiscal year end date</v>
      </c>
      <c r="D99" s="13"/>
      <c r="E99" s="56">
        <f t="shared" si="32"/>
        <v>43555</v>
      </c>
      <c r="F99" s="56">
        <f t="shared" si="32"/>
        <v>43921</v>
      </c>
      <c r="G99" s="56">
        <f t="shared" si="32"/>
        <v>44283</v>
      </c>
      <c r="H99" s="56">
        <f t="shared" si="32"/>
        <v>44651</v>
      </c>
      <c r="I99" s="56">
        <f t="shared" si="32"/>
        <v>45016</v>
      </c>
      <c r="J99" s="56">
        <f t="shared" si="32"/>
        <v>45382</v>
      </c>
      <c r="K99" s="56">
        <f t="shared" si="32"/>
        <v>45747</v>
      </c>
      <c r="L99" s="56">
        <f t="shared" si="32"/>
        <v>46112</v>
      </c>
    </row>
    <row r="100" ht="15" spans="3:12">
      <c r="C100" t="s">
        <v>58</v>
      </c>
      <c r="E100" s="42"/>
      <c r="F100" s="21">
        <v>31.7</v>
      </c>
      <c r="G100" s="21">
        <v>477.9</v>
      </c>
      <c r="H100" s="19">
        <f ca="1">H157+G100</f>
        <v>468.752626906259</v>
      </c>
      <c r="I100" s="19">
        <f ca="1" t="shared" ref="I100:L100" si="33">I157+H100</f>
        <v>528.353035942724</v>
      </c>
      <c r="J100" s="19">
        <f ca="1" t="shared" si="33"/>
        <v>649.433802009458</v>
      </c>
      <c r="K100" s="19">
        <f ca="1" t="shared" si="33"/>
        <v>818.435151443674</v>
      </c>
      <c r="L100" s="19">
        <f ca="1" t="shared" si="33"/>
        <v>1015.26217373073</v>
      </c>
    </row>
    <row r="101" ht="15" spans="3:23">
      <c r="C101" t="s">
        <v>60</v>
      </c>
      <c r="E101" s="42"/>
      <c r="F101" s="21">
        <v>32.3</v>
      </c>
      <c r="G101" s="21">
        <v>40.9</v>
      </c>
      <c r="H101" s="19">
        <f ca="1">G101*(1+H91)</f>
        <v>52.31519</v>
      </c>
      <c r="I101" s="19">
        <f ca="1" t="shared" ref="I101:L101" si="34">H101*(1+I91)</f>
        <v>61.287245085</v>
      </c>
      <c r="J101" s="19">
        <f ca="1" t="shared" si="34"/>
        <v>67.4159695935</v>
      </c>
      <c r="K101" s="19">
        <f ca="1" t="shared" si="34"/>
        <v>70.786768073175</v>
      </c>
      <c r="L101" s="19">
        <f ca="1" t="shared" si="34"/>
        <v>72.2025034346385</v>
      </c>
      <c r="W101" s="19"/>
    </row>
    <row r="102" ht="15" spans="3:12">
      <c r="C102" t="s">
        <v>62</v>
      </c>
      <c r="E102" s="42"/>
      <c r="F102" s="21">
        <v>412.3</v>
      </c>
      <c r="G102" s="21">
        <v>342.3</v>
      </c>
      <c r="H102" s="19">
        <f ca="1">G102*H73/G73</f>
        <v>437.875869851779</v>
      </c>
      <c r="I102" s="19">
        <f ca="1">H102*I73/H73</f>
        <v>512.971581531359</v>
      </c>
      <c r="J102" s="19">
        <f ca="1">I102*J73/I73</f>
        <v>564.268739684495</v>
      </c>
      <c r="K102" s="19">
        <f ca="1">J102*K73/J73</f>
        <v>592.482176668719</v>
      </c>
      <c r="L102" s="19">
        <f ca="1">K102*L73/K73</f>
        <v>604.331820202094</v>
      </c>
    </row>
    <row r="103" ht="15" spans="3:12">
      <c r="C103" t="s">
        <v>64</v>
      </c>
      <c r="E103" s="42"/>
      <c r="F103" s="21">
        <v>12</v>
      </c>
      <c r="G103" s="21">
        <v>4.8</v>
      </c>
      <c r="H103" s="19">
        <f ca="1">G103*(1+H91)</f>
        <v>6.13968</v>
      </c>
      <c r="I103" s="19">
        <f ca="1" t="shared" ref="I103:L103" si="35">H103*(1+I91)</f>
        <v>7.19263512</v>
      </c>
      <c r="J103" s="19">
        <f ca="1" t="shared" si="35"/>
        <v>7.911898632</v>
      </c>
      <c r="K103" s="19">
        <f ca="1" t="shared" si="35"/>
        <v>8.3074935636</v>
      </c>
      <c r="L103" s="19">
        <f ca="1" t="shared" si="35"/>
        <v>8.473643434872</v>
      </c>
    </row>
    <row r="104" ht="15" spans="3:15">
      <c r="C104" t="s">
        <v>66</v>
      </c>
      <c r="E104" s="42"/>
      <c r="F104" s="21">
        <v>43.5</v>
      </c>
      <c r="G104" s="21">
        <v>31</v>
      </c>
      <c r="H104" s="19">
        <f ca="1">G104*(1+H91)</f>
        <v>39.6521</v>
      </c>
      <c r="I104" s="19">
        <f ca="1" t="shared" ref="I104:L104" si="36">H104*(1+I91)</f>
        <v>46.45243515</v>
      </c>
      <c r="J104" s="19">
        <f ca="1" t="shared" si="36"/>
        <v>51.097678665</v>
      </c>
      <c r="K104" s="19">
        <f ca="1" t="shared" si="36"/>
        <v>53.65256259825</v>
      </c>
      <c r="L104" s="19">
        <f ca="1" t="shared" si="36"/>
        <v>54.725613850215</v>
      </c>
      <c r="O104" s="45"/>
    </row>
    <row r="105" ht="15" spans="3:15">
      <c r="C105" t="s">
        <v>67</v>
      </c>
      <c r="E105" s="42"/>
      <c r="F105" s="21">
        <v>40.8</v>
      </c>
      <c r="G105" s="21">
        <v>46.9</v>
      </c>
      <c r="H105" s="19">
        <f ca="1">G105*(1+H91)</f>
        <v>59.98979</v>
      </c>
      <c r="I105" s="19">
        <f ca="1" t="shared" ref="I105:L105" si="37">H105*(1+I91)</f>
        <v>70.278038985</v>
      </c>
      <c r="J105" s="19">
        <f ca="1" t="shared" si="37"/>
        <v>77.3058428835</v>
      </c>
      <c r="K105" s="19">
        <f ca="1" t="shared" si="37"/>
        <v>81.171135027675</v>
      </c>
      <c r="L105" s="19">
        <f ca="1" t="shared" si="37"/>
        <v>82.7945577282285</v>
      </c>
      <c r="O105" s="45"/>
    </row>
    <row r="106" ht="15" spans="3:12">
      <c r="C106" t="s">
        <v>68</v>
      </c>
      <c r="E106" s="42"/>
      <c r="F106" s="21">
        <v>115.1</v>
      </c>
      <c r="G106" s="21">
        <v>116.5</v>
      </c>
      <c r="H106" s="19">
        <f ca="1">H166</f>
        <v>127.536484511719</v>
      </c>
      <c r="I106" s="19">
        <f ca="1" t="shared" ref="I106:L106" si="38">I166</f>
        <v>140.465726117197</v>
      </c>
      <c r="J106" s="19">
        <f ca="1" t="shared" si="38"/>
        <v>154.687891883224</v>
      </c>
      <c r="K106" s="19">
        <f ca="1" t="shared" si="38"/>
        <v>169.621165937551</v>
      </c>
      <c r="L106" s="19">
        <f ca="1" t="shared" si="38"/>
        <v>184.853105472966</v>
      </c>
    </row>
    <row r="107" ht="15" spans="3:18">
      <c r="C107" t="s">
        <v>70</v>
      </c>
      <c r="E107" s="42"/>
      <c r="F107" s="21">
        <v>161.7</v>
      </c>
      <c r="G107" s="21">
        <v>155</v>
      </c>
      <c r="H107" s="19">
        <f ca="1">G107*(1+H91)</f>
        <v>198.2605</v>
      </c>
      <c r="I107" s="19">
        <f ca="1" t="shared" ref="I107:L107" si="39">H107*(1+I91)</f>
        <v>232.26217575</v>
      </c>
      <c r="J107" s="19">
        <f ca="1" t="shared" si="39"/>
        <v>255.488393325</v>
      </c>
      <c r="K107" s="19">
        <f ca="1" t="shared" si="39"/>
        <v>268.26281299125</v>
      </c>
      <c r="L107" s="19">
        <f ca="1" t="shared" si="39"/>
        <v>273.628069251075</v>
      </c>
      <c r="R107" s="32"/>
    </row>
    <row r="108" ht="15" spans="3:12">
      <c r="C108" t="s">
        <v>71</v>
      </c>
      <c r="E108" s="42"/>
      <c r="F108" s="21">
        <v>211.8</v>
      </c>
      <c r="G108" s="21">
        <v>233.7</v>
      </c>
      <c r="H108" s="19">
        <f ca="1">G108*(1+H91)</f>
        <v>298.92567</v>
      </c>
      <c r="I108" s="19">
        <f ca="1" t="shared" ref="I108:L108" si="40">H108*(1+I91)</f>
        <v>350.191422405</v>
      </c>
      <c r="J108" s="19">
        <f ca="1" t="shared" si="40"/>
        <v>385.2105646455</v>
      </c>
      <c r="K108" s="19">
        <f ca="1" t="shared" si="40"/>
        <v>404.471092877775</v>
      </c>
      <c r="L108" s="19">
        <f ca="1" t="shared" si="40"/>
        <v>412.560514735331</v>
      </c>
    </row>
    <row r="109" ht="15" spans="3:12">
      <c r="C109" t="s">
        <v>72</v>
      </c>
      <c r="E109" s="42"/>
      <c r="F109" s="21">
        <v>53.1</v>
      </c>
      <c r="G109" s="21">
        <v>53.1</v>
      </c>
      <c r="H109" s="19">
        <f ca="1">G109*(1+H91)</f>
        <v>67.92021</v>
      </c>
      <c r="I109" s="19">
        <f ca="1" t="shared" ref="I109:L109" si="41">H109*(1+I91)</f>
        <v>79.568526015</v>
      </c>
      <c r="J109" s="19">
        <f ca="1" t="shared" si="41"/>
        <v>87.5253786165</v>
      </c>
      <c r="K109" s="19">
        <f ca="1" t="shared" si="41"/>
        <v>91.901647547325</v>
      </c>
      <c r="L109" s="19">
        <f ca="1" t="shared" si="41"/>
        <v>93.7396804982715</v>
      </c>
    </row>
    <row r="110" ht="15" spans="3:12">
      <c r="C110" t="s">
        <v>73</v>
      </c>
      <c r="E110" s="42"/>
      <c r="F110" s="21">
        <v>6</v>
      </c>
      <c r="G110" s="21">
        <v>5.1</v>
      </c>
      <c r="H110" s="19">
        <f ca="1">G110*(1+H91)</f>
        <v>6.52341</v>
      </c>
      <c r="I110" s="19">
        <f ca="1" t="shared" ref="I110:L110" si="42">H110*(1+I91)</f>
        <v>7.642174815</v>
      </c>
      <c r="J110" s="19">
        <f ca="1" t="shared" si="42"/>
        <v>8.4063922965</v>
      </c>
      <c r="K110" s="19">
        <f ca="1" t="shared" si="42"/>
        <v>8.826711911325</v>
      </c>
      <c r="L110" s="19">
        <f ca="1" t="shared" si="42"/>
        <v>9.0032461495515</v>
      </c>
    </row>
    <row r="111" ht="15" spans="3:12">
      <c r="C111" s="47" t="s">
        <v>74</v>
      </c>
      <c r="D111" s="47"/>
      <c r="E111" s="43"/>
      <c r="F111" s="41">
        <f>SUM(F100:F110)</f>
        <v>1120.3</v>
      </c>
      <c r="G111" s="41">
        <f t="shared" ref="G111:L111" si="43">SUM(G100:G110)</f>
        <v>1507.2</v>
      </c>
      <c r="H111" s="41">
        <f ca="1" t="shared" si="43"/>
        <v>1763.89153126976</v>
      </c>
      <c r="I111" s="41">
        <f ca="1" t="shared" si="43"/>
        <v>2036.66499691628</v>
      </c>
      <c r="J111" s="41">
        <f ca="1" t="shared" si="43"/>
        <v>2308.75255223468</v>
      </c>
      <c r="K111" s="41">
        <f ca="1" t="shared" si="43"/>
        <v>2567.91871864032</v>
      </c>
      <c r="L111" s="41">
        <f ca="1" t="shared" si="43"/>
        <v>2811.57492848797</v>
      </c>
    </row>
    <row r="112" spans="3:12">
      <c r="C112" s="46"/>
      <c r="D112" s="46"/>
      <c r="E112" s="45"/>
      <c r="F112" s="45"/>
      <c r="G112" s="45"/>
      <c r="H112" s="45"/>
      <c r="I112" s="45"/>
      <c r="J112" s="45"/>
      <c r="K112" s="45"/>
      <c r="L112" s="45"/>
    </row>
    <row r="113" ht="15" spans="3:12">
      <c r="C113" s="46" t="s">
        <v>75</v>
      </c>
      <c r="D113" s="46"/>
      <c r="E113" s="42"/>
      <c r="F113" s="21">
        <v>144.4</v>
      </c>
      <c r="G113" s="21">
        <v>177.8</v>
      </c>
      <c r="H113" s="19">
        <f ca="1">G113*H73/G73</f>
        <v>227.44472585348</v>
      </c>
      <c r="I113" s="19">
        <f ca="1">H113*I73/H73</f>
        <v>266.451496337352</v>
      </c>
      <c r="J113" s="19">
        <f ca="1">I113*J73/I73</f>
        <v>293.096645971087</v>
      </c>
      <c r="K113" s="19">
        <f ca="1">J113*K73/J73</f>
        <v>307.751478269642</v>
      </c>
      <c r="L113" s="19">
        <f ca="1">K113*L73/K73</f>
        <v>313.906507835034</v>
      </c>
    </row>
    <row r="114" ht="15" spans="3:12">
      <c r="C114" s="46" t="s">
        <v>77</v>
      </c>
      <c r="D114" s="46"/>
      <c r="E114" s="42"/>
      <c r="F114" s="21">
        <v>15.6</v>
      </c>
      <c r="G114" s="21">
        <v>20</v>
      </c>
      <c r="H114" s="19">
        <f ca="1">G114*(1+H91)</f>
        <v>25.582</v>
      </c>
      <c r="I114" s="19">
        <f ca="1" t="shared" ref="I114:L114" si="44">H114*(1+I91)</f>
        <v>29.969313</v>
      </c>
      <c r="J114" s="19">
        <f ca="1" t="shared" si="44"/>
        <v>32.9662443</v>
      </c>
      <c r="K114" s="19">
        <f ca="1" t="shared" si="44"/>
        <v>34.614556515</v>
      </c>
      <c r="L114" s="19">
        <f ca="1" t="shared" si="44"/>
        <v>35.3068476453</v>
      </c>
    </row>
    <row r="115" ht="15" spans="3:12">
      <c r="C115" s="46" t="s">
        <v>78</v>
      </c>
      <c r="D115" s="46"/>
      <c r="E115" s="42"/>
      <c r="F115" s="21">
        <v>13</v>
      </c>
      <c r="G115" s="21">
        <v>19.1</v>
      </c>
      <c r="H115" s="19">
        <f ca="1">G115*(1+H91)</f>
        <v>24.43081</v>
      </c>
      <c r="I115" s="19">
        <f ca="1" t="shared" ref="I115:L115" si="45">H115*(1+I91)</f>
        <v>28.620693915</v>
      </c>
      <c r="J115" s="19">
        <f ca="1" t="shared" si="45"/>
        <v>31.4827633065</v>
      </c>
      <c r="K115" s="19">
        <f ca="1" t="shared" si="45"/>
        <v>33.056901471825</v>
      </c>
      <c r="L115" s="19">
        <f ca="1" t="shared" si="45"/>
        <v>33.7180395012615</v>
      </c>
    </row>
    <row r="116" ht="15" spans="3:12">
      <c r="C116" s="46" t="s">
        <v>80</v>
      </c>
      <c r="D116" s="46"/>
      <c r="E116" s="42"/>
      <c r="F116" s="21">
        <v>0</v>
      </c>
      <c r="G116" s="21">
        <v>0</v>
      </c>
      <c r="H116" s="19">
        <f ca="1">G116*(1+H91)</f>
        <v>0</v>
      </c>
      <c r="I116" s="19">
        <f ca="1" t="shared" ref="I116:L116" si="46">H116*(1+I91)</f>
        <v>0</v>
      </c>
      <c r="J116" s="19">
        <f ca="1" t="shared" si="46"/>
        <v>0</v>
      </c>
      <c r="K116" s="19">
        <f ca="1" t="shared" si="46"/>
        <v>0</v>
      </c>
      <c r="L116" s="19">
        <f ca="1" t="shared" si="46"/>
        <v>0</v>
      </c>
    </row>
    <row r="117" ht="15" spans="3:12">
      <c r="C117" s="46" t="s">
        <v>81</v>
      </c>
      <c r="D117" s="46"/>
      <c r="E117" s="42"/>
      <c r="F117" s="21">
        <v>35.9</v>
      </c>
      <c r="G117" s="21">
        <v>45.2</v>
      </c>
      <c r="H117" s="19">
        <f ca="1">G117*(1+H91)</f>
        <v>57.81532</v>
      </c>
      <c r="I117" s="19">
        <f ca="1" t="shared" ref="I117:L117" si="47">H117*(1+I91)</f>
        <v>67.73064738</v>
      </c>
      <c r="J117" s="19">
        <f ca="1" t="shared" si="47"/>
        <v>74.503712118</v>
      </c>
      <c r="K117" s="19">
        <f ca="1" t="shared" si="47"/>
        <v>78.2288977239</v>
      </c>
      <c r="L117" s="19">
        <f ca="1" t="shared" si="47"/>
        <v>79.793475678378</v>
      </c>
    </row>
    <row r="118" ht="15" spans="3:12">
      <c r="C118" s="47" t="s">
        <v>82</v>
      </c>
      <c r="D118" s="46"/>
      <c r="E118" s="42"/>
      <c r="F118" s="21">
        <f>SUM(F113:F117)</f>
        <v>208.9</v>
      </c>
      <c r="G118" s="21">
        <f>SUM(G113:G117)</f>
        <v>262.1</v>
      </c>
      <c r="H118" s="19">
        <f ca="1">SUM(H113:H117)</f>
        <v>335.27285585348</v>
      </c>
      <c r="I118" s="19">
        <f ca="1" t="shared" ref="I118:L118" si="48">SUM(I113:I117)</f>
        <v>392.772150632352</v>
      </c>
      <c r="J118" s="19">
        <f ca="1" t="shared" si="48"/>
        <v>432.049365695587</v>
      </c>
      <c r="K118" s="19">
        <f ca="1" t="shared" si="48"/>
        <v>453.651833980367</v>
      </c>
      <c r="L118" s="19">
        <f ca="1" t="shared" si="48"/>
        <v>462.724870659974</v>
      </c>
    </row>
    <row r="119" ht="15" spans="3:12">
      <c r="C119" s="46" t="s">
        <v>77</v>
      </c>
      <c r="D119" s="46"/>
      <c r="E119" s="42"/>
      <c r="F119" s="21">
        <v>21.4</v>
      </c>
      <c r="G119" s="21">
        <v>25.6</v>
      </c>
      <c r="H119" s="19">
        <f ca="1">G119*(1+H91)</f>
        <v>32.74496</v>
      </c>
      <c r="I119" s="19">
        <f ca="1" t="shared" ref="I119:L119" si="49">H119*(1+I91)</f>
        <v>38.36072064</v>
      </c>
      <c r="J119" s="19">
        <f ca="1" t="shared" si="49"/>
        <v>42.196792704</v>
      </c>
      <c r="K119" s="19">
        <f ca="1" t="shared" si="49"/>
        <v>44.3066323392</v>
      </c>
      <c r="L119" s="19">
        <f ca="1" t="shared" si="49"/>
        <v>45.192764985984</v>
      </c>
    </row>
    <row r="120" ht="15" spans="3:12">
      <c r="C120" s="46" t="s">
        <v>67</v>
      </c>
      <c r="D120" s="46"/>
      <c r="E120" s="42"/>
      <c r="F120" s="21">
        <v>15.1</v>
      </c>
      <c r="G120" s="21">
        <v>21.6</v>
      </c>
      <c r="H120" s="19">
        <f ca="1">G120*(1+H91)</f>
        <v>27.62856</v>
      </c>
      <c r="I120" s="19">
        <f ca="1" t="shared" ref="I120:L120" si="50">H120*(1+I91)</f>
        <v>32.36685804</v>
      </c>
      <c r="J120" s="19">
        <f ca="1" t="shared" si="50"/>
        <v>35.603543844</v>
      </c>
      <c r="K120" s="19">
        <f ca="1" t="shared" si="50"/>
        <v>37.3837210362</v>
      </c>
      <c r="L120" s="19">
        <f ca="1" t="shared" si="50"/>
        <v>38.131395456924</v>
      </c>
    </row>
    <row r="121" ht="15" spans="3:12">
      <c r="C121" s="46" t="s">
        <v>84</v>
      </c>
      <c r="D121" s="46"/>
      <c r="E121" s="42"/>
      <c r="F121" s="21">
        <v>0</v>
      </c>
      <c r="G121" s="21">
        <v>0</v>
      </c>
      <c r="H121" s="19">
        <f ca="1">G121*(1+H91)</f>
        <v>0</v>
      </c>
      <c r="I121" s="19">
        <f ca="1" t="shared" ref="I121:L121" si="51">H121*(1+I91)</f>
        <v>0</v>
      </c>
      <c r="J121" s="19">
        <f ca="1" t="shared" si="51"/>
        <v>0</v>
      </c>
      <c r="K121" s="19">
        <f ca="1" t="shared" si="51"/>
        <v>0</v>
      </c>
      <c r="L121" s="19">
        <f ca="1" t="shared" si="51"/>
        <v>0</v>
      </c>
    </row>
    <row r="122" ht="15" spans="3:12">
      <c r="C122" s="46" t="s">
        <v>85</v>
      </c>
      <c r="D122" s="46"/>
      <c r="E122" s="42"/>
      <c r="F122" s="21">
        <v>158.1</v>
      </c>
      <c r="G122" s="21">
        <v>367.8</v>
      </c>
      <c r="H122" s="19">
        <f>G122</f>
        <v>367.8</v>
      </c>
      <c r="I122" s="19">
        <f t="shared" ref="I122:L123" si="52">H122</f>
        <v>367.8</v>
      </c>
      <c r="J122" s="19">
        <f t="shared" si="52"/>
        <v>367.8</v>
      </c>
      <c r="K122" s="19">
        <f t="shared" si="52"/>
        <v>367.8</v>
      </c>
      <c r="L122" s="19">
        <f t="shared" si="52"/>
        <v>367.8</v>
      </c>
    </row>
    <row r="123" ht="15" spans="3:12">
      <c r="C123" s="46" t="s">
        <v>86</v>
      </c>
      <c r="D123" s="46"/>
      <c r="E123" s="42"/>
      <c r="F123" s="21">
        <v>192</v>
      </c>
      <c r="G123" s="21">
        <v>209.6</v>
      </c>
      <c r="H123" s="19">
        <f>G123</f>
        <v>209.6</v>
      </c>
      <c r="I123" s="19">
        <f t="shared" si="52"/>
        <v>209.6</v>
      </c>
      <c r="J123" s="19">
        <f t="shared" si="52"/>
        <v>209.6</v>
      </c>
      <c r="K123" s="19">
        <f t="shared" si="52"/>
        <v>209.6</v>
      </c>
      <c r="L123" s="19">
        <f t="shared" si="52"/>
        <v>209.6</v>
      </c>
    </row>
    <row r="124" ht="15" spans="3:12">
      <c r="C124" s="46" t="s">
        <v>87</v>
      </c>
      <c r="D124" s="46"/>
      <c r="E124" s="42"/>
      <c r="F124" s="21">
        <f>F122+F123</f>
        <v>350.1</v>
      </c>
      <c r="G124" s="21">
        <f>G122+G123</f>
        <v>577.4</v>
      </c>
      <c r="H124" s="19">
        <f t="shared" ref="H124:L124" si="53">H122+H123</f>
        <v>577.4</v>
      </c>
      <c r="I124" s="19">
        <f t="shared" si="53"/>
        <v>577.4</v>
      </c>
      <c r="J124" s="19">
        <f t="shared" si="53"/>
        <v>577.4</v>
      </c>
      <c r="K124" s="19">
        <f t="shared" si="53"/>
        <v>577.4</v>
      </c>
      <c r="L124" s="19">
        <f t="shared" si="53"/>
        <v>577.4</v>
      </c>
    </row>
    <row r="125" ht="15.75" customHeight="1" spans="3:12">
      <c r="C125" s="46" t="s">
        <v>89</v>
      </c>
      <c r="D125" s="46"/>
      <c r="E125" s="42"/>
      <c r="F125" s="21">
        <v>4.6</v>
      </c>
      <c r="G125" s="21">
        <v>20.4</v>
      </c>
      <c r="H125" s="19">
        <f ca="1">G125*(1+H91)</f>
        <v>26.09364</v>
      </c>
      <c r="I125" s="19">
        <f ca="1" t="shared" ref="I125:L125" si="54">H125*(1+I91)</f>
        <v>30.56869926</v>
      </c>
      <c r="J125" s="19">
        <f ca="1" t="shared" si="54"/>
        <v>33.625569186</v>
      </c>
      <c r="K125" s="19">
        <f ca="1" t="shared" si="54"/>
        <v>35.3068476453</v>
      </c>
      <c r="L125" s="19">
        <f ca="1" t="shared" si="54"/>
        <v>36.012984598206</v>
      </c>
    </row>
    <row r="126" ht="15" spans="3:12">
      <c r="C126" s="47" t="s">
        <v>90</v>
      </c>
      <c r="D126" s="47"/>
      <c r="E126" s="43"/>
      <c r="F126" s="41">
        <f>SUM(F113:F117)+SUM(F119:F121)+F124+F125</f>
        <v>600.1</v>
      </c>
      <c r="G126" s="41">
        <f>SUM(G113:G117)+SUM(G119:G121)+G124+G125</f>
        <v>907.1</v>
      </c>
      <c r="H126" s="41">
        <f ca="1" t="shared" ref="H126:L126" si="55">SUM(H113:H117)+SUM(H119:H121)+H124+H125</f>
        <v>999.14001585348</v>
      </c>
      <c r="I126" s="41">
        <f ca="1" t="shared" si="55"/>
        <v>1071.46842857235</v>
      </c>
      <c r="J126" s="41">
        <f ca="1" t="shared" si="55"/>
        <v>1120.87527142959</v>
      </c>
      <c r="K126" s="41">
        <f ca="1" t="shared" si="55"/>
        <v>1148.04903500107</v>
      </c>
      <c r="L126" s="41">
        <f ca="1" t="shared" si="55"/>
        <v>1159.46201570109</v>
      </c>
    </row>
    <row r="127" ht="15" spans="3:12">
      <c r="C127" s="47"/>
      <c r="D127" s="47"/>
      <c r="E127" s="43"/>
      <c r="F127" s="43"/>
      <c r="G127" s="43"/>
      <c r="H127" s="45"/>
      <c r="I127" s="45"/>
      <c r="J127" s="45"/>
      <c r="K127" s="45"/>
      <c r="L127" s="45"/>
    </row>
    <row r="128" ht="15" spans="3:12">
      <c r="C128" s="46" t="s">
        <v>91</v>
      </c>
      <c r="D128" s="46"/>
      <c r="E128" s="42"/>
      <c r="F128" s="21">
        <v>114.7</v>
      </c>
      <c r="G128" s="21">
        <v>120.5</v>
      </c>
      <c r="H128" s="19">
        <f ca="1">G128+H88</f>
        <v>134.95383</v>
      </c>
      <c r="I128" s="19">
        <f ca="1">H128+I88</f>
        <v>151.886491845</v>
      </c>
      <c r="J128" s="19">
        <f ca="1">I128+J88</f>
        <v>170.5124198745</v>
      </c>
      <c r="K128" s="19">
        <f ca="1">J128+K88</f>
        <v>190.069644305475</v>
      </c>
      <c r="L128" s="19">
        <f ca="1">K128+L88</f>
        <v>210.01801322507</v>
      </c>
    </row>
    <row r="129" ht="15.75" customHeight="1" spans="3:15">
      <c r="C129" s="46" t="s">
        <v>93</v>
      </c>
      <c r="D129" s="46"/>
      <c r="E129" s="61"/>
      <c r="F129" s="21">
        <v>405.1</v>
      </c>
      <c r="G129" s="21">
        <v>484.8</v>
      </c>
      <c r="H129" s="19">
        <f ca="1">H186</f>
        <v>634.997685416276</v>
      </c>
      <c r="I129" s="19">
        <f ca="1" t="shared" ref="I129:L129" si="56">I186</f>
        <v>818.510076498928</v>
      </c>
      <c r="J129" s="19">
        <f ca="1" t="shared" si="56"/>
        <v>1022.56486093059</v>
      </c>
      <c r="K129" s="19">
        <f ca="1" t="shared" si="56"/>
        <v>1235.00003933378</v>
      </c>
      <c r="L129" s="19">
        <f ca="1" t="shared" si="56"/>
        <v>1447.29489956181</v>
      </c>
      <c r="O129" s="45"/>
    </row>
    <row r="130" ht="15.75" customHeight="1" spans="3:12">
      <c r="C130" s="46" t="s">
        <v>95</v>
      </c>
      <c r="D130" s="46"/>
      <c r="E130" s="42"/>
      <c r="F130" s="21">
        <v>0.4</v>
      </c>
      <c r="G130" s="21">
        <v>-5.2</v>
      </c>
      <c r="H130" s="19">
        <f>G130</f>
        <v>-5.2</v>
      </c>
      <c r="I130" s="19">
        <f t="shared" ref="I130:L130" si="57">H130</f>
        <v>-5.2</v>
      </c>
      <c r="J130" s="19">
        <f t="shared" si="57"/>
        <v>-5.2</v>
      </c>
      <c r="K130" s="19">
        <f t="shared" si="57"/>
        <v>-5.2</v>
      </c>
      <c r="L130" s="19">
        <f t="shared" si="57"/>
        <v>-5.2</v>
      </c>
    </row>
    <row r="131" ht="15" spans="3:12">
      <c r="C131" s="47" t="s">
        <v>96</v>
      </c>
      <c r="D131" s="47"/>
      <c r="E131" s="62"/>
      <c r="F131" s="63">
        <f>SUM(F128:F130)</f>
        <v>520.2</v>
      </c>
      <c r="G131" s="63">
        <f t="shared" ref="G131:H131" si="58">SUM(G128:G130)</f>
        <v>600.1</v>
      </c>
      <c r="H131" s="63">
        <f ca="1" t="shared" si="58"/>
        <v>764.751515416276</v>
      </c>
      <c r="I131" s="63">
        <f ca="1" t="shared" ref="I131:L131" si="59">SUM(I128:I130)</f>
        <v>965.196568343928</v>
      </c>
      <c r="J131" s="63">
        <f ca="1" t="shared" si="59"/>
        <v>1187.87728080509</v>
      </c>
      <c r="K131" s="63">
        <f ca="1" t="shared" si="59"/>
        <v>1419.86968363925</v>
      </c>
      <c r="L131" s="63">
        <f ca="1" t="shared" si="59"/>
        <v>1652.11291278688</v>
      </c>
    </row>
    <row r="132" spans="5:7">
      <c r="E132" s="45"/>
      <c r="F132" s="45"/>
      <c r="G132" s="45"/>
    </row>
    <row r="133" ht="15" spans="3:12">
      <c r="C133" s="35" t="s">
        <v>97</v>
      </c>
      <c r="D133" s="35"/>
      <c r="E133" s="64"/>
      <c r="F133" s="65">
        <f t="shared" ref="F133:L133" si="60">ROUND(F111-F126-F131,3)</f>
        <v>0</v>
      </c>
      <c r="G133" s="65">
        <f t="shared" si="60"/>
        <v>0</v>
      </c>
      <c r="H133" s="65">
        <f ca="1" t="shared" si="60"/>
        <v>0</v>
      </c>
      <c r="I133" s="65">
        <f ca="1" t="shared" si="60"/>
        <v>0</v>
      </c>
      <c r="J133" s="65">
        <f ca="1" t="shared" si="60"/>
        <v>0</v>
      </c>
      <c r="K133" s="65">
        <f ca="1" t="shared" si="60"/>
        <v>0</v>
      </c>
      <c r="L133" s="65">
        <f ca="1" t="shared" si="60"/>
        <v>0</v>
      </c>
    </row>
    <row r="134" spans="6:12">
      <c r="F134" s="45"/>
      <c r="G134" s="45"/>
      <c r="I134" s="45"/>
      <c r="J134" s="45"/>
      <c r="K134" s="45"/>
      <c r="L134" s="45"/>
    </row>
    <row r="135" ht="15" spans="1:12">
      <c r="A135" t="s">
        <v>12</v>
      </c>
      <c r="C135" s="34" t="s">
        <v>98</v>
      </c>
      <c r="D135" s="34"/>
      <c r="E135" s="52"/>
      <c r="F135" s="52"/>
      <c r="G135" s="52"/>
      <c r="H135" s="52"/>
      <c r="I135" s="52"/>
      <c r="J135" s="52"/>
      <c r="K135" s="52"/>
      <c r="L135" s="52"/>
    </row>
    <row r="136" ht="15" spans="3:12">
      <c r="C136" s="53" t="str">
        <f>C69</f>
        <v>Fiscal year  </v>
      </c>
      <c r="D136" s="53"/>
      <c r="E136" s="54"/>
      <c r="F136" s="54"/>
      <c r="G136" s="54"/>
      <c r="H136" s="55">
        <f t="shared" ref="H136:L137" si="61">H69</f>
        <v>2022</v>
      </c>
      <c r="I136" s="55">
        <f t="shared" si="61"/>
        <v>2023</v>
      </c>
      <c r="J136" s="55">
        <f t="shared" si="61"/>
        <v>2024</v>
      </c>
      <c r="K136" s="55">
        <f t="shared" si="61"/>
        <v>2025</v>
      </c>
      <c r="L136" s="55">
        <f t="shared" si="61"/>
        <v>2026</v>
      </c>
    </row>
    <row r="137" ht="15" spans="3:12">
      <c r="C137" s="13" t="str">
        <f>C70</f>
        <v>Fiscal year end date</v>
      </c>
      <c r="D137" s="13"/>
      <c r="E137" s="56"/>
      <c r="F137" s="56"/>
      <c r="G137" s="56"/>
      <c r="H137" s="56">
        <f t="shared" si="61"/>
        <v>44651</v>
      </c>
      <c r="I137" s="56">
        <f t="shared" si="61"/>
        <v>45016</v>
      </c>
      <c r="J137" s="56">
        <f t="shared" si="61"/>
        <v>45382</v>
      </c>
      <c r="K137" s="56">
        <f t="shared" si="61"/>
        <v>45747</v>
      </c>
      <c r="L137" s="56">
        <f t="shared" si="61"/>
        <v>46112</v>
      </c>
    </row>
    <row r="139" ht="15" spans="3:14">
      <c r="C139" t="s">
        <v>40</v>
      </c>
      <c r="E139" s="66"/>
      <c r="F139" s="66"/>
      <c r="G139" s="66"/>
      <c r="H139" s="19">
        <f ca="1">H84</f>
        <v>140.697685416276</v>
      </c>
      <c r="I139" s="19">
        <f ca="1">I84</f>
        <v>174.012391082651</v>
      </c>
      <c r="J139" s="19">
        <f ca="1">J84</f>
        <v>194.554784431662</v>
      </c>
      <c r="K139" s="19">
        <f ca="1">K84</f>
        <v>202.935178403189</v>
      </c>
      <c r="L139" s="19">
        <f ca="1">L84</f>
        <v>202.794860228033</v>
      </c>
      <c r="N139" s="40"/>
    </row>
    <row r="140" spans="3:12">
      <c r="C140" t="s">
        <v>99</v>
      </c>
      <c r="E140" s="66"/>
      <c r="F140" s="66"/>
      <c r="G140" s="66"/>
      <c r="H140" s="19">
        <f ca="1">H86</f>
        <v>98.9661154882812</v>
      </c>
      <c r="I140" s="19">
        <f ca="1">I86</f>
        <v>115.938804294521</v>
      </c>
      <c r="J140" s="19">
        <f ca="1">J86</f>
        <v>127.532684723974</v>
      </c>
      <c r="K140" s="19">
        <f ca="1">K86</f>
        <v>133.909318960172</v>
      </c>
      <c r="L140" s="19">
        <f ca="1">L86</f>
        <v>136.587505339376</v>
      </c>
    </row>
    <row r="141" spans="3:12">
      <c r="C141" t="s">
        <v>46</v>
      </c>
      <c r="E141" s="66"/>
      <c r="F141" s="66"/>
      <c r="G141" s="66"/>
      <c r="H141" s="19">
        <f ca="1">H88</f>
        <v>14.45383</v>
      </c>
      <c r="I141" s="19">
        <f ca="1">I88</f>
        <v>16.932661845</v>
      </c>
      <c r="J141" s="19">
        <f ca="1">J88</f>
        <v>18.6259280295</v>
      </c>
      <c r="K141" s="19">
        <f ca="1">K88</f>
        <v>19.557224430975</v>
      </c>
      <c r="L141" s="19">
        <f ca="1">L88</f>
        <v>19.9483689195945</v>
      </c>
    </row>
    <row r="142" spans="3:12">
      <c r="C142" t="s">
        <v>101</v>
      </c>
      <c r="E142" s="45"/>
      <c r="F142" s="45"/>
      <c r="G142" s="45"/>
      <c r="H142" s="19">
        <f ca="1">SUM(G101:G105)-SUM(H101:H105)</f>
        <v>-130.072629851779</v>
      </c>
      <c r="I142" s="19">
        <f ca="1">SUM(H101:H105)-SUM(I101:I105)</f>
        <v>-102.20930601958</v>
      </c>
      <c r="J142" s="19">
        <f ca="1">SUM(I101:I105)-SUM(J101:J105)</f>
        <v>-69.818193587136</v>
      </c>
      <c r="K142" s="19">
        <f ca="1">SUM(J101:J105)-SUM(K101:K105)</f>
        <v>-38.4000064729249</v>
      </c>
      <c r="L142" s="19">
        <f ca="1">SUM(K101:K105)-SUM(L101:L105)</f>
        <v>-16.1280027186282</v>
      </c>
    </row>
    <row r="143" spans="3:12">
      <c r="C143" t="s">
        <v>102</v>
      </c>
      <c r="E143" s="45"/>
      <c r="F143" s="45"/>
      <c r="G143" s="45"/>
      <c r="H143" s="19">
        <f ca="1">SUM(H118:H121)-SUM(G118:G121)</f>
        <v>86.34637585348</v>
      </c>
      <c r="I143" s="19">
        <f ca="1">SUM(I113:I117)+SUM(I119:I121)-SUM(H113:H117)-SUM(H119:H121)</f>
        <v>67.853353458872</v>
      </c>
      <c r="J143" s="19">
        <f ca="1">SUM(J113:J117)+SUM(J119:J121)-SUM(I113:I117)-SUM(I119:I121)</f>
        <v>46.3499729312353</v>
      </c>
      <c r="K143" s="19">
        <f ca="1">SUM(K113:K117)+SUM(K119:K121)-SUM(J113:J117)-SUM(J119:J121)</f>
        <v>25.4924851121794</v>
      </c>
      <c r="L143" s="19">
        <f ca="1">SUM(L113:L117)+SUM(L119:L121)-SUM(K113:K117)-SUM(K119:K121)</f>
        <v>10.7068437471153</v>
      </c>
    </row>
    <row r="144" spans="3:12">
      <c r="C144" t="s">
        <v>103</v>
      </c>
      <c r="H144" s="19">
        <f ca="1">-H178</f>
        <v>-81.8788</v>
      </c>
      <c r="I144" s="19">
        <f ca="1" t="shared" ref="I144:L144" si="62">-I178</f>
        <v>-95.3722542</v>
      </c>
      <c r="J144" s="19">
        <f ca="1" t="shared" si="62"/>
        <v>-104.443055805</v>
      </c>
      <c r="K144" s="19">
        <f ca="1" t="shared" si="62"/>
        <v>-109.2830998545</v>
      </c>
      <c r="L144" s="19">
        <f ca="1" t="shared" si="62"/>
        <v>-111.216570082695</v>
      </c>
    </row>
    <row r="145" ht="15" spans="3:14">
      <c r="C145" t="s">
        <v>89</v>
      </c>
      <c r="H145" s="19">
        <f ca="1">H125-G125</f>
        <v>5.69364</v>
      </c>
      <c r="I145" s="19">
        <f ca="1" t="shared" ref="I145:L145" si="63">I125-H125</f>
        <v>4.47505926</v>
      </c>
      <c r="J145" s="19">
        <f ca="1" t="shared" si="63"/>
        <v>3.056869926</v>
      </c>
      <c r="K145" s="19">
        <f ca="1" t="shared" si="63"/>
        <v>1.6812784593</v>
      </c>
      <c r="L145" s="19">
        <f ca="1" t="shared" si="63"/>
        <v>0.706136952906</v>
      </c>
      <c r="N145" s="40"/>
    </row>
    <row r="146" ht="15" spans="3:12">
      <c r="C146" s="40" t="s">
        <v>105</v>
      </c>
      <c r="D146" s="40"/>
      <c r="H146" s="63">
        <f ca="1">SUM(H139:H145)</f>
        <v>134.206216906259</v>
      </c>
      <c r="I146" s="63">
        <f ca="1" t="shared" ref="I146:L146" si="64">SUM(I139:I145)</f>
        <v>181.630709721465</v>
      </c>
      <c r="J146" s="63">
        <f ca="1" t="shared" si="64"/>
        <v>215.858990650235</v>
      </c>
      <c r="K146" s="63">
        <f ca="1" t="shared" si="64"/>
        <v>235.892379038391</v>
      </c>
      <c r="L146" s="63">
        <f ca="1" t="shared" si="64"/>
        <v>243.399142385702</v>
      </c>
    </row>
    <row r="147" spans="8:12">
      <c r="H147" s="45"/>
      <c r="I147" s="45"/>
      <c r="J147" s="45"/>
      <c r="K147" s="45"/>
      <c r="L147" s="45"/>
    </row>
    <row r="148" spans="3:12">
      <c r="C148" t="s">
        <v>106</v>
      </c>
      <c r="H148" s="19">
        <f ca="1">-(H164)</f>
        <v>-29.54721</v>
      </c>
      <c r="I148" s="19">
        <f ca="1" t="shared" ref="I148:L148" si="65">-(I164)</f>
        <v>-34.614556515</v>
      </c>
      <c r="J148" s="19">
        <f ca="1" t="shared" si="65"/>
        <v>-38.0760121665</v>
      </c>
      <c r="K148" s="19">
        <f ca="1" t="shared" si="65"/>
        <v>-39.979812774825</v>
      </c>
      <c r="L148" s="19">
        <f ca="1" t="shared" si="65"/>
        <v>-40.7794090303215</v>
      </c>
    </row>
    <row r="149" spans="3:12">
      <c r="C149" t="s">
        <v>107</v>
      </c>
      <c r="H149" s="19">
        <f ca="1">SUM(G107:G109)-SUM(H107:H109)</f>
        <v>-123.30638</v>
      </c>
      <c r="I149" s="19">
        <f ca="1" t="shared" ref="I149:L149" si="66">SUM(H107:H109)-SUM(I107:I109)</f>
        <v>-96.9157441699999</v>
      </c>
      <c r="J149" s="19">
        <f ca="1" t="shared" si="66"/>
        <v>-66.2022124170002</v>
      </c>
      <c r="K149" s="19">
        <f ca="1" t="shared" si="66"/>
        <v>-36.4112168293501</v>
      </c>
      <c r="L149" s="19">
        <f ca="1" t="shared" si="66"/>
        <v>-15.2927110683269</v>
      </c>
    </row>
    <row r="150" ht="15" spans="3:12">
      <c r="C150" s="40" t="s">
        <v>108</v>
      </c>
      <c r="D150" s="40"/>
      <c r="H150" s="63">
        <f ca="1">IFERROR(H148+H149,"NA")</f>
        <v>-152.85359</v>
      </c>
      <c r="I150" s="63">
        <f ca="1" t="shared" ref="I150:L150" si="67">IFERROR(I148+I149,"NA")</f>
        <v>-131.530300685</v>
      </c>
      <c r="J150" s="63">
        <f ca="1" t="shared" si="67"/>
        <v>-104.2782245835</v>
      </c>
      <c r="K150" s="63">
        <f ca="1" t="shared" si="67"/>
        <v>-76.3910296041751</v>
      </c>
      <c r="L150" s="63">
        <f ca="1" t="shared" si="67"/>
        <v>-56.0721200986484</v>
      </c>
    </row>
    <row r="151" spans="8:12">
      <c r="H151" s="45"/>
      <c r="I151" s="45"/>
      <c r="J151" s="45"/>
      <c r="K151" s="45"/>
      <c r="L151" s="45"/>
    </row>
    <row r="152" spans="3:12">
      <c r="C152" t="s">
        <v>109</v>
      </c>
      <c r="H152" s="45">
        <f>H122+H123+H124-G122-G123-G124</f>
        <v>0</v>
      </c>
      <c r="I152" s="45">
        <f>I122+I123+I124-H122-H123-H124</f>
        <v>0</v>
      </c>
      <c r="J152" s="45">
        <f>J122+J123+J124-I122-I123-I124</f>
        <v>0</v>
      </c>
      <c r="K152" s="45">
        <f>K122+K123+K124-J122-J123-J124</f>
        <v>0</v>
      </c>
      <c r="L152" s="45">
        <f>L122+L123+L124-K122-K123-K124</f>
        <v>0</v>
      </c>
    </row>
    <row r="153" spans="3:12">
      <c r="C153" t="s">
        <v>110</v>
      </c>
      <c r="H153" s="19">
        <f>H185</f>
        <v>3.7</v>
      </c>
      <c r="I153" s="19">
        <f t="shared" ref="I153:L153" si="68">I185</f>
        <v>3.7</v>
      </c>
      <c r="J153" s="19">
        <f t="shared" si="68"/>
        <v>3.7</v>
      </c>
      <c r="K153" s="19">
        <f t="shared" si="68"/>
        <v>3.7</v>
      </c>
      <c r="L153" s="19">
        <f t="shared" si="68"/>
        <v>3.7</v>
      </c>
    </row>
    <row r="154" spans="3:12">
      <c r="C154" t="s">
        <v>111</v>
      </c>
      <c r="H154" s="19">
        <f>H184</f>
        <v>5.8</v>
      </c>
      <c r="I154" s="19">
        <f t="shared" ref="I154:L154" si="69">I184</f>
        <v>5.8</v>
      </c>
      <c r="J154" s="19">
        <f t="shared" si="69"/>
        <v>5.8</v>
      </c>
      <c r="K154" s="19">
        <f t="shared" si="69"/>
        <v>5.8</v>
      </c>
      <c r="L154" s="19">
        <f t="shared" si="69"/>
        <v>5.8</v>
      </c>
    </row>
    <row r="155" ht="15" spans="3:12">
      <c r="C155" s="40" t="s">
        <v>112</v>
      </c>
      <c r="D155" s="40"/>
      <c r="H155" s="63">
        <f>SUM(H152:H154)</f>
        <v>9.5</v>
      </c>
      <c r="I155" s="63">
        <f t="shared" ref="I155:L155" si="70">SUM(I152:I154)</f>
        <v>9.5</v>
      </c>
      <c r="J155" s="63">
        <f t="shared" si="70"/>
        <v>9.5</v>
      </c>
      <c r="K155" s="63">
        <f t="shared" si="70"/>
        <v>9.5</v>
      </c>
      <c r="L155" s="63">
        <f t="shared" si="70"/>
        <v>9.5</v>
      </c>
    </row>
    <row r="156" spans="8:12">
      <c r="H156" s="45"/>
      <c r="I156" s="45"/>
      <c r="J156" s="45"/>
      <c r="K156" s="45"/>
      <c r="L156" s="45"/>
    </row>
    <row r="157" ht="15" spans="3:12">
      <c r="C157" s="40" t="s">
        <v>113</v>
      </c>
      <c r="D157" s="40"/>
      <c r="H157" s="62">
        <f ca="1">H146+H150+H155</f>
        <v>-9.14737309374135</v>
      </c>
      <c r="I157" s="62">
        <f ca="1" t="shared" ref="I157:L157" si="71">I146+I150+I155</f>
        <v>59.6004090364649</v>
      </c>
      <c r="J157" s="62">
        <f ca="1" t="shared" si="71"/>
        <v>121.080766066735</v>
      </c>
      <c r="K157" s="62">
        <f ca="1" t="shared" si="71"/>
        <v>169.001349434216</v>
      </c>
      <c r="L157" s="62">
        <f ca="1" t="shared" si="71"/>
        <v>196.827022287053</v>
      </c>
    </row>
    <row r="159" ht="15" spans="1:12">
      <c r="A159" t="s">
        <v>12</v>
      </c>
      <c r="C159" s="34" t="s">
        <v>114</v>
      </c>
      <c r="D159" s="34"/>
      <c r="E159" s="13"/>
      <c r="F159" s="13"/>
      <c r="G159" s="13"/>
      <c r="H159" s="13"/>
      <c r="I159" s="13"/>
      <c r="J159" s="13"/>
      <c r="K159" s="13"/>
      <c r="L159" s="13"/>
    </row>
    <row r="160" ht="15" spans="3:12">
      <c r="C160" s="53" t="str">
        <f>C69</f>
        <v>Fiscal year  </v>
      </c>
      <c r="D160" s="53"/>
      <c r="E160" s="54"/>
      <c r="F160" s="54">
        <f t="shared" ref="F160:L161" si="72">F69</f>
        <v>2020</v>
      </c>
      <c r="G160" s="54">
        <f t="shared" si="72"/>
        <v>2021</v>
      </c>
      <c r="H160" s="55">
        <f t="shared" si="72"/>
        <v>2022</v>
      </c>
      <c r="I160" s="55">
        <f t="shared" si="72"/>
        <v>2023</v>
      </c>
      <c r="J160" s="55">
        <f t="shared" si="72"/>
        <v>2024</v>
      </c>
      <c r="K160" s="55">
        <f t="shared" si="72"/>
        <v>2025</v>
      </c>
      <c r="L160" s="55">
        <f t="shared" si="72"/>
        <v>2026</v>
      </c>
    </row>
    <row r="161" ht="15" spans="3:12">
      <c r="C161" s="13" t="str">
        <f>C70</f>
        <v>Fiscal year end date</v>
      </c>
      <c r="D161" s="13"/>
      <c r="E161" s="56"/>
      <c r="F161" s="56">
        <f t="shared" si="72"/>
        <v>43921</v>
      </c>
      <c r="G161" s="56">
        <f t="shared" si="72"/>
        <v>44283</v>
      </c>
      <c r="H161" s="56">
        <f t="shared" si="72"/>
        <v>44651</v>
      </c>
      <c r="I161" s="56">
        <f t="shared" si="72"/>
        <v>45016</v>
      </c>
      <c r="J161" s="56">
        <f t="shared" si="72"/>
        <v>45382</v>
      </c>
      <c r="K161" s="56">
        <f t="shared" si="72"/>
        <v>45747</v>
      </c>
      <c r="L161" s="56">
        <f t="shared" si="72"/>
        <v>46112</v>
      </c>
    </row>
    <row r="162" ht="15" spans="3:12">
      <c r="C162" s="40"/>
      <c r="D162" s="40" t="s">
        <v>115</v>
      </c>
      <c r="E162" s="40" t="s">
        <v>116</v>
      </c>
      <c r="H162" s="67" t="s">
        <v>117</v>
      </c>
      <c r="I162" s="67"/>
      <c r="J162" s="67"/>
      <c r="K162" s="67"/>
      <c r="L162" s="67"/>
    </row>
    <row r="163" spans="3:12">
      <c r="C163" s="46" t="s">
        <v>118</v>
      </c>
      <c r="D163" s="46"/>
      <c r="H163" s="19">
        <f>G166</f>
        <v>116.5</v>
      </c>
      <c r="I163" s="19">
        <f ca="1">H166</f>
        <v>127.536484511719</v>
      </c>
      <c r="J163" s="19">
        <f ca="1">I166</f>
        <v>140.465726117197</v>
      </c>
      <c r="K163" s="19">
        <f ca="1">J166</f>
        <v>154.687891883224</v>
      </c>
      <c r="L163" s="19">
        <f ca="1">K166</f>
        <v>169.621165937551</v>
      </c>
    </row>
    <row r="164" ht="15" spans="3:12">
      <c r="C164" s="125" t="s">
        <v>120</v>
      </c>
      <c r="D164" s="21">
        <v>19.2</v>
      </c>
      <c r="E164" s="21">
        <v>26.4</v>
      </c>
      <c r="F164" s="21">
        <v>51.2</v>
      </c>
      <c r="G164" s="21">
        <v>23.1</v>
      </c>
      <c r="H164" s="21">
        <f ca="1">G164*(1+H91)</f>
        <v>29.54721</v>
      </c>
      <c r="I164" s="21">
        <f ca="1">H164*(1+I91)</f>
        <v>34.614556515</v>
      </c>
      <c r="J164" s="21">
        <f ca="1">I164*(1+J91)</f>
        <v>38.0760121665</v>
      </c>
      <c r="K164" s="21">
        <f ca="1">J164*(1+K91)</f>
        <v>39.979812774825</v>
      </c>
      <c r="L164" s="21">
        <f ca="1">K164*(1+L91)</f>
        <v>40.7794090303215</v>
      </c>
    </row>
    <row r="165" ht="15" spans="3:12">
      <c r="C165" s="126" t="s">
        <v>122</v>
      </c>
      <c r="D165" s="69">
        <v>-12.1</v>
      </c>
      <c r="E165" s="69">
        <v>-14.2</v>
      </c>
      <c r="F165" s="70">
        <v>-20.4</v>
      </c>
      <c r="G165" s="69">
        <v>-21.7</v>
      </c>
      <c r="H165" s="71">
        <f ca="1">-(H168*H164)</f>
        <v>-18.5107254882813</v>
      </c>
      <c r="I165" s="71">
        <f ca="1">-(I168*I164)</f>
        <v>-21.6853149095215</v>
      </c>
      <c r="J165" s="71">
        <f ca="1">-(J168*J164)</f>
        <v>-23.8538464004736</v>
      </c>
      <c r="K165" s="71">
        <f ca="1">-(K168*K164)</f>
        <v>-25.0465387204973</v>
      </c>
      <c r="L165" s="71">
        <f ca="1">-(L168*L164)</f>
        <v>-25.5474694949073</v>
      </c>
    </row>
    <row r="166" ht="15" spans="3:12">
      <c r="C166" s="72" t="s">
        <v>124</v>
      </c>
      <c r="D166" s="62"/>
      <c r="E166" s="62"/>
      <c r="F166" s="63">
        <f>F106</f>
        <v>115.1</v>
      </c>
      <c r="G166" s="63">
        <f>G106</f>
        <v>116.5</v>
      </c>
      <c r="H166" s="63">
        <f ca="1">SUM(H163:H165)</f>
        <v>127.536484511719</v>
      </c>
      <c r="I166" s="63">
        <f ca="1">SUM(I163:I165)</f>
        <v>140.465726117197</v>
      </c>
      <c r="J166" s="63">
        <f ca="1">SUM(J163:J165)</f>
        <v>154.687891883224</v>
      </c>
      <c r="K166" s="63">
        <f ca="1">SUM(K163:K165)</f>
        <v>169.621165937551</v>
      </c>
      <c r="L166" s="63">
        <f ca="1">SUM(L163:L165)</f>
        <v>184.853105472966</v>
      </c>
    </row>
    <row r="167" ht="15" spans="3:14">
      <c r="C167" s="46"/>
      <c r="D167" s="46"/>
      <c r="N167" s="49"/>
    </row>
    <row r="168" ht="15" spans="3:18">
      <c r="C168" s="46" t="s">
        <v>126</v>
      </c>
      <c r="D168" s="73">
        <f>-(D165/D164)</f>
        <v>0.630208333333333</v>
      </c>
      <c r="E168" s="73">
        <f>-(E165/E164)</f>
        <v>0.537878787878788</v>
      </c>
      <c r="F168" s="73">
        <f>-(F165/F164)</f>
        <v>0.3984375</v>
      </c>
      <c r="G168" s="73">
        <f>-(G165/G164)</f>
        <v>0.939393939393939</v>
      </c>
      <c r="H168" s="50">
        <f>AVERAGE(D168:G168)</f>
        <v>0.626479640151515</v>
      </c>
      <c r="I168" s="50">
        <f>H168+$N$168</f>
        <v>0.626479640151515</v>
      </c>
      <c r="J168" s="50">
        <f t="shared" ref="J168:L168" si="73">I168+$N$168</f>
        <v>0.626479640151515</v>
      </c>
      <c r="K168" s="50">
        <f t="shared" si="73"/>
        <v>0.626479640151515</v>
      </c>
      <c r="L168" s="50">
        <f t="shared" si="73"/>
        <v>0.626479640151515</v>
      </c>
      <c r="N168" s="87"/>
      <c r="P168" s="88"/>
      <c r="Q168" s="88"/>
      <c r="R168" s="88"/>
    </row>
    <row r="169" ht="15" spans="3:18">
      <c r="C169" s="46"/>
      <c r="D169" s="46"/>
      <c r="E169" s="73"/>
      <c r="F169" s="73"/>
      <c r="G169" s="73"/>
      <c r="H169" s="50"/>
      <c r="I169" s="50"/>
      <c r="J169" s="50"/>
      <c r="K169" s="50"/>
      <c r="L169" s="50"/>
      <c r="P169" s="88"/>
      <c r="Q169" s="88"/>
      <c r="R169" s="88"/>
    </row>
    <row r="170" ht="15" spans="1:18">
      <c r="A170" t="s">
        <v>12</v>
      </c>
      <c r="C170" s="74" t="s">
        <v>128</v>
      </c>
      <c r="D170" s="74"/>
      <c r="E170" s="75"/>
      <c r="F170" s="75"/>
      <c r="G170" s="75"/>
      <c r="H170" s="76"/>
      <c r="I170" s="76"/>
      <c r="J170" s="76"/>
      <c r="K170" s="76"/>
      <c r="L170" s="76"/>
      <c r="P170" s="88"/>
      <c r="Q170" s="88"/>
      <c r="R170" s="88"/>
    </row>
    <row r="171" ht="15" spans="3:18">
      <c r="C171" s="46" t="s">
        <v>129</v>
      </c>
      <c r="D171" s="19">
        <f>D173+D165</f>
        <v>7.7</v>
      </c>
      <c r="E171" s="19">
        <f>E173+E165</f>
        <v>8.2</v>
      </c>
      <c r="F171" s="19">
        <f>F173+F165</f>
        <v>42.7</v>
      </c>
      <c r="G171" s="19">
        <f>G173+G165</f>
        <v>62.9</v>
      </c>
      <c r="H171" s="39">
        <f ca="1">H172*H72</f>
        <v>80.45539</v>
      </c>
      <c r="I171" s="39">
        <f ca="1">I172*I72</f>
        <v>94.253489385</v>
      </c>
      <c r="J171" s="39">
        <f ca="1">J172*J72</f>
        <v>103.6788383235</v>
      </c>
      <c r="K171" s="39">
        <f ca="1">K172*K72</f>
        <v>108.862780239675</v>
      </c>
      <c r="L171" s="39">
        <f ca="1">L172*L72</f>
        <v>111.040035844468</v>
      </c>
      <c r="P171" s="88"/>
      <c r="Q171" s="88"/>
      <c r="R171" s="88"/>
    </row>
    <row r="172" ht="15" spans="3:12">
      <c r="C172" s="44" t="s">
        <v>131</v>
      </c>
      <c r="D172" s="77">
        <f>D171/56.3</f>
        <v>0.136767317939609</v>
      </c>
      <c r="E172" s="77">
        <f>E171/232.9</f>
        <v>0.0352082438814942</v>
      </c>
      <c r="F172" s="77">
        <f>F171/F72</f>
        <v>0.0445673729255819</v>
      </c>
      <c r="G172" s="77">
        <f>G171/G72</f>
        <v>0.0696027442735421</v>
      </c>
      <c r="H172" s="50">
        <f>G172</f>
        <v>0.0696027442735421</v>
      </c>
      <c r="I172" s="50">
        <f>H172</f>
        <v>0.0696027442735421</v>
      </c>
      <c r="J172" s="50">
        <f>I172</f>
        <v>0.0696027442735421</v>
      </c>
      <c r="K172" s="50">
        <f>J172</f>
        <v>0.0696027442735421</v>
      </c>
      <c r="L172" s="50">
        <f>K172</f>
        <v>0.0696027442735421</v>
      </c>
    </row>
    <row r="173" ht="15" spans="3:12">
      <c r="C173" s="47" t="s">
        <v>133</v>
      </c>
      <c r="D173" s="62">
        <v>19.8</v>
      </c>
      <c r="E173" s="63">
        <v>22.4</v>
      </c>
      <c r="F173" s="63">
        <f>F86</f>
        <v>63.1</v>
      </c>
      <c r="G173" s="63">
        <f>G86</f>
        <v>84.6</v>
      </c>
      <c r="H173" s="41">
        <f ca="1">-H165+H171</f>
        <v>98.9661154882812</v>
      </c>
      <c r="I173" s="41">
        <f ca="1" t="shared" ref="I173:L173" si="74">-I165+I171</f>
        <v>115.938804294521</v>
      </c>
      <c r="J173" s="41">
        <f ca="1" t="shared" si="74"/>
        <v>127.532684723974</v>
      </c>
      <c r="K173" s="41">
        <f ca="1" t="shared" si="74"/>
        <v>133.909318960172</v>
      </c>
      <c r="L173" s="41">
        <f ca="1" t="shared" si="74"/>
        <v>136.587505339376</v>
      </c>
    </row>
    <row r="174" spans="3:12">
      <c r="C174" s="46"/>
      <c r="D174" s="46"/>
      <c r="E174" s="45"/>
      <c r="F174" s="45"/>
      <c r="G174" s="45"/>
      <c r="I174" s="45"/>
      <c r="J174" s="45"/>
      <c r="K174" s="45"/>
      <c r="L174" s="45"/>
    </row>
    <row r="175" ht="15" spans="1:12">
      <c r="A175" t="s">
        <v>12</v>
      </c>
      <c r="C175" s="78" t="s">
        <v>135</v>
      </c>
      <c r="D175" s="78"/>
      <c r="E175" s="13"/>
      <c r="F175" s="13"/>
      <c r="G175" s="13"/>
      <c r="I175" s="45"/>
      <c r="J175" s="45"/>
      <c r="K175" s="45"/>
      <c r="L175" s="45"/>
    </row>
    <row r="176" ht="15" spans="3:12">
      <c r="C176" s="46" t="s">
        <v>118</v>
      </c>
      <c r="D176" s="46"/>
      <c r="E176" s="45"/>
      <c r="H176" s="79">
        <f>G179</f>
        <v>5.1</v>
      </c>
      <c r="I176" s="79">
        <f ca="1">H179</f>
        <v>6.52341</v>
      </c>
      <c r="J176" s="79">
        <f ca="1">I179</f>
        <v>7.642174815</v>
      </c>
      <c r="K176" s="79">
        <f ca="1">J179</f>
        <v>8.4063922965</v>
      </c>
      <c r="L176" s="79">
        <f ca="1">K179</f>
        <v>8.826711911325</v>
      </c>
    </row>
    <row r="177" spans="3:12">
      <c r="C177" s="44" t="s">
        <v>136</v>
      </c>
      <c r="D177" s="44"/>
      <c r="H177" s="19">
        <f ca="1">-(H171)</f>
        <v>-80.45539</v>
      </c>
      <c r="I177" s="19">
        <f ca="1">-(I171)</f>
        <v>-94.253489385</v>
      </c>
      <c r="J177" s="19">
        <f ca="1">-(J171)</f>
        <v>-103.6788383235</v>
      </c>
      <c r="K177" s="19">
        <f ca="1">-(K171)</f>
        <v>-108.862780239675</v>
      </c>
      <c r="L177" s="19">
        <f ca="1">-(L171)</f>
        <v>-111.040035844468</v>
      </c>
    </row>
    <row r="178" ht="15" customHeight="1" spans="3:12">
      <c r="C178" s="68" t="s">
        <v>138</v>
      </c>
      <c r="D178" s="68"/>
      <c r="E178" s="80"/>
      <c r="F178" s="80"/>
      <c r="G178" s="80"/>
      <c r="H178" s="81">
        <f ca="1">H179-H177-H176</f>
        <v>81.8788</v>
      </c>
      <c r="I178" s="81">
        <f ca="1">I179-I177-I176</f>
        <v>95.3722542</v>
      </c>
      <c r="J178" s="81">
        <f ca="1">J179-J177-J176</f>
        <v>104.443055805</v>
      </c>
      <c r="K178" s="81">
        <f ca="1">K179-K177-K176</f>
        <v>109.2830998545</v>
      </c>
      <c r="L178" s="81">
        <f ca="1">L179-L177-L176</f>
        <v>111.216570082695</v>
      </c>
    </row>
    <row r="179" ht="15" spans="3:12">
      <c r="C179" s="72" t="s">
        <v>124</v>
      </c>
      <c r="D179" s="62"/>
      <c r="E179" s="62"/>
      <c r="F179" s="63">
        <f t="shared" ref="F179:L179" si="75">F110</f>
        <v>6</v>
      </c>
      <c r="G179" s="63">
        <f t="shared" si="75"/>
        <v>5.1</v>
      </c>
      <c r="H179" s="63">
        <f ca="1" t="shared" si="75"/>
        <v>6.52341</v>
      </c>
      <c r="I179" s="63">
        <f ca="1" t="shared" si="75"/>
        <v>7.642174815</v>
      </c>
      <c r="J179" s="63">
        <f ca="1" t="shared" si="75"/>
        <v>8.4063922965</v>
      </c>
      <c r="K179" s="63">
        <f ca="1" t="shared" si="75"/>
        <v>8.826711911325</v>
      </c>
      <c r="L179" s="63">
        <f ca="1" t="shared" si="75"/>
        <v>9.0032461495515</v>
      </c>
    </row>
    <row r="180" spans="3:12">
      <c r="C180" s="44"/>
      <c r="D180" s="44"/>
      <c r="F180" s="45"/>
      <c r="G180" s="45"/>
      <c r="I180" s="45"/>
      <c r="J180" s="45"/>
      <c r="K180" s="45"/>
      <c r="L180" s="45"/>
    </row>
    <row r="181" ht="15" spans="1:12">
      <c r="A181" t="s">
        <v>12</v>
      </c>
      <c r="C181" s="82" t="s">
        <v>141</v>
      </c>
      <c r="D181" s="82"/>
      <c r="E181" s="78"/>
      <c r="F181" s="78"/>
      <c r="G181" s="78"/>
      <c r="H181" s="13"/>
      <c r="I181" s="13"/>
      <c r="J181" s="13"/>
      <c r="K181" s="13"/>
      <c r="L181" s="13"/>
    </row>
    <row r="182" spans="3:12">
      <c r="C182" s="46" t="s">
        <v>118</v>
      </c>
      <c r="D182" s="46"/>
      <c r="G182" s="19">
        <f t="shared" ref="G182:L182" si="76">F186</f>
        <v>405.1</v>
      </c>
      <c r="H182" s="19">
        <f t="shared" si="76"/>
        <v>484.8</v>
      </c>
      <c r="I182" s="19">
        <f ca="1" t="shared" si="76"/>
        <v>634.997685416276</v>
      </c>
      <c r="J182" s="19">
        <f ca="1" t="shared" si="76"/>
        <v>818.510076498928</v>
      </c>
      <c r="K182" s="19">
        <f ca="1" t="shared" si="76"/>
        <v>1022.56486093059</v>
      </c>
      <c r="L182" s="19">
        <f ca="1" t="shared" si="76"/>
        <v>1235.00003933378</v>
      </c>
    </row>
    <row r="183" ht="15" spans="3:12">
      <c r="C183" s="44" t="s">
        <v>142</v>
      </c>
      <c r="D183" s="61"/>
      <c r="E183" s="61"/>
      <c r="F183" s="61">
        <f>F84</f>
        <v>151.7</v>
      </c>
      <c r="G183" s="39">
        <f>G84</f>
        <v>70.2</v>
      </c>
      <c r="H183" s="39">
        <f ca="1">H84</f>
        <v>140.697685416276</v>
      </c>
      <c r="I183" s="39">
        <f ca="1" t="shared" ref="I183:L183" si="77">I84</f>
        <v>174.012391082651</v>
      </c>
      <c r="J183" s="39">
        <f ca="1" t="shared" si="77"/>
        <v>194.554784431662</v>
      </c>
      <c r="K183" s="39">
        <f ca="1" t="shared" si="77"/>
        <v>202.935178403189</v>
      </c>
      <c r="L183" s="39">
        <f ca="1" t="shared" si="77"/>
        <v>202.794860228033</v>
      </c>
    </row>
    <row r="184" ht="15" spans="3:12">
      <c r="C184" s="44" t="s">
        <v>144</v>
      </c>
      <c r="D184" s="42"/>
      <c r="E184" s="42"/>
      <c r="F184" s="42"/>
      <c r="G184" s="21">
        <v>5.8</v>
      </c>
      <c r="H184" s="19">
        <f>G184</f>
        <v>5.8</v>
      </c>
      <c r="I184" s="19">
        <f t="shared" ref="I184:L185" si="78">H184</f>
        <v>5.8</v>
      </c>
      <c r="J184" s="19">
        <f t="shared" si="78"/>
        <v>5.8</v>
      </c>
      <c r="K184" s="19">
        <f t="shared" si="78"/>
        <v>5.8</v>
      </c>
      <c r="L184" s="19">
        <f t="shared" si="78"/>
        <v>5.8</v>
      </c>
    </row>
    <row r="185" ht="15" spans="3:12">
      <c r="C185" s="68" t="s">
        <v>146</v>
      </c>
      <c r="D185" s="70"/>
      <c r="E185" s="70"/>
      <c r="F185" s="70"/>
      <c r="G185" s="69">
        <v>3.7</v>
      </c>
      <c r="H185" s="71">
        <f>G185</f>
        <v>3.7</v>
      </c>
      <c r="I185" s="71">
        <f t="shared" si="78"/>
        <v>3.7</v>
      </c>
      <c r="J185" s="71">
        <f t="shared" si="78"/>
        <v>3.7</v>
      </c>
      <c r="K185" s="71">
        <f t="shared" si="78"/>
        <v>3.7</v>
      </c>
      <c r="L185" s="71">
        <f t="shared" si="78"/>
        <v>3.7</v>
      </c>
    </row>
    <row r="186" ht="15" spans="3:12">
      <c r="C186" s="72" t="s">
        <v>124</v>
      </c>
      <c r="D186" s="43"/>
      <c r="E186" s="43"/>
      <c r="F186" s="43">
        <f>F129</f>
        <v>405.1</v>
      </c>
      <c r="G186" s="41">
        <f>G129</f>
        <v>484.8</v>
      </c>
      <c r="H186" s="41">
        <f ca="1">SUM(H182:H185)</f>
        <v>634.997685416276</v>
      </c>
      <c r="I186" s="41">
        <f ca="1" t="shared" ref="I186:L186" si="79">SUM(I182:I185)</f>
        <v>818.510076498928</v>
      </c>
      <c r="J186" s="41">
        <f ca="1" t="shared" si="79"/>
        <v>1022.56486093059</v>
      </c>
      <c r="K186" s="41">
        <f ca="1" t="shared" si="79"/>
        <v>1235.00003933378</v>
      </c>
      <c r="L186" s="41">
        <f ca="1" t="shared" si="79"/>
        <v>1447.29489956181</v>
      </c>
    </row>
    <row r="187" spans="6:7">
      <c r="F187" s="66"/>
      <c r="G187" s="66"/>
    </row>
    <row r="188" spans="5:20">
      <c r="E188" s="45"/>
      <c r="F188" s="45"/>
      <c r="G188" s="83"/>
      <c r="H188" s="84"/>
      <c r="I188" s="84"/>
      <c r="J188" s="84"/>
      <c r="K188" s="84"/>
      <c r="L188" s="84"/>
      <c r="T188" s="66"/>
    </row>
    <row r="189" ht="15" spans="1:19">
      <c r="A189" t="s">
        <v>12</v>
      </c>
      <c r="C189" s="34" t="s">
        <v>148</v>
      </c>
      <c r="D189" s="34"/>
      <c r="E189" s="75"/>
      <c r="F189" s="75"/>
      <c r="G189" s="75"/>
      <c r="H189" s="85"/>
      <c r="I189" s="85"/>
      <c r="J189" s="85"/>
      <c r="K189" s="85"/>
      <c r="L189" s="85"/>
      <c r="S189" s="89"/>
    </row>
    <row r="190" ht="15" spans="3:20">
      <c r="C190" s="53" t="str">
        <f>C69</f>
        <v>Fiscal year  </v>
      </c>
      <c r="D190" s="53"/>
      <c r="E190" s="54"/>
      <c r="F190" s="54">
        <f t="shared" ref="F190:L191" si="80">F69</f>
        <v>2020</v>
      </c>
      <c r="G190" s="54">
        <f t="shared" si="80"/>
        <v>2021</v>
      </c>
      <c r="H190" s="55">
        <f t="shared" si="80"/>
        <v>2022</v>
      </c>
      <c r="I190" s="55">
        <f t="shared" si="80"/>
        <v>2023</v>
      </c>
      <c r="J190" s="55">
        <f t="shared" si="80"/>
        <v>2024</v>
      </c>
      <c r="K190" s="55">
        <f t="shared" si="80"/>
        <v>2025</v>
      </c>
      <c r="L190" s="55">
        <f t="shared" si="80"/>
        <v>2026</v>
      </c>
      <c r="S190" s="89"/>
      <c r="T190" s="66"/>
    </row>
    <row r="191" ht="15" spans="3:19">
      <c r="C191" s="13" t="str">
        <f>C70</f>
        <v>Fiscal year end date</v>
      </c>
      <c r="D191" s="13"/>
      <c r="E191" s="56"/>
      <c r="F191" s="56">
        <f t="shared" si="80"/>
        <v>43921</v>
      </c>
      <c r="G191" s="56">
        <f t="shared" si="80"/>
        <v>44283</v>
      </c>
      <c r="H191" s="56">
        <f t="shared" si="80"/>
        <v>44651</v>
      </c>
      <c r="I191" s="56">
        <f t="shared" si="80"/>
        <v>45016</v>
      </c>
      <c r="J191" s="56">
        <f t="shared" si="80"/>
        <v>45382</v>
      </c>
      <c r="K191" s="56">
        <f t="shared" si="80"/>
        <v>45747</v>
      </c>
      <c r="L191" s="56">
        <f t="shared" si="80"/>
        <v>46112</v>
      </c>
      <c r="S191" s="89"/>
    </row>
    <row r="192" ht="15" spans="3:19">
      <c r="C192" s="44"/>
      <c r="D192" s="44"/>
      <c r="E192" s="45"/>
      <c r="F192" s="45"/>
      <c r="G192" s="45"/>
      <c r="H192" s="86"/>
      <c r="I192" s="86"/>
      <c r="J192" s="86"/>
      <c r="K192" s="86"/>
      <c r="L192" s="86"/>
      <c r="S192" s="89"/>
    </row>
    <row r="193" spans="3:19">
      <c r="C193" s="46" t="s">
        <v>149</v>
      </c>
      <c r="D193" s="45"/>
      <c r="E193" s="45"/>
      <c r="F193" s="19">
        <f>-(F79)</f>
        <v>21</v>
      </c>
      <c r="G193" s="19">
        <f>-(G79)</f>
        <v>27.2</v>
      </c>
      <c r="H193" s="19">
        <f ca="1">H198+H203</f>
        <v>34.5672207280426</v>
      </c>
      <c r="I193" s="19">
        <f ca="1">I198+I203</f>
        <v>34.8547648924338</v>
      </c>
      <c r="J193" s="19">
        <f ca="1">J198+J203</f>
        <v>35.0752077059364</v>
      </c>
      <c r="K193" s="19">
        <f ca="1">K198+K203</f>
        <v>35.2208772788077</v>
      </c>
      <c r="L193" s="19">
        <f ca="1">L198+L203</f>
        <v>35.2983562498851</v>
      </c>
      <c r="S193" s="66"/>
    </row>
    <row r="194" ht="15" spans="3:19">
      <c r="C194" s="90"/>
      <c r="D194" s="90"/>
      <c r="S194" s="66"/>
    </row>
    <row r="195" ht="15" spans="1:19">
      <c r="A195" t="s">
        <v>12</v>
      </c>
      <c r="C195" s="91" t="s">
        <v>151</v>
      </c>
      <c r="D195" s="91"/>
      <c r="S195" s="66"/>
    </row>
    <row r="196" ht="15" spans="3:12">
      <c r="C196" s="44" t="s">
        <v>152</v>
      </c>
      <c r="D196" s="44"/>
      <c r="E196" s="92"/>
      <c r="F196" s="92">
        <f ca="1">F198/F197</f>
        <v>0.0218</v>
      </c>
      <c r="G196" s="92">
        <f ca="1">G198/G197</f>
        <v>0</v>
      </c>
      <c r="H196" s="93">
        <f ca="1">AVERAGE(F196:G196)</f>
        <v>0.0109</v>
      </c>
      <c r="I196" s="93">
        <f ca="1">H196</f>
        <v>0.0109</v>
      </c>
      <c r="J196" s="93">
        <f ca="1">I196</f>
        <v>0.0109</v>
      </c>
      <c r="K196" s="93">
        <f ca="1">J196</f>
        <v>0.0109</v>
      </c>
      <c r="L196" s="93">
        <f ca="1">K196</f>
        <v>0.0109</v>
      </c>
    </row>
    <row r="197" spans="3:12">
      <c r="C197" s="44" t="s">
        <v>154</v>
      </c>
      <c r="D197" s="68"/>
      <c r="E197" s="94"/>
      <c r="F197" s="71">
        <f t="shared" ref="F197:L197" si="81">SUM(F116:F117)</f>
        <v>35.9</v>
      </c>
      <c r="G197" s="71">
        <f t="shared" si="81"/>
        <v>45.2</v>
      </c>
      <c r="H197" s="71">
        <f ca="1" t="shared" si="81"/>
        <v>57.81532</v>
      </c>
      <c r="I197" s="71">
        <f ca="1" t="shared" si="81"/>
        <v>67.73064738</v>
      </c>
      <c r="J197" s="71">
        <f ca="1" t="shared" si="81"/>
        <v>74.503712118</v>
      </c>
      <c r="K197" s="71">
        <f ca="1" t="shared" si="81"/>
        <v>78.2288977239</v>
      </c>
      <c r="L197" s="71">
        <f ca="1" t="shared" si="81"/>
        <v>79.793475678378</v>
      </c>
    </row>
    <row r="198" ht="15" spans="3:12">
      <c r="C198" s="95" t="s">
        <v>156</v>
      </c>
      <c r="D198" s="96"/>
      <c r="E198" s="62"/>
      <c r="F198" s="63">
        <f ca="1">AVERAGE(E197:F197)*F196</f>
        <v>0.78262</v>
      </c>
      <c r="G198" s="63">
        <f ca="1">AVERAGE(F197:G197)*G196</f>
        <v>0</v>
      </c>
      <c r="H198" s="97">
        <f ca="1">IF($D$7=1,AVERAGE(G197,H197)*H196,0)</f>
        <v>0.561433494</v>
      </c>
      <c r="I198" s="97">
        <f ca="1" t="shared" ref="I198:L198" si="82">IF($D$7=1,AVERAGE(H197,I197)*I196,0)</f>
        <v>0.684225522221</v>
      </c>
      <c r="J198" s="97">
        <f ca="1" t="shared" si="82"/>
        <v>0.7751772592641</v>
      </c>
      <c r="K198" s="97">
        <f ca="1" t="shared" si="82"/>
        <v>0.832392723638355</v>
      </c>
      <c r="L198" s="97">
        <f ca="1" t="shared" si="82"/>
        <v>0.861221935042415</v>
      </c>
    </row>
    <row r="199" spans="3:7">
      <c r="C199" s="98"/>
      <c r="D199" s="98"/>
      <c r="E199" s="45"/>
      <c r="F199" s="45"/>
      <c r="G199" s="45"/>
    </row>
    <row r="200" ht="15" spans="1:7">
      <c r="A200" t="s">
        <v>12</v>
      </c>
      <c r="C200" s="91" t="s">
        <v>109</v>
      </c>
      <c r="D200" s="91"/>
      <c r="E200" s="45"/>
      <c r="F200" s="45"/>
      <c r="G200" s="45"/>
    </row>
    <row r="201" spans="3:12">
      <c r="C201" s="44" t="s">
        <v>154</v>
      </c>
      <c r="D201" s="44"/>
      <c r="E201" s="45"/>
      <c r="F201" s="19">
        <f t="shared" ref="F201:L201" si="83">SUM(F122:F125)</f>
        <v>704.8</v>
      </c>
      <c r="G201" s="19">
        <f t="shared" si="83"/>
        <v>1175.2</v>
      </c>
      <c r="H201" s="19">
        <f ca="1" t="shared" si="83"/>
        <v>1180.89364</v>
      </c>
      <c r="I201" s="19">
        <f ca="1" t="shared" si="83"/>
        <v>1185.36869926</v>
      </c>
      <c r="J201" s="19">
        <f ca="1" t="shared" si="83"/>
        <v>1188.425569186</v>
      </c>
      <c r="K201" s="19">
        <f ca="1" t="shared" si="83"/>
        <v>1190.1068476453</v>
      </c>
      <c r="L201" s="19">
        <f ca="1" t="shared" si="83"/>
        <v>1190.81298459821</v>
      </c>
    </row>
    <row r="202" ht="15" spans="3:19">
      <c r="C202" s="44" t="s">
        <v>152</v>
      </c>
      <c r="D202" s="44"/>
      <c r="E202" s="77"/>
      <c r="F202" s="77">
        <f ca="1" t="shared" ref="F202:G202" si="84">F203/AVERAGE(E201:F201)</f>
        <v>0.0286852724177071</v>
      </c>
      <c r="G202" s="77">
        <f ca="1" t="shared" si="84"/>
        <v>0.028936170212766</v>
      </c>
      <c r="H202" s="99">
        <f ca="1">G202</f>
        <v>0.028936170212766</v>
      </c>
      <c r="I202" s="99">
        <f ca="1">H202</f>
        <v>0.028936170212766</v>
      </c>
      <c r="J202" s="99">
        <f ca="1">I202</f>
        <v>0.028936170212766</v>
      </c>
      <c r="K202" s="99">
        <f ca="1">J202</f>
        <v>0.028936170212766</v>
      </c>
      <c r="L202" s="99">
        <f ca="1">K202</f>
        <v>0.028936170212766</v>
      </c>
      <c r="S202" s="89"/>
    </row>
    <row r="203" ht="15" spans="3:12">
      <c r="C203" s="72" t="s">
        <v>160</v>
      </c>
      <c r="D203" s="72"/>
      <c r="E203" s="62"/>
      <c r="F203" s="63">
        <f ca="1">F193-F198</f>
        <v>20.21738</v>
      </c>
      <c r="G203" s="63">
        <f ca="1">G193-G198</f>
        <v>27.2</v>
      </c>
      <c r="H203" s="41">
        <f ca="1">AVERAGE(G202,H202)*G201</f>
        <v>34.0057872340426</v>
      </c>
      <c r="I203" s="41">
        <f ca="1" t="shared" ref="I203:L203" si="85">AVERAGE(H202,I202)*H201</f>
        <v>34.1705393702128</v>
      </c>
      <c r="J203" s="41">
        <f ca="1" t="shared" si="85"/>
        <v>34.3000304466723</v>
      </c>
      <c r="K203" s="41">
        <f ca="1" t="shared" si="85"/>
        <v>34.3884845551694</v>
      </c>
      <c r="L203" s="41">
        <f ca="1" t="shared" si="85"/>
        <v>34.4371343148427</v>
      </c>
    </row>
    <row r="204" spans="6:6">
      <c r="F204" s="45"/>
    </row>
    <row r="205" ht="15" spans="3:7">
      <c r="C205" s="90" t="s">
        <v>162</v>
      </c>
      <c r="D205" s="90"/>
      <c r="F205" s="45"/>
      <c r="G205" s="45"/>
    </row>
    <row r="206" ht="15" customHeight="1" spans="3:12">
      <c r="C206" s="44" t="s">
        <v>163</v>
      </c>
      <c r="D206" s="100"/>
      <c r="E206" s="92"/>
      <c r="F206" s="92"/>
      <c r="G206" s="92">
        <f>G207/(AVERAGE(F100,G100))</f>
        <v>0.00274725274725275</v>
      </c>
      <c r="H206" s="101">
        <f>G206</f>
        <v>0.00274725274725275</v>
      </c>
      <c r="I206" s="101">
        <f>H206</f>
        <v>0.00274725274725275</v>
      </c>
      <c r="J206" s="101">
        <f>I206</f>
        <v>0.00274725274725275</v>
      </c>
      <c r="K206" s="101">
        <f>J206</f>
        <v>0.00274725274725275</v>
      </c>
      <c r="L206" s="101">
        <f>K206</f>
        <v>0.00274725274725275</v>
      </c>
    </row>
    <row r="207" ht="15" customHeight="1" spans="3:12">
      <c r="C207" s="44" t="s">
        <v>29</v>
      </c>
      <c r="D207" s="45"/>
      <c r="E207" s="45"/>
      <c r="F207" s="19">
        <f>F78</f>
        <v>0.4</v>
      </c>
      <c r="G207" s="19">
        <f>G78</f>
        <v>0.7</v>
      </c>
      <c r="H207" s="39">
        <f ca="1">IF($D$7=1,AVERAGE(G100,H100)*H206,0)</f>
        <v>1.30034701498112</v>
      </c>
      <c r="I207" s="39">
        <f ca="1" t="shared" ref="I207:L207" si="86">IF($D$7=1,AVERAGE(H100,I100)*I206,0)</f>
        <v>1.36965063578157</v>
      </c>
      <c r="J207" s="39">
        <f ca="1" t="shared" si="86"/>
        <v>1.61783906312113</v>
      </c>
      <c r="K207" s="39">
        <f ca="1" t="shared" si="86"/>
        <v>2.01630350749057</v>
      </c>
      <c r="L207" s="39">
        <f ca="1" t="shared" si="86"/>
        <v>2.51881500710769</v>
      </c>
    </row>
    <row r="208" ht="15" spans="3:12">
      <c r="C208" s="102"/>
      <c r="D208" s="102"/>
      <c r="E208" s="77"/>
      <c r="F208" s="77"/>
      <c r="G208" s="77"/>
      <c r="H208" s="71"/>
      <c r="I208" s="71"/>
      <c r="J208" s="71"/>
      <c r="K208" s="71"/>
      <c r="L208" s="71"/>
    </row>
    <row r="209" ht="15" spans="14:14">
      <c r="N209" s="49"/>
    </row>
    <row r="210" ht="15" spans="1:12">
      <c r="A210" t="s">
        <v>12</v>
      </c>
      <c r="C210" s="34" t="s">
        <v>165</v>
      </c>
      <c r="D210" s="34"/>
      <c r="E210" s="34"/>
      <c r="F210" s="34"/>
      <c r="G210" s="34"/>
      <c r="H210" s="34"/>
      <c r="I210" s="34"/>
      <c r="J210" s="34"/>
      <c r="K210" s="34"/>
      <c r="L210" s="34"/>
    </row>
    <row r="211" ht="15"/>
    <row r="212" ht="15.75" spans="3:12">
      <c r="C212" t="s">
        <v>166</v>
      </c>
      <c r="D212" s="103" t="str">
        <f>L5</f>
        <v>Base case</v>
      </c>
      <c r="G212" s="104" t="s">
        <v>167</v>
      </c>
      <c r="H212" s="55">
        <f t="shared" ref="H212:L213" si="87">H69</f>
        <v>2022</v>
      </c>
      <c r="I212" s="55">
        <f t="shared" si="87"/>
        <v>2023</v>
      </c>
      <c r="J212" s="55">
        <f t="shared" si="87"/>
        <v>2024</v>
      </c>
      <c r="K212" s="55">
        <f t="shared" si="87"/>
        <v>2025</v>
      </c>
      <c r="L212" s="55">
        <f t="shared" si="87"/>
        <v>2026</v>
      </c>
    </row>
    <row r="213" ht="15" spans="7:12">
      <c r="G213" s="105" t="s">
        <v>168</v>
      </c>
      <c r="H213" s="56">
        <f t="shared" si="87"/>
        <v>44651</v>
      </c>
      <c r="I213" s="56">
        <f t="shared" si="87"/>
        <v>45016</v>
      </c>
      <c r="J213" s="56">
        <f t="shared" si="87"/>
        <v>45382</v>
      </c>
      <c r="K213" s="56">
        <f t="shared" si="87"/>
        <v>45747</v>
      </c>
      <c r="L213" s="56">
        <f t="shared" si="87"/>
        <v>46112</v>
      </c>
    </row>
    <row r="214" spans="3:12">
      <c r="C214" s="44" t="s">
        <v>49</v>
      </c>
      <c r="G214" s="106" t="str">
        <f ca="1" t="shared" ref="G214:L214" si="88">OFFSET(G$219,MATCH($L$5,$C$220:$C$222,0)+MATCH($C214,$C$219:$C$234,0)-1,0)</f>
        <v>NM</v>
      </c>
      <c r="H214" s="73">
        <f ca="1" t="shared" si="88"/>
        <v>0.2791</v>
      </c>
      <c r="I214" s="73">
        <f ca="1" t="shared" si="88"/>
        <v>0.1715</v>
      </c>
      <c r="J214" s="73">
        <f ca="1" t="shared" si="88"/>
        <v>0.1</v>
      </c>
      <c r="K214" s="73">
        <f ca="1" t="shared" si="88"/>
        <v>0.05</v>
      </c>
      <c r="L214" s="73">
        <f ca="1" t="shared" si="88"/>
        <v>0.02</v>
      </c>
    </row>
    <row r="215" spans="3:12">
      <c r="C215" s="44" t="s">
        <v>52</v>
      </c>
      <c r="G215" s="106" t="str">
        <f ca="1">OFFSET(G$219,MATCH($L$5,$C$220:$C$222,0)+MATCH($C215,$C$219:$C$234,0)-1,0)</f>
        <v>NM</v>
      </c>
      <c r="H215" s="73">
        <f ca="1">OFFSET(H$219,MATCH($L$5,$C$224:$C$226,0)+MATCH($C215,$C$219:$C$234,0)-1,0)</f>
        <v>0.613</v>
      </c>
      <c r="I215" s="73">
        <f ca="1">OFFSET(I$219,MATCH($L$5,$C$224:$C$226,0)+MATCH($C215,$C$219:$C$234,0)-1,0)</f>
        <v>0.613</v>
      </c>
      <c r="J215" s="73">
        <f ca="1">OFFSET(J$219,MATCH($L$5,$C$224:$C$226,0)+MATCH($C215,$C$219:$C$234,0)-1,0)</f>
        <v>0.613</v>
      </c>
      <c r="K215" s="73">
        <f ca="1">OFFSET(K$219,MATCH($L$5,$C$224:$C$226,0)+MATCH($C215,$C$219:$C$234,0)-1,0)</f>
        <v>0.613</v>
      </c>
      <c r="L215" s="73">
        <f ca="1">OFFSET(L$219,MATCH($L$5,$C$224:$C$226,0)+MATCH($C215,$C$219:$C$234,0)-1,0)</f>
        <v>0.613</v>
      </c>
    </row>
    <row r="216" spans="3:12">
      <c r="C216" s="44" t="s">
        <v>54</v>
      </c>
      <c r="G216" s="106" t="str">
        <f ca="1">OFFSET(G$219,MATCH($L$5,$C$220:$C$222,0)+MATCH($C216,$C$219:$C$234,0)-1,0)</f>
        <v>NM</v>
      </c>
      <c r="H216" s="73">
        <f ca="1" t="shared" ref="H216:L217" si="89">OFFSET(H$219,MATCH($L$5,$C$220:$C$222,0)+MATCH($C216,$C$219:$C$234,0)-1,0)</f>
        <v>0.52</v>
      </c>
      <c r="I216" s="73">
        <f ca="1" t="shared" si="89"/>
        <v>0.52</v>
      </c>
      <c r="J216" s="73">
        <f ca="1" t="shared" si="89"/>
        <v>0.52</v>
      </c>
      <c r="K216" s="73">
        <f ca="1" t="shared" si="89"/>
        <v>0.52</v>
      </c>
      <c r="L216" s="73">
        <f ca="1" t="shared" si="89"/>
        <v>0.52</v>
      </c>
    </row>
    <row r="217" spans="3:12">
      <c r="C217" s="44" t="s">
        <v>55</v>
      </c>
      <c r="G217" s="106" t="str">
        <f ca="1">OFFSET(G$219,MATCH($L$5,$C$220:$C$222,0)+MATCH($C217,$C$219:$C$234,0)-1,0)</f>
        <v>NM</v>
      </c>
      <c r="H217" s="73">
        <f ca="1" t="shared" si="89"/>
        <v>0.3787</v>
      </c>
      <c r="I217" s="73">
        <f ca="1" t="shared" si="89"/>
        <v>0.3787</v>
      </c>
      <c r="J217" s="73">
        <f ca="1" t="shared" si="89"/>
        <v>0.3787</v>
      </c>
      <c r="K217" s="73">
        <f ca="1" t="shared" si="89"/>
        <v>0.3787</v>
      </c>
      <c r="L217" s="73">
        <f ca="1" t="shared" si="89"/>
        <v>0.3787</v>
      </c>
    </row>
    <row r="218" spans="7:7">
      <c r="G218" s="107"/>
    </row>
    <row r="219" ht="15" spans="3:7">
      <c r="C219" s="72" t="s">
        <v>49</v>
      </c>
      <c r="G219" s="107"/>
    </row>
    <row r="220" ht="15" spans="3:12">
      <c r="C220" s="98" t="s">
        <v>169</v>
      </c>
      <c r="G220" s="108">
        <v>0.05</v>
      </c>
      <c r="H220" s="50">
        <f>H221+$G$220</f>
        <v>0.3291</v>
      </c>
      <c r="I220" s="50">
        <f t="shared" ref="I220:L220" si="90">I221+$G$220</f>
        <v>0.2215</v>
      </c>
      <c r="J220" s="50">
        <f t="shared" si="90"/>
        <v>0.15</v>
      </c>
      <c r="K220" s="50">
        <f t="shared" si="90"/>
        <v>0.1</v>
      </c>
      <c r="L220" s="50">
        <f t="shared" si="90"/>
        <v>0.07</v>
      </c>
    </row>
    <row r="221" ht="15" spans="3:12">
      <c r="C221" s="98" t="s">
        <v>4</v>
      </c>
      <c r="G221" s="109" t="s">
        <v>170</v>
      </c>
      <c r="H221" s="60">
        <v>0.2791</v>
      </c>
      <c r="I221" s="60">
        <v>0.1715</v>
      </c>
      <c r="J221" s="60">
        <f>10%</f>
        <v>0.1</v>
      </c>
      <c r="K221" s="60">
        <v>0.05</v>
      </c>
      <c r="L221" s="60">
        <v>0.02</v>
      </c>
    </row>
    <row r="222" ht="15" spans="3:12">
      <c r="C222" s="98" t="s">
        <v>171</v>
      </c>
      <c r="G222" s="108">
        <v>-0.05</v>
      </c>
      <c r="H222" s="50">
        <f>H221+$G$222</f>
        <v>0.2291</v>
      </c>
      <c r="I222" s="50">
        <f t="shared" ref="I222:L222" si="91">I221+$G$222</f>
        <v>0.1215</v>
      </c>
      <c r="J222" s="50">
        <f t="shared" si="91"/>
        <v>0.05</v>
      </c>
      <c r="K222" s="50">
        <f t="shared" si="91"/>
        <v>0</v>
      </c>
      <c r="L222" s="50">
        <f t="shared" si="91"/>
        <v>-0.03</v>
      </c>
    </row>
    <row r="223" ht="15" spans="3:12">
      <c r="C223" s="72" t="s">
        <v>52</v>
      </c>
      <c r="G223" s="109"/>
      <c r="H223" s="60"/>
      <c r="I223" s="60"/>
      <c r="J223" s="60"/>
      <c r="K223" s="60"/>
      <c r="L223" s="60"/>
    </row>
    <row r="224" ht="15" spans="3:12">
      <c r="C224" s="98" t="s">
        <v>169</v>
      </c>
      <c r="G224" s="108">
        <v>0.01</v>
      </c>
      <c r="H224" s="50">
        <f>H225+$G$224</f>
        <v>0.623</v>
      </c>
      <c r="I224" s="50">
        <f t="shared" ref="I224:L224" si="92">I225+$G$224</f>
        <v>0.623</v>
      </c>
      <c r="J224" s="50">
        <f t="shared" si="92"/>
        <v>0.623</v>
      </c>
      <c r="K224" s="50">
        <f t="shared" si="92"/>
        <v>0.623</v>
      </c>
      <c r="L224" s="50">
        <f t="shared" si="92"/>
        <v>0.623</v>
      </c>
    </row>
    <row r="225" ht="15" spans="3:12">
      <c r="C225" s="98" t="s">
        <v>4</v>
      </c>
      <c r="G225" s="109" t="s">
        <v>170</v>
      </c>
      <c r="H225" s="60">
        <v>0.613</v>
      </c>
      <c r="I225" s="60">
        <v>0.613</v>
      </c>
      <c r="J225" s="60">
        <v>0.613</v>
      </c>
      <c r="K225" s="60">
        <v>0.613</v>
      </c>
      <c r="L225" s="60">
        <v>0.613</v>
      </c>
    </row>
    <row r="226" ht="15" spans="3:12">
      <c r="C226" s="98" t="s">
        <v>171</v>
      </c>
      <c r="G226" s="108">
        <v>-0.01</v>
      </c>
      <c r="H226" s="50">
        <f>H225+$G$226</f>
        <v>0.603</v>
      </c>
      <c r="I226" s="50">
        <f t="shared" ref="I226:L226" si="93">I225+$G$226</f>
        <v>0.603</v>
      </c>
      <c r="J226" s="50">
        <f t="shared" si="93"/>
        <v>0.603</v>
      </c>
      <c r="K226" s="50">
        <f t="shared" si="93"/>
        <v>0.603</v>
      </c>
      <c r="L226" s="50">
        <f t="shared" si="93"/>
        <v>0.603</v>
      </c>
    </row>
    <row r="227" ht="15" spans="3:12">
      <c r="C227" s="72" t="s">
        <v>54</v>
      </c>
      <c r="G227" s="109"/>
      <c r="H227" s="110"/>
      <c r="I227" s="110"/>
      <c r="J227" s="110"/>
      <c r="K227" s="110"/>
      <c r="L227" s="110"/>
    </row>
    <row r="228" ht="15" spans="3:12">
      <c r="C228" s="98" t="s">
        <v>169</v>
      </c>
      <c r="G228" s="108">
        <v>-0.05</v>
      </c>
      <c r="H228" s="50">
        <f>H229+$G$228</f>
        <v>0.47</v>
      </c>
      <c r="I228" s="50">
        <f t="shared" ref="I228:L228" si="94">I229+$G$228</f>
        <v>0.47</v>
      </c>
      <c r="J228" s="50">
        <f t="shared" si="94"/>
        <v>0.47</v>
      </c>
      <c r="K228" s="50">
        <f t="shared" si="94"/>
        <v>0.47</v>
      </c>
      <c r="L228" s="50">
        <f t="shared" si="94"/>
        <v>0.47</v>
      </c>
    </row>
    <row r="229" ht="15" spans="3:12">
      <c r="C229" s="98" t="s">
        <v>4</v>
      </c>
      <c r="G229" s="109" t="s">
        <v>170</v>
      </c>
      <c r="H229" s="60">
        <v>0.52</v>
      </c>
      <c r="I229" s="60">
        <v>0.52</v>
      </c>
      <c r="J229" s="60">
        <v>0.52</v>
      </c>
      <c r="K229" s="60">
        <v>0.52</v>
      </c>
      <c r="L229" s="60">
        <v>0.52</v>
      </c>
    </row>
    <row r="230" ht="15" spans="3:12">
      <c r="C230" s="98" t="s">
        <v>171</v>
      </c>
      <c r="G230" s="108">
        <v>0.05</v>
      </c>
      <c r="H230" s="50">
        <f>H229+$G$230</f>
        <v>0.57</v>
      </c>
      <c r="I230" s="50">
        <f t="shared" ref="I230:L230" si="95">I229+$G$230</f>
        <v>0.57</v>
      </c>
      <c r="J230" s="50">
        <f t="shared" si="95"/>
        <v>0.57</v>
      </c>
      <c r="K230" s="50">
        <f t="shared" si="95"/>
        <v>0.57</v>
      </c>
      <c r="L230" s="50">
        <f t="shared" si="95"/>
        <v>0.57</v>
      </c>
    </row>
    <row r="231" ht="15" spans="3:12">
      <c r="C231" s="72" t="s">
        <v>55</v>
      </c>
      <c r="G231" s="109"/>
      <c r="H231" s="110"/>
      <c r="I231" s="110"/>
      <c r="J231" s="110"/>
      <c r="K231" s="110"/>
      <c r="L231" s="110"/>
    </row>
    <row r="232" ht="15" spans="3:12">
      <c r="C232" s="98" t="s">
        <v>169</v>
      </c>
      <c r="G232" s="108">
        <v>-0.02</v>
      </c>
      <c r="H232" s="50">
        <f>H233+$G$232</f>
        <v>0.3587</v>
      </c>
      <c r="I232" s="50">
        <f t="shared" ref="I232:L232" si="96">I233+$G$232</f>
        <v>0.3587</v>
      </c>
      <c r="J232" s="50">
        <f t="shared" si="96"/>
        <v>0.3587</v>
      </c>
      <c r="K232" s="50">
        <f t="shared" si="96"/>
        <v>0.3587</v>
      </c>
      <c r="L232" s="50">
        <f t="shared" si="96"/>
        <v>0.3587</v>
      </c>
    </row>
    <row r="233" ht="15" spans="3:12">
      <c r="C233" s="98" t="s">
        <v>4</v>
      </c>
      <c r="G233" s="109" t="s">
        <v>170</v>
      </c>
      <c r="H233" s="60">
        <v>0.3787</v>
      </c>
      <c r="I233" s="60">
        <v>0.3787</v>
      </c>
      <c r="J233" s="60">
        <v>0.3787</v>
      </c>
      <c r="K233" s="60">
        <v>0.3787</v>
      </c>
      <c r="L233" s="60">
        <v>0.3787</v>
      </c>
    </row>
    <row r="234" ht="15.75" spans="3:12">
      <c r="C234" s="98" t="s">
        <v>171</v>
      </c>
      <c r="G234" s="111">
        <v>0.02</v>
      </c>
      <c r="H234" s="50">
        <f>H233+$G$234</f>
        <v>0.3987</v>
      </c>
      <c r="I234" s="50">
        <f t="shared" ref="I234:L234" si="97">I233+$G$234</f>
        <v>0.3987</v>
      </c>
      <c r="J234" s="50">
        <f t="shared" si="97"/>
        <v>0.3987</v>
      </c>
      <c r="K234" s="50">
        <f t="shared" si="97"/>
        <v>0.3987</v>
      </c>
      <c r="L234" s="50">
        <f t="shared" si="97"/>
        <v>0.3987</v>
      </c>
    </row>
  </sheetData>
  <conditionalFormatting sqref="C94:D94">
    <cfRule type="expression" dxfId="0" priority="3">
      <formula>#REF!=$C94</formula>
    </cfRule>
  </conditionalFormatting>
  <conditionalFormatting sqref="C217">
    <cfRule type="expression" dxfId="0" priority="1">
      <formula>#REF!=$C217</formula>
    </cfRule>
  </conditionalFormatting>
  <conditionalFormatting sqref="C231">
    <cfRule type="expression" dxfId="0" priority="2">
      <formula>#REF!=$C231</formula>
    </cfRule>
  </conditionalFormatting>
  <dataValidations count="3">
    <dataValidation type="list" allowBlank="1" showInputMessage="1" showErrorMessage="1" sqref="D7">
      <formula1>"0,1"</formula1>
    </dataValidation>
    <dataValidation type="list" allowBlank="1" showInputMessage="1" showErrorMessage="1" sqref="C3">
      <formula1>"$ bns except per share, $ mm except per share,$ in thousands except per share"</formula1>
    </dataValidation>
    <dataValidation type="list" allowBlank="1" showInputMessage="1" showErrorMessage="1" sqref="L5">
      <formula1>$C$220:$C$222</formula1>
    </dataValidation>
  </dataValidations>
  <pageMargins left="0.7" right="0.7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FSM</vt:lpstr>
      <vt:lpstr>DCF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Jeremy</dc:creator>
  <cp:lastModifiedBy>HAO LIN</cp:lastModifiedBy>
  <dcterms:created xsi:type="dcterms:W3CDTF">2022-02-06T00:47:00Z</dcterms:created>
  <dcterms:modified xsi:type="dcterms:W3CDTF">2022-02-10T23:28:58Z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5B0E337ACFDB4F2895BD81FBA8B97CCA</vt:lpwstr>
  </property>
  <property fmtid="{D5CDD505-2E9C-101B-9397-08002B2CF9AE}" pid="3" name="KSOProductBuildVer">
    <vt:lpwstr>1033-11.2.0.10463</vt:lpwstr>
  </property>
</Properties>
</file>