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FSM" sheetId="2" r:id="rId1"/>
    <sheet name="YUMC DCF" sheetId="4" r:id="rId2"/>
    <sheet name="YUMC Relative" sheetId="5" r:id="rId3"/>
  </sheets>
  <calcPr calcId="144525"/>
</workbook>
</file>

<file path=xl/comments1.xml><?xml version="1.0" encoding="utf-8"?>
<comments xmlns="http://schemas.openxmlformats.org/spreadsheetml/2006/main">
  <authors>
    <author>Lin, Jeremy</author>
    <author>HAO LIN</author>
    <author>Matan Feldman</author>
  </authors>
  <commentList>
    <comment ref="D1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2022 Q2 report</t>
        </r>
      </text>
    </comment>
    <comment ref="G2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2021 annual report page 194
</t>
        </r>
      </text>
    </comment>
    <comment ref="G2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includes standby fees, acceleration of unamortized costs on debt extinguishment, and other costs. page 43</t>
        </r>
      </text>
    </comment>
    <comment ref="G30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D&amp;A in Cash flow statement, page 196</t>
        </r>
      </text>
    </comment>
    <comment ref="C47" authorId="1">
      <text>
        <r>
          <rPr>
            <b/>
            <sz val="9"/>
            <rFont val="Times New Roman"/>
            <charset val="134"/>
          </rPr>
          <t>HAO LIN:</t>
        </r>
        <r>
          <rPr>
            <sz val="9"/>
            <rFont val="Times New Roman"/>
            <charset val="134"/>
          </rPr>
          <t xml:space="preserve">
this and above are current asset
</t>
        </r>
      </text>
    </comment>
    <comment ref="C54" authorId="2">
      <text>
        <r>
          <rPr>
            <sz val="9"/>
            <rFont val="Tahoma"/>
            <charset val="134"/>
          </rPr>
          <t xml:space="preserve">this and above were non current assets
</t>
        </r>
      </text>
    </comment>
    <comment ref="C8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This could have move to CFI under investment or purchase of intangible assets</t>
        </r>
      </text>
    </comment>
    <comment ref="C9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term loan borrowings</t>
        </r>
      </text>
    </comment>
    <comment ref="C11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reference back to CFO, to avoid double counting of amortization that I have already counted in D&amp;A in CFO (the line above)</t>
        </r>
      </text>
    </comment>
    <comment ref="C12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GOOS does not pay dividend</t>
        </r>
      </text>
    </comment>
    <comment ref="G12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95 of 2021 Annual report. </t>
        </r>
      </text>
    </comment>
    <comment ref="G13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annual report page 178
</t>
        </r>
      </text>
    </comment>
    <comment ref="G13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2021 annual report page 194
</t>
        </r>
      </text>
    </comment>
    <comment ref="H14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BBG, the estimated growth given 2 quarters data</t>
        </r>
      </text>
    </comment>
  </commentList>
</comments>
</file>

<file path=xl/comments2.xml><?xml version="1.0" encoding="utf-8"?>
<comments xmlns="http://schemas.openxmlformats.org/spreadsheetml/2006/main">
  <authors>
    <author>Lin, Jeremy</author>
    <author>HAO LIN</author>
    <author>Matan Feldman</author>
  </authors>
  <commentList>
    <comment ref="D1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2022 Q2 report</t>
        </r>
      </text>
    </comment>
    <comment ref="D34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from BBG</t>
        </r>
      </text>
    </comment>
    <comment ref="D35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From BBG</t>
        </r>
      </text>
    </comment>
    <comment ref="G67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2021 annual report page 194
</t>
        </r>
      </text>
    </comment>
    <comment ref="G68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includes standby fees, acceleration of unamortized costs on debt extinguishment, and other costs. page 43</t>
        </r>
      </text>
    </comment>
    <comment ref="G74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D&amp;A in Cash flow statement, page 196</t>
        </r>
      </text>
    </comment>
    <comment ref="C76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Share-based payment</t>
        </r>
      </text>
    </comment>
    <comment ref="C91" authorId="1">
      <text>
        <r>
          <rPr>
            <b/>
            <sz val="9"/>
            <rFont val="Times New Roman"/>
            <charset val="134"/>
          </rPr>
          <t>HAO LIN:</t>
        </r>
        <r>
          <rPr>
            <sz val="9"/>
            <rFont val="Times New Roman"/>
            <charset val="134"/>
          </rPr>
          <t xml:space="preserve">
this and above are current asset
</t>
        </r>
      </text>
    </comment>
    <comment ref="C98" authorId="2">
      <text>
        <r>
          <rPr>
            <sz val="9"/>
            <rFont val="Tahoma"/>
            <charset val="134"/>
          </rPr>
          <t xml:space="preserve">this and above were non current assets
</t>
        </r>
      </text>
    </comment>
    <comment ref="C12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This could have move to CFI under investment or purchase of intangible assets</t>
        </r>
      </text>
    </comment>
    <comment ref="C137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term loan borrowings</t>
        </r>
      </text>
    </comment>
    <comment ref="C16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reference back to CFO, to avoid double counting of amortization that I have already counted in D&amp;A in CFO (the line above)</t>
        </r>
      </text>
    </comment>
    <comment ref="C168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GOOS does not pay dividend</t>
        </r>
      </text>
    </comment>
    <comment ref="G16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95 of 2021 Annual report. </t>
        </r>
      </text>
    </comment>
    <comment ref="G17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annual report page 178
</t>
        </r>
      </text>
    </comment>
    <comment ref="G17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2021 annual report page 194
</t>
        </r>
      </text>
    </comment>
    <comment ref="H18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BBG, the estimated growth given 2 quarters data</t>
        </r>
      </text>
    </comment>
  </commentList>
</comments>
</file>

<file path=xl/comments3.xml><?xml version="1.0" encoding="utf-8"?>
<comments xmlns="http://schemas.openxmlformats.org/spreadsheetml/2006/main">
  <authors>
    <author>Lin, Jeremy</author>
  </authors>
  <commentList>
    <comment ref="D1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2022 Q2 report</t>
        </r>
      </text>
    </comment>
  </commentList>
</comments>
</file>

<file path=xl/sharedStrings.xml><?xml version="1.0" encoding="utf-8"?>
<sst xmlns="http://schemas.openxmlformats.org/spreadsheetml/2006/main" count="510" uniqueCount="216">
  <si>
    <t>$ in thousands except per share</t>
  </si>
  <si>
    <t>Company name</t>
  </si>
  <si>
    <t>Yum China Holding Inc.</t>
  </si>
  <si>
    <t>Select an operating scenario:</t>
  </si>
  <si>
    <t>Base case</t>
  </si>
  <si>
    <t>Ticker</t>
  </si>
  <si>
    <t>YUMC</t>
  </si>
  <si>
    <t>Circ break 1=off, 0=on</t>
  </si>
  <si>
    <t>Latest closing share price</t>
  </si>
  <si>
    <t>Latest closing share price date</t>
  </si>
  <si>
    <t>Latest fiscal year end date</t>
  </si>
  <si>
    <t>Shares outstanding (millions)</t>
  </si>
  <si>
    <t>x</t>
  </si>
  <si>
    <t>INCOME STATEMENT</t>
  </si>
  <si>
    <t xml:space="preserve">Fiscal year  </t>
  </si>
  <si>
    <t>Fiscal year end date</t>
  </si>
  <si>
    <t>Comments</t>
  </si>
  <si>
    <t>Revenue</t>
  </si>
  <si>
    <t>Previous year's revenues x (1+revenue growth rate)</t>
  </si>
  <si>
    <t>Cost of sales (enter as -)</t>
  </si>
  <si>
    <t>Plug = Revenue - Gross Profit</t>
  </si>
  <si>
    <t>Gross Profit</t>
  </si>
  <si>
    <t>Revenue x Gross Profit Margin forecast</t>
  </si>
  <si>
    <t>Other operating cost (enter as -)</t>
  </si>
  <si>
    <t>Revenue x D&amp;A % of sales forecast</t>
  </si>
  <si>
    <t>Selling, general &amp; administrative (enter as -)</t>
  </si>
  <si>
    <t>Revenue x SG&amp;A % of sales forecast</t>
  </si>
  <si>
    <t>Operating profit (EBIT)</t>
  </si>
  <si>
    <t>Gross Profit - D&amp;A - SG&amp;A</t>
  </si>
  <si>
    <t>Interest income, net</t>
  </si>
  <si>
    <t>Reference from interest on cash schedule</t>
  </si>
  <si>
    <t>Other expense, net (enter as -)</t>
  </si>
  <si>
    <t>Straight-line</t>
  </si>
  <si>
    <t>Net interest, finance and other costs</t>
  </si>
  <si>
    <t>Pretax profit</t>
  </si>
  <si>
    <t>EBIT + interest income less interest expense less other expense</t>
  </si>
  <si>
    <t>Taxes (enter expense as -)</t>
  </si>
  <si>
    <t>Pre-tax Profit x Tax Rate forecast</t>
  </si>
  <si>
    <t>Net income</t>
  </si>
  <si>
    <t>Pre-tax Profit less taxes</t>
  </si>
  <si>
    <t>Depreciation &amp; amortization (from CFS)</t>
  </si>
  <si>
    <t>Reference from D&amp;A schedule</t>
  </si>
  <si>
    <t>EBITDA</t>
  </si>
  <si>
    <t>EBIT + D&amp;A</t>
  </si>
  <si>
    <t>Assumption: grow SBC in-line with revenue growth</t>
  </si>
  <si>
    <t>Growth rates &amp; margins</t>
  </si>
  <si>
    <t>Revenue growth</t>
  </si>
  <si>
    <t>N/A</t>
  </si>
  <si>
    <t>Consensus estimates through 2021; straight-line growth rate thereafter</t>
  </si>
  <si>
    <t>Gross profit margin</t>
  </si>
  <si>
    <t>Straight line last historical year</t>
  </si>
  <si>
    <t>Other operating cost% of sales</t>
  </si>
  <si>
    <t>SG&amp;A % of sales</t>
  </si>
  <si>
    <t>Tax rate</t>
  </si>
  <si>
    <t>BALANCE SHEET</t>
  </si>
  <si>
    <t>Cash &amp; equivalents, ST and LT marketable securities</t>
  </si>
  <si>
    <t>Reference from 'net change in cash' line on the cash flow statement</t>
  </si>
  <si>
    <t>Accounts receivable (Trade receivables)</t>
  </si>
  <si>
    <t>Grow in-line with revenue growth</t>
  </si>
  <si>
    <t>Inventories</t>
  </si>
  <si>
    <t>Grow in-line with cost of sales growth</t>
  </si>
  <si>
    <t>Prepaid expenses and other current assets</t>
  </si>
  <si>
    <t>Grow in-line with revenue growth (seems inconsistent with growth of SG&amp;A, so I chose Revenue)</t>
  </si>
  <si>
    <t>Operating lease right-of-use assets</t>
  </si>
  <si>
    <t>Deferred income taxes</t>
  </si>
  <si>
    <t>Property, plant &amp; equipment, net</t>
  </si>
  <si>
    <t>Reference from PP&amp;E schedule</t>
  </si>
  <si>
    <t>Intangible assets, net</t>
  </si>
  <si>
    <t>Investments in unconsolidated affiliates</t>
  </si>
  <si>
    <t>Goodwill</t>
  </si>
  <si>
    <t>Other non current assets (other long-term assets)</t>
  </si>
  <si>
    <t>Total assets</t>
  </si>
  <si>
    <t>Accounts payable and accrued liabilities</t>
  </si>
  <si>
    <t>Grow in-line with cost of sales growth (because GOOS buys stuffs from suppliers)</t>
  </si>
  <si>
    <t>Income taxes payable</t>
  </si>
  <si>
    <t>Grow in-line with revenue growth (or income tax paid)</t>
  </si>
  <si>
    <t>Total current liabilities</t>
  </si>
  <si>
    <t>Other current liabilities grow in-line with revenue growth</t>
  </si>
  <si>
    <t>Non-current operating lease liabilities</t>
  </si>
  <si>
    <t>Non-current finance Lease Liabilities</t>
  </si>
  <si>
    <t>Deferred income taxes liabilities</t>
  </si>
  <si>
    <t>Assumption: straight-line</t>
  </si>
  <si>
    <t>Other non current liabilities</t>
  </si>
  <si>
    <t>Total liabilities</t>
  </si>
  <si>
    <t>Common stock</t>
  </si>
  <si>
    <t>Increase by stock-based compensation forecasted in the I/S section</t>
  </si>
  <si>
    <t>Treasury stock</t>
  </si>
  <si>
    <t>Additional paid-in capital</t>
  </si>
  <si>
    <t xml:space="preserve">Retained earnings </t>
  </si>
  <si>
    <t>Reference from Retained Earnings schedule</t>
  </si>
  <si>
    <t>Other comprehensive income</t>
  </si>
  <si>
    <t>Noncontrolling interests</t>
  </si>
  <si>
    <t>Total equity</t>
  </si>
  <si>
    <t>Balance check</t>
  </si>
  <si>
    <t>CASH FLOW STATEMENT</t>
  </si>
  <si>
    <t>Depreciation and amortization</t>
  </si>
  <si>
    <t>Reference from the I/S</t>
  </si>
  <si>
    <t>Stock based compensation</t>
  </si>
  <si>
    <t>Decreases / (Increases) in working capital assets</t>
  </si>
  <si>
    <t>Increases / (Decreases) in working capital liabilities</t>
  </si>
  <si>
    <t>Other non current assets</t>
  </si>
  <si>
    <t>Reference from schedule NOT the B/S: Only include 'Additions' (as outflow)</t>
  </si>
  <si>
    <t>Cash from operating activities</t>
  </si>
  <si>
    <t>Capital expenditures</t>
  </si>
  <si>
    <t>Other assets</t>
  </si>
  <si>
    <t>Cash from investing activities</t>
  </si>
  <si>
    <t>Long term debt</t>
  </si>
  <si>
    <t>Exercise of stock options</t>
  </si>
  <si>
    <t>New shares issued (repurchase)</t>
  </si>
  <si>
    <t>Cash from financing activities</t>
  </si>
  <si>
    <t>Net change in cash during period</t>
  </si>
  <si>
    <t>PROPERTY, PLANT &amp; EQUIPMENT</t>
  </si>
  <si>
    <t>Forecast</t>
  </si>
  <si>
    <t>Beginning of period</t>
  </si>
  <si>
    <t xml:space="preserve">BOP = Previous year EOP </t>
  </si>
  <si>
    <t>Plus: Capital expenditures</t>
  </si>
  <si>
    <t>Grow with revenue</t>
  </si>
  <si>
    <t>Less: Depreciation</t>
  </si>
  <si>
    <t>Capex x 'D&amp;A related to PP&amp;E as a % of capex' ratio (below)</t>
  </si>
  <si>
    <t>End of period</t>
  </si>
  <si>
    <t>BOP + Capex - Depreciation</t>
  </si>
  <si>
    <t>D&amp;A as a % of capex</t>
  </si>
  <si>
    <t>firm become more mature (step function)</t>
  </si>
  <si>
    <t>Amortization of intangible assets</t>
  </si>
  <si>
    <t>Revenue x 'as % of revenue' assumption</t>
  </si>
  <si>
    <t>Straight line last historical % of revenue - assumption</t>
  </si>
  <si>
    <t xml:space="preserve">Depreciation &amp; Amortization - Total </t>
  </si>
  <si>
    <t>D&amp;A from PP&amp;E + D&amp;A not from PP&amp;E</t>
  </si>
  <si>
    <t>OTHER NON-CURRENT ASSETS</t>
  </si>
  <si>
    <t>Less: Amortization of intangible assets</t>
  </si>
  <si>
    <t xml:space="preserve">Assume all D&amp;A not from PP&amp;E is in non-current assets </t>
  </si>
  <si>
    <t>Plus: Additions</t>
  </si>
  <si>
    <t>Because we already know the EOP balance, this is a plug: EOP - D&amp;A not from PP&amp;E - BOP</t>
  </si>
  <si>
    <t>Referenced from balance sheet</t>
  </si>
  <si>
    <t>RETAINED EARNINGS</t>
  </si>
  <si>
    <t>Plus: Net income</t>
  </si>
  <si>
    <t>Reference from income statement</t>
  </si>
  <si>
    <t>Plus: New shares issued (repurchase)</t>
  </si>
  <si>
    <t>Assumption: Straight-line last historical year repurchases</t>
  </si>
  <si>
    <t>Plus: Exercise of stock options</t>
  </si>
  <si>
    <t>BOP + net income - dividends - repurchases</t>
  </si>
  <si>
    <t>Interest rate on cash</t>
  </si>
  <si>
    <t>Weighted average interest rate on cash</t>
  </si>
  <si>
    <t>Assumption: Straight-line</t>
  </si>
  <si>
    <t>Interest income</t>
  </si>
  <si>
    <t>Interest rate x average of BOP &amp; EOP cash balances (circularity)</t>
  </si>
  <si>
    <t>=IF($D$7=1,AVERAGE(K44,L44)*L147,0)</t>
  </si>
  <si>
    <t>SCENARIO ANALYSIS</t>
  </si>
  <si>
    <t>Active case:</t>
  </si>
  <si>
    <t xml:space="preserve">Variance from </t>
  </si>
  <si>
    <t>base case</t>
  </si>
  <si>
    <t>Best case</t>
  </si>
  <si>
    <t>NM</t>
  </si>
  <si>
    <t>Weak case</t>
  </si>
  <si>
    <t>SENSITIVITY ANALYSIS</t>
  </si>
  <si>
    <t>First forecast year net income  sensitivity</t>
  </si>
  <si>
    <t>Revenue growth rate</t>
  </si>
  <si>
    <t>Gross</t>
  </si>
  <si>
    <t>Profit</t>
  </si>
  <si>
    <t>Margin:</t>
  </si>
  <si>
    <t>SG&amp;A %</t>
  </si>
  <si>
    <t>of sales:</t>
  </si>
  <si>
    <t>Free Cash Flow to Firm (FCFF)</t>
  </si>
  <si>
    <t>Terminal growth rate</t>
  </si>
  <si>
    <t>EBIT</t>
  </si>
  <si>
    <t>Plus: D&amp;A</t>
  </si>
  <si>
    <t>Less: Capex</t>
  </si>
  <si>
    <t>Less: Changes in NWC</t>
  </si>
  <si>
    <t>Terminal Value at 2026P</t>
  </si>
  <si>
    <t>FCFF</t>
  </si>
  <si>
    <t>Discount factor</t>
  </si>
  <si>
    <t>Present value</t>
  </si>
  <si>
    <t>Enterpirse Value</t>
  </si>
  <si>
    <t>Plus: cash</t>
  </si>
  <si>
    <t>Less: total debt</t>
  </si>
  <si>
    <t>Equity Value</t>
  </si>
  <si>
    <t>Per share Value</t>
  </si>
  <si>
    <t>WACC</t>
  </si>
  <si>
    <t>Cost of debt</t>
  </si>
  <si>
    <t>Cost of equity</t>
  </si>
  <si>
    <t>Weight of debt</t>
  </si>
  <si>
    <t>Weight of equity</t>
  </si>
  <si>
    <t>Sum of weights</t>
  </si>
  <si>
    <t>Free Cash Flow to Equity (FCFE)</t>
  </si>
  <si>
    <t>Less: Interest expense times (1-Tax rate)</t>
  </si>
  <si>
    <t>Plus: Net borrowing</t>
  </si>
  <si>
    <t>FCFE</t>
  </si>
  <si>
    <t>new Cost of Equity</t>
  </si>
  <si>
    <t>D&amp;A %</t>
  </si>
  <si>
    <t>of PP&amp;E:</t>
  </si>
  <si>
    <t>Name</t>
  </si>
  <si>
    <t>Mkt Cap (USD)</t>
  </si>
  <si>
    <t>P/E</t>
  </si>
  <si>
    <t>EV/EBITDA</t>
  </si>
  <si>
    <t>None (8 securities)</t>
  </si>
  <si>
    <t>Industry Average</t>
  </si>
  <si>
    <t>YUMC US Equity</t>
  </si>
  <si>
    <t>YUM CHINA HOLDINGS INC</t>
  </si>
  <si>
    <t>21B</t>
  </si>
  <si>
    <t>EPS</t>
  </si>
  <si>
    <t>Share price</t>
  </si>
  <si>
    <t>EV</t>
  </si>
  <si>
    <t>QSR CN Equity</t>
  </si>
  <si>
    <t>RESTAURANT BRANDS INTERN</t>
  </si>
  <si>
    <t>MCD US Equity</t>
  </si>
  <si>
    <t>MCDONALD'S CORP</t>
  </si>
  <si>
    <t>WEN US Equity</t>
  </si>
  <si>
    <t>WENDY'S CO/THE</t>
  </si>
  <si>
    <t>YUM US Equity</t>
  </si>
  <si>
    <t>YUM! BRANDS INC</t>
  </si>
  <si>
    <t>JACK US Equity</t>
  </si>
  <si>
    <t>JACK IN THE BOX INC</t>
  </si>
  <si>
    <t>DPZ US Equity</t>
  </si>
  <si>
    <t>DOMINO'S PIZZA INC</t>
  </si>
  <si>
    <t>SBUX US Equity</t>
  </si>
  <si>
    <t>STARBUCKS CORP</t>
  </si>
</sst>
</file>

<file path=xl/styles.xml><?xml version="1.0" encoding="utf-8"?>
<styleSheet xmlns="http://schemas.openxmlformats.org/spreadsheetml/2006/main">
  <numFmts count="22">
    <numFmt numFmtId="176" formatCode="&quot;$&quot;#,##0.00_);[Red]\(&quot;$&quot;#,##0.00\)"/>
    <numFmt numFmtId="177" formatCode="_-&quot;$&quot;* #,##0.00_-;\-&quot;$&quot;* #,##0.00_-;_-&quot;$&quot;* \-??_-;_-@_-"/>
    <numFmt numFmtId="41" formatCode="_-* #,##0_-;\-* #,##0_-;_-* &quot;-&quot;_-;_-@_-"/>
    <numFmt numFmtId="43" formatCode="_-* #,##0.00_-;\-* #,##0.00_-;_-* &quot;-&quot;??_-;_-@_-"/>
    <numFmt numFmtId="178" formatCode="_-&quot;$&quot;* #,##0_-;\-&quot;$&quot;* #,##0_-;_-&quot;$&quot;* &quot;-&quot;_-;_-@_-"/>
    <numFmt numFmtId="179" formatCode="_(#,##0.00%_);\(#,##0.00%\);_(&quot;–&quot;_)_%;_(@_)_%"/>
    <numFmt numFmtId="180" formatCode="_(#,##0_)_%;\(#,##0\)_%;_(&quot;–&quot;_)_%;_(@_)_%"/>
    <numFmt numFmtId="181" formatCode="m/d/yy;@"/>
    <numFmt numFmtId="182" formatCode="#,##0.000_);\(#,##0.000\)"/>
    <numFmt numFmtId="183" formatCode="0.00%_);\(0.00%\);@_)"/>
    <numFmt numFmtId="184" formatCode="#,##0.0_);\(#,##0.0\)"/>
    <numFmt numFmtId="185" formatCode="0\A;[Red]0\A"/>
    <numFmt numFmtId="186" formatCode="0\P_);\(0\P\)"/>
    <numFmt numFmtId="187" formatCode="0.0%_);\(0.0%\);@_)"/>
    <numFmt numFmtId="188" formatCode="0.0%"/>
    <numFmt numFmtId="189" formatCode="0.0000000000000000%"/>
    <numFmt numFmtId="190" formatCode="_(#,##0.0%_);\(#,##0.0%\);_(&quot;–&quot;_)_%;_(@_)_%"/>
    <numFmt numFmtId="191" formatCode="0%_);\(0%\);@_)"/>
    <numFmt numFmtId="192" formatCode="0.0%;\(0.0%\)"/>
    <numFmt numFmtId="193" formatCode="&quot;$&quot;#,##0_);\(&quot;$&quot;#,##0\)"/>
    <numFmt numFmtId="194" formatCode="0.0%;\ \(0.0%\)"/>
    <numFmt numFmtId="195" formatCode="#,##0_);\(#,##0\);@_)"/>
  </numFmts>
  <fonts count="44"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i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FF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b/>
      <sz val="11"/>
      <color theme="1"/>
      <name val="Arial"/>
      <charset val="134"/>
    </font>
    <font>
      <sz val="11"/>
      <color rgb="FFFF0000"/>
      <name val="Arial"/>
      <charset val="134"/>
    </font>
    <font>
      <i/>
      <sz val="11"/>
      <color theme="1"/>
      <name val="Calibri"/>
      <charset val="134"/>
      <scheme val="minor"/>
    </font>
    <font>
      <i/>
      <sz val="11"/>
      <color rgb="FF0000FF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Arial"/>
      <charset val="134"/>
    </font>
    <font>
      <b/>
      <sz val="9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9"/>
      <name val="Arial Unicode MS"/>
      <charset val="134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Arial Unicode MS"/>
      <charset val="13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B8C2A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9" fillId="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18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4" fillId="14" borderId="20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0" borderId="0"/>
    <xf numFmtId="0" fontId="18" fillId="0" borderId="2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29" borderId="21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17" borderId="2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17" borderId="21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7" fillId="3" borderId="0">
      <alignment horizontal="center"/>
    </xf>
    <xf numFmtId="0" fontId="22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</cellStyleXfs>
  <cellXfs count="135">
    <xf numFmtId="0" fontId="0" fillId="0" borderId="0" xfId="0"/>
    <xf numFmtId="0" fontId="1" fillId="0" borderId="1" xfId="0" applyFont="1" applyBorder="1"/>
    <xf numFmtId="0" fontId="0" fillId="0" borderId="1" xfId="0" applyBorder="1"/>
    <xf numFmtId="58" fontId="2" fillId="0" borderId="0" xfId="0" applyNumberFormat="1" applyFont="1" applyAlignment="1">
      <alignment horizontal="left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180" fontId="4" fillId="2" borderId="3" xfId="0" applyNumberFormat="1" applyFont="1" applyFill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58" fontId="4" fillId="0" borderId="0" xfId="0" applyNumberFormat="1" applyFont="1" applyAlignment="1">
      <alignment horizontal="center"/>
    </xf>
    <xf numFmtId="181" fontId="4" fillId="0" borderId="0" xfId="0" applyNumberFormat="1" applyFont="1" applyAlignment="1">
      <alignment horizontal="center"/>
    </xf>
    <xf numFmtId="182" fontId="4" fillId="0" borderId="0" xfId="0" applyNumberFormat="1" applyFont="1" applyAlignment="1">
      <alignment horizontal="center"/>
    </xf>
    <xf numFmtId="0" fontId="5" fillId="3" borderId="0" xfId="46" applyNumberFormat="1" applyFont="1" applyFill="1" applyAlignment="1" applyProtection="1">
      <alignment horizontal="center"/>
    </xf>
    <xf numFmtId="0" fontId="6" fillId="0" borderId="0" xfId="19" applyNumberFormat="1" applyFont="1" applyAlignment="1" applyProtection="1">
      <alignment horizontal="left"/>
    </xf>
    <xf numFmtId="2" fontId="6" fillId="0" borderId="0" xfId="19" applyNumberFormat="1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left"/>
    </xf>
    <xf numFmtId="2" fontId="5" fillId="0" borderId="0" xfId="19" applyNumberFormat="1" applyFont="1" applyAlignment="1" applyProtection="1">
      <alignment horizontal="right"/>
    </xf>
    <xf numFmtId="184" fontId="0" fillId="0" borderId="0" xfId="0" applyNumberFormat="1" applyFont="1"/>
    <xf numFmtId="184" fontId="7" fillId="0" borderId="0" xfId="0" applyNumberFormat="1" applyFont="1"/>
    <xf numFmtId="2" fontId="0" fillId="0" borderId="0" xfId="0" applyNumberFormat="1"/>
    <xf numFmtId="0" fontId="8" fillId="0" borderId="0" xfId="0" applyFont="1"/>
    <xf numFmtId="0" fontId="1" fillId="0" borderId="4" xfId="0" applyFont="1" applyFill="1" applyBorder="1"/>
    <xf numFmtId="0" fontId="0" fillId="0" borderId="4" xfId="0" applyBorder="1"/>
    <xf numFmtId="185" fontId="1" fillId="0" borderId="0" xfId="0" applyNumberFormat="1" applyFont="1"/>
    <xf numFmtId="186" fontId="1" fillId="0" borderId="0" xfId="0" applyNumberFormat="1" applyFont="1"/>
    <xf numFmtId="0" fontId="9" fillId="0" borderId="4" xfId="0" applyFont="1" applyBorder="1"/>
    <xf numFmtId="181" fontId="9" fillId="0" borderId="5" xfId="0" applyNumberFormat="1" applyFont="1" applyBorder="1"/>
    <xf numFmtId="0" fontId="7" fillId="0" borderId="0" xfId="0" applyFont="1"/>
    <xf numFmtId="184" fontId="0" fillId="0" borderId="0" xfId="0" applyNumberFormat="1"/>
    <xf numFmtId="0" fontId="0" fillId="0" borderId="0" xfId="0" applyNumberFormat="1"/>
    <xf numFmtId="184" fontId="4" fillId="0" borderId="0" xfId="0" applyNumberFormat="1" applyFont="1"/>
    <xf numFmtId="182" fontId="0" fillId="0" borderId="0" xfId="0" applyNumberFormat="1" applyFont="1"/>
    <xf numFmtId="188" fontId="0" fillId="0" borderId="0" xfId="0" applyNumberFormat="1"/>
    <xf numFmtId="189" fontId="0" fillId="0" borderId="0" xfId="0" applyNumberFormat="1"/>
    <xf numFmtId="10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center"/>
    </xf>
    <xf numFmtId="0" fontId="1" fillId="0" borderId="4" xfId="0" applyFont="1" applyBorder="1"/>
    <xf numFmtId="0" fontId="9" fillId="0" borderId="0" xfId="0" applyFont="1"/>
    <xf numFmtId="181" fontId="10" fillId="0" borderId="0" xfId="0" applyNumberFormat="1" applyFont="1"/>
    <xf numFmtId="181" fontId="9" fillId="0" borderId="0" xfId="0" applyNumberFormat="1" applyFont="1"/>
    <xf numFmtId="9" fontId="9" fillId="0" borderId="0" xfId="0" applyNumberFormat="1" applyFont="1"/>
    <xf numFmtId="184" fontId="3" fillId="0" borderId="0" xfId="0" applyNumberFormat="1" applyFont="1"/>
    <xf numFmtId="0" fontId="1" fillId="0" borderId="0" xfId="0" applyFont="1"/>
    <xf numFmtId="184" fontId="11" fillId="0" borderId="0" xfId="0" applyNumberFormat="1" applyFont="1"/>
    <xf numFmtId="9" fontId="0" fillId="0" borderId="0" xfId="0" applyNumberFormat="1"/>
    <xf numFmtId="0" fontId="0" fillId="0" borderId="0" xfId="0" applyFont="1"/>
    <xf numFmtId="2" fontId="7" fillId="0" borderId="0" xfId="0" applyNumberFormat="1" applyFont="1"/>
    <xf numFmtId="182" fontId="0" fillId="0" borderId="0" xfId="0" applyNumberFormat="1"/>
    <xf numFmtId="176" fontId="0" fillId="0" borderId="0" xfId="0" applyNumberFormat="1"/>
    <xf numFmtId="0" fontId="1" fillId="0" borderId="5" xfId="0" applyFont="1" applyBorder="1"/>
    <xf numFmtId="0" fontId="0" fillId="0" borderId="5" xfId="0" applyBorder="1"/>
    <xf numFmtId="188" fontId="9" fillId="0" borderId="0" xfId="0" applyNumberFormat="1" applyFont="1"/>
    <xf numFmtId="37" fontId="4" fillId="0" borderId="0" xfId="0" applyNumberFormat="1" applyFont="1"/>
    <xf numFmtId="37" fontId="11" fillId="0" borderId="0" xfId="0" applyNumberFormat="1" applyFont="1"/>
    <xf numFmtId="0" fontId="0" fillId="0" borderId="0" xfId="0" applyAlignment="1">
      <alignment horizontal="left" indent="1"/>
    </xf>
    <xf numFmtId="37" fontId="0" fillId="0" borderId="0" xfId="0" applyNumberFormat="1"/>
    <xf numFmtId="3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7" fontId="12" fillId="0" borderId="0" xfId="0" applyNumberFormat="1" applyFont="1"/>
    <xf numFmtId="184" fontId="12" fillId="0" borderId="0" xfId="0" applyNumberFormat="1" applyFont="1"/>
    <xf numFmtId="184" fontId="8" fillId="0" borderId="0" xfId="0" applyNumberFormat="1" applyFont="1"/>
    <xf numFmtId="4" fontId="0" fillId="0" borderId="0" xfId="0" applyNumberFormat="1"/>
    <xf numFmtId="0" fontId="13" fillId="0" borderId="0" xfId="0" applyFont="1"/>
    <xf numFmtId="187" fontId="3" fillId="0" borderId="0" xfId="0" applyNumberFormat="1" applyFont="1"/>
    <xf numFmtId="187" fontId="3" fillId="0" borderId="0" xfId="0" applyNumberFormat="1" applyFont="1" applyAlignment="1">
      <alignment horizontal="right"/>
    </xf>
    <xf numFmtId="181" fontId="9" fillId="0" borderId="4" xfId="0" applyNumberFormat="1" applyFont="1" applyBorder="1"/>
    <xf numFmtId="58" fontId="9" fillId="0" borderId="0" xfId="0" applyNumberFormat="1" applyFont="1"/>
    <xf numFmtId="185" fontId="11" fillId="0" borderId="0" xfId="0" applyNumberFormat="1" applyFont="1"/>
    <xf numFmtId="186" fontId="11" fillId="0" borderId="0" xfId="0" applyNumberFormat="1" applyFont="1"/>
    <xf numFmtId="181" fontId="2" fillId="0" borderId="4" xfId="0" applyNumberFormat="1" applyFont="1" applyBorder="1"/>
    <xf numFmtId="0" fontId="0" fillId="0" borderId="0" xfId="0" applyFill="1"/>
    <xf numFmtId="0" fontId="0" fillId="0" borderId="0" xfId="0" applyFont="1" applyFill="1"/>
    <xf numFmtId="37" fontId="14" fillId="0" borderId="0" xfId="0" applyNumberFormat="1" applyFont="1"/>
    <xf numFmtId="0" fontId="8" fillId="0" borderId="0" xfId="0" applyFont="1" applyFill="1"/>
    <xf numFmtId="37" fontId="12" fillId="0" borderId="0" xfId="0" applyNumberFormat="1" applyFont="1" applyFill="1"/>
    <xf numFmtId="184" fontId="4" fillId="0" borderId="0" xfId="0" applyNumberFormat="1" applyFont="1" applyFill="1"/>
    <xf numFmtId="37" fontId="4" fillId="0" borderId="0" xfId="0" applyNumberFormat="1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37" fontId="3" fillId="0" borderId="0" xfId="0" applyNumberFormat="1" applyFont="1"/>
    <xf numFmtId="37" fontId="1" fillId="0" borderId="0" xfId="0" applyNumberFormat="1" applyFont="1"/>
    <xf numFmtId="184" fontId="1" fillId="0" borderId="0" xfId="0" applyNumberFormat="1" applyFont="1"/>
    <xf numFmtId="37" fontId="9" fillId="0" borderId="0" xfId="0" applyNumberFormat="1" applyFont="1"/>
    <xf numFmtId="184" fontId="9" fillId="0" borderId="0" xfId="0" applyNumberFormat="1" applyFont="1"/>
    <xf numFmtId="3" fontId="0" fillId="0" borderId="0" xfId="0" applyNumberFormat="1"/>
    <xf numFmtId="187" fontId="4" fillId="0" borderId="0" xfId="0" applyNumberFormat="1" applyFont="1"/>
    <xf numFmtId="37" fontId="8" fillId="0" borderId="0" xfId="0" applyNumberFormat="1" applyFont="1"/>
    <xf numFmtId="182" fontId="8" fillId="0" borderId="0" xfId="0" applyNumberFormat="1" applyFont="1"/>
    <xf numFmtId="0" fontId="1" fillId="0" borderId="6" xfId="0" applyFont="1" applyBorder="1" applyAlignment="1">
      <alignment horizontal="centerContinuous"/>
    </xf>
    <xf numFmtId="184" fontId="15" fillId="0" borderId="0" xfId="0" applyNumberFormat="1" applyFont="1"/>
    <xf numFmtId="0" fontId="0" fillId="0" borderId="7" xfId="0" applyBorder="1" applyAlignment="1">
      <alignment horizontal="left" indent="1"/>
    </xf>
    <xf numFmtId="184" fontId="4" fillId="0" borderId="7" xfId="0" applyNumberFormat="1" applyFont="1" applyBorder="1"/>
    <xf numFmtId="184" fontId="0" fillId="0" borderId="7" xfId="0" applyNumberFormat="1" applyBorder="1"/>
    <xf numFmtId="0" fontId="1" fillId="0" borderId="0" xfId="0" applyFont="1" applyAlignment="1">
      <alignment horizontal="left" indent="1"/>
    </xf>
    <xf numFmtId="187" fontId="0" fillId="0" borderId="0" xfId="0" applyNumberFormat="1"/>
    <xf numFmtId="0" fontId="1" fillId="0" borderId="4" xfId="0" applyFont="1" applyBorder="1" applyAlignment="1">
      <alignment horizontal="left"/>
    </xf>
    <xf numFmtId="187" fontId="3" fillId="0" borderId="4" xfId="0" applyNumberFormat="1" applyFont="1" applyBorder="1"/>
    <xf numFmtId="190" fontId="0" fillId="0" borderId="0" xfId="0" applyNumberFormat="1"/>
    <xf numFmtId="37" fontId="1" fillId="0" borderId="4" xfId="0" applyNumberFormat="1" applyFont="1" applyBorder="1"/>
    <xf numFmtId="184" fontId="3" fillId="0" borderId="6" xfId="0" applyNumberFormat="1" applyFont="1" applyBorder="1"/>
    <xf numFmtId="0" fontId="0" fillId="0" borderId="0" xfId="0" applyFont="1" applyAlignment="1">
      <alignment horizontal="left" indent="1"/>
    </xf>
    <xf numFmtId="0" fontId="0" fillId="0" borderId="7" xfId="0" applyBorder="1"/>
    <xf numFmtId="184" fontId="3" fillId="0" borderId="7" xfId="0" applyNumberFormat="1" applyFont="1" applyBorder="1"/>
    <xf numFmtId="37" fontId="1" fillId="0" borderId="4" xfId="0" applyNumberFormat="1" applyFont="1" applyBorder="1" applyAlignment="1">
      <alignment horizontal="left"/>
    </xf>
    <xf numFmtId="37" fontId="4" fillId="0" borderId="7" xfId="0" applyNumberFormat="1" applyFont="1" applyBorder="1"/>
    <xf numFmtId="0" fontId="13" fillId="0" borderId="0" xfId="0" applyFont="1" applyAlignment="1">
      <alignment horizontal="left" indent="1"/>
    </xf>
    <xf numFmtId="10" fontId="4" fillId="0" borderId="0" xfId="0" applyNumberFormat="1" applyFont="1"/>
    <xf numFmtId="183" fontId="4" fillId="0" borderId="0" xfId="0" applyNumberFormat="1" applyFont="1"/>
    <xf numFmtId="179" fontId="3" fillId="0" borderId="0" xfId="0" applyNumberFormat="1" applyFont="1"/>
    <xf numFmtId="37" fontId="3" fillId="0" borderId="0" xfId="0" applyNumberFormat="1" applyFont="1" applyAlignment="1">
      <alignment horizontal="left" indent="1"/>
    </xf>
    <xf numFmtId="180" fontId="1" fillId="0" borderId="8" xfId="0" applyNumberFormat="1" applyFont="1" applyBorder="1"/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87" fontId="0" fillId="0" borderId="11" xfId="0" applyNumberForma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left" indent="2"/>
    </xf>
    <xf numFmtId="190" fontId="4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90" fontId="4" fillId="0" borderId="0" xfId="0" applyNumberFormat="1" applyFont="1"/>
    <xf numFmtId="180" fontId="0" fillId="0" borderId="0" xfId="0" applyNumberFormat="1"/>
    <xf numFmtId="191" fontId="0" fillId="0" borderId="0" xfId="0" applyNumberFormat="1"/>
    <xf numFmtId="190" fontId="4" fillId="0" borderId="12" xfId="0" applyNumberFormat="1" applyFont="1" applyBorder="1" applyAlignment="1">
      <alignment horizontal="center"/>
    </xf>
    <xf numFmtId="186" fontId="1" fillId="0" borderId="13" xfId="0" applyNumberFormat="1" applyFont="1" applyBorder="1"/>
    <xf numFmtId="0" fontId="0" fillId="0" borderId="13" xfId="0" applyBorder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93" fontId="3" fillId="4" borderId="14" xfId="0" applyNumberFormat="1" applyFont="1" applyFill="1" applyBorder="1"/>
    <xf numFmtId="192" fontId="4" fillId="4" borderId="15" xfId="0" applyNumberFormat="1" applyFont="1" applyFill="1" applyBorder="1"/>
    <xf numFmtId="0" fontId="0" fillId="0" borderId="0" xfId="0" applyAlignment="1">
      <alignment horizontal="right"/>
    </xf>
    <xf numFmtId="194" fontId="4" fillId="4" borderId="16" xfId="0" applyNumberFormat="1" applyFont="1" applyFill="1" applyBorder="1"/>
    <xf numFmtId="195" fontId="0" fillId="4" borderId="0" xfId="0" applyNumberFormat="1" applyFill="1"/>
    <xf numFmtId="0" fontId="1" fillId="0" borderId="0" xfId="0" applyFont="1" applyAlignment="1">
      <alignment horizontal="right"/>
    </xf>
    <xf numFmtId="0" fontId="15" fillId="0" borderId="0" xfId="0" applyFont="1"/>
    <xf numFmtId="0" fontId="0" fillId="0" borderId="0" xfId="0" quotePrefix="1"/>
    <xf numFmtId="0" fontId="0" fillId="0" borderId="0" xfId="0" applyAlignment="1" quotePrefix="1">
      <alignment horizontal="left" indent="1"/>
    </xf>
    <xf numFmtId="0" fontId="0" fillId="0" borderId="7" xfId="0" applyBorder="1" applyAlignment="1" quotePrefix="1">
      <alignment horizontal="left" indent="1"/>
    </xf>
    <xf numFmtId="184" fontId="0" fillId="0" borderId="7" xfId="0" applyNumberFormat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defaultsheetstyle" xfId="19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tablesubHeader" xfId="46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ill>
        <patternFill patternType="solid"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3"/>
  <sheetViews>
    <sheetView tabSelected="1" zoomScale="90" zoomScaleNormal="90" topLeftCell="C1" workbookViewId="0">
      <selection activeCell="C1" sqref="C1"/>
    </sheetView>
  </sheetViews>
  <sheetFormatPr defaultColWidth="7.75" defaultRowHeight="14.25"/>
  <cols>
    <col min="1" max="2" width="1.5" customWidth="1"/>
    <col min="3" max="3" width="40.875" customWidth="1"/>
    <col min="4" max="4" width="10.875" customWidth="1"/>
    <col min="5" max="12" width="10" customWidth="1"/>
    <col min="13" max="13" width="2.875" customWidth="1"/>
    <col min="14" max="14" width="10.375" customWidth="1"/>
    <col min="15" max="17" width="9" customWidth="1"/>
    <col min="18" max="19" width="8.25" customWidth="1"/>
  </cols>
  <sheetData>
    <row r="1" ht="15"/>
    <row r="2" ht="15.75" spans="3:12">
      <c r="C2" s="1" t="str">
        <f>"Financial Statement Model for "&amp;D5</f>
        <v>Financial Statement Model for Yum China Holding Inc.</v>
      </c>
      <c r="D2" s="2"/>
      <c r="E2" s="2"/>
      <c r="F2" s="2"/>
      <c r="G2" s="2"/>
      <c r="H2" s="2"/>
      <c r="I2" s="2"/>
      <c r="J2" s="2"/>
      <c r="K2" s="2"/>
      <c r="L2" s="2"/>
    </row>
    <row r="3" ht="15" spans="3:8">
      <c r="C3" s="3" t="s">
        <v>0</v>
      </c>
      <c r="D3" s="4"/>
      <c r="E3" s="4"/>
      <c r="F3" s="4"/>
      <c r="G3" s="4"/>
      <c r="H3" s="4"/>
    </row>
    <row r="5" ht="15" spans="3:12">
      <c r="C5" s="5" t="s">
        <v>1</v>
      </c>
      <c r="D5" s="6" t="s">
        <v>2</v>
      </c>
      <c r="I5" t="s">
        <v>3</v>
      </c>
      <c r="L5" s="7" t="s">
        <v>4</v>
      </c>
    </row>
    <row r="6" ht="15" spans="3:4">
      <c r="C6" s="5" t="s">
        <v>5</v>
      </c>
      <c r="D6" s="6" t="s">
        <v>6</v>
      </c>
    </row>
    <row r="7" ht="15" spans="3:4">
      <c r="C7" t="s">
        <v>7</v>
      </c>
      <c r="D7" s="7">
        <v>1</v>
      </c>
    </row>
    <row r="8" ht="15" spans="3:4">
      <c r="C8" t="s">
        <v>8</v>
      </c>
      <c r="D8" s="8">
        <v>47.78</v>
      </c>
    </row>
    <row r="9" ht="15" spans="3:4">
      <c r="C9" t="s">
        <v>9</v>
      </c>
      <c r="D9" s="9">
        <v>44844</v>
      </c>
    </row>
    <row r="10" ht="15" spans="3:4">
      <c r="C10" s="5" t="s">
        <v>10</v>
      </c>
      <c r="D10" s="10">
        <v>44561</v>
      </c>
    </row>
    <row r="11" ht="15" customHeight="1" spans="3:4">
      <c r="C11" t="s">
        <v>11</v>
      </c>
      <c r="D11" s="11">
        <v>422</v>
      </c>
    </row>
    <row r="13" ht="15" spans="1:12">
      <c r="A13" t="s">
        <v>12</v>
      </c>
      <c r="C13" s="36" t="s">
        <v>13</v>
      </c>
      <c r="D13" s="22"/>
      <c r="E13" s="22"/>
      <c r="F13" s="22"/>
      <c r="G13" s="22"/>
      <c r="H13" s="22"/>
      <c r="I13" s="22"/>
      <c r="J13" s="22"/>
      <c r="K13" s="22"/>
      <c r="L13" s="22"/>
    </row>
    <row r="14" ht="15" spans="3:12">
      <c r="C14" t="s">
        <v>14</v>
      </c>
      <c r="D14" s="23"/>
      <c r="E14" s="23">
        <f>F14-1</f>
        <v>2019</v>
      </c>
      <c r="F14" s="23">
        <f>G14-1</f>
        <v>2020</v>
      </c>
      <c r="G14" s="23">
        <f>YEAR(D10)</f>
        <v>2021</v>
      </c>
      <c r="H14" s="24">
        <f>G14+1</f>
        <v>2022</v>
      </c>
      <c r="I14" s="24">
        <f>H14+1</f>
        <v>2023</v>
      </c>
      <c r="J14" s="24">
        <f>I14+1</f>
        <v>2024</v>
      </c>
      <c r="K14" s="24">
        <f>J14+1</f>
        <v>2025</v>
      </c>
      <c r="L14" s="24">
        <f>K14+1</f>
        <v>2026</v>
      </c>
    </row>
    <row r="15" ht="15" spans="3:20">
      <c r="C15" s="25" t="s">
        <v>15</v>
      </c>
      <c r="D15" s="26"/>
      <c r="E15" s="26">
        <f>EOMONTH(F15,-12)</f>
        <v>43830</v>
      </c>
      <c r="F15" s="26">
        <f>EOMONTH(G15,-12)</f>
        <v>44196</v>
      </c>
      <c r="G15" s="26">
        <f>D10</f>
        <v>44561</v>
      </c>
      <c r="H15" s="26">
        <f>EOMONTH(G15,12)</f>
        <v>44926</v>
      </c>
      <c r="I15" s="26">
        <f>EOMONTH(H15,12)</f>
        <v>45291</v>
      </c>
      <c r="J15" s="26">
        <f>EOMONTH(I15,12)</f>
        <v>45657</v>
      </c>
      <c r="K15" s="26">
        <f>EOMONTH(J15,12)</f>
        <v>46022</v>
      </c>
      <c r="L15" s="26">
        <f>EOMONTH(K15,12)</f>
        <v>46387</v>
      </c>
      <c r="N15" s="49" t="s">
        <v>16</v>
      </c>
      <c r="O15" s="50"/>
      <c r="P15" s="50"/>
      <c r="Q15" s="50"/>
      <c r="R15" s="50"/>
      <c r="S15" s="50"/>
      <c r="T15" s="50"/>
    </row>
    <row r="16" ht="15" spans="3:12">
      <c r="C16" s="37"/>
      <c r="D16" s="37"/>
      <c r="E16" s="38"/>
      <c r="F16" s="39"/>
      <c r="G16" s="39"/>
      <c r="H16" s="40"/>
      <c r="I16" s="51"/>
      <c r="J16" s="51"/>
      <c r="K16" s="39"/>
      <c r="L16" s="39"/>
    </row>
    <row r="17" ht="15" spans="3:14">
      <c r="C17" t="s">
        <v>17</v>
      </c>
      <c r="D17" s="30"/>
      <c r="E17" s="30">
        <v>8776</v>
      </c>
      <c r="F17" s="30">
        <v>8263</v>
      </c>
      <c r="G17" s="30">
        <v>9853</v>
      </c>
      <c r="H17" s="41">
        <f ca="1">G17*(1+H35)</f>
        <v>10138.737</v>
      </c>
      <c r="I17" s="41">
        <f ca="1">H17*(1+I35)</f>
        <v>11781.212394</v>
      </c>
      <c r="J17" s="41">
        <f ca="1">I17*(1+J35)</f>
        <v>12370.2730137</v>
      </c>
      <c r="K17" s="41">
        <f ca="1">J17*(1+K35)</f>
        <v>12741.381204111</v>
      </c>
      <c r="L17" s="41">
        <f ca="1">K17*(1+L35)</f>
        <v>12996.2088281932</v>
      </c>
      <c r="N17" t="s">
        <v>18</v>
      </c>
    </row>
    <row r="18" ht="15" spans="3:14">
      <c r="C18" t="s">
        <v>19</v>
      </c>
      <c r="D18" s="30"/>
      <c r="E18" s="30">
        <v>-6659</v>
      </c>
      <c r="F18" s="30">
        <v>-6298</v>
      </c>
      <c r="G18" s="30">
        <v>-7734</v>
      </c>
      <c r="H18" s="41">
        <f ca="1">H19-H17</f>
        <v>-7958.908545</v>
      </c>
      <c r="I18" s="41">
        <f ca="1">I19-I17</f>
        <v>-9189.34566732</v>
      </c>
      <c r="J18" s="41">
        <f ca="1">J19-J17</f>
        <v>-9525.110220549</v>
      </c>
      <c r="K18" s="41">
        <f ca="1">K19-K17</f>
        <v>-9683.44971512436</v>
      </c>
      <c r="L18" s="41">
        <f ca="1">L19-L17</f>
        <v>-9877.11870942685</v>
      </c>
      <c r="N18" t="s">
        <v>20</v>
      </c>
    </row>
    <row r="19" ht="15" spans="3:14">
      <c r="C19" s="42" t="s">
        <v>21</v>
      </c>
      <c r="D19" s="43"/>
      <c r="E19" s="43">
        <f>SUM(E17:E18)</f>
        <v>2117</v>
      </c>
      <c r="F19" s="43">
        <f>SUM(F17:F18)</f>
        <v>1965</v>
      </c>
      <c r="G19" s="43">
        <f>SUM(G17:G18)</f>
        <v>2119</v>
      </c>
      <c r="H19" s="43">
        <f ca="1">H17*H36</f>
        <v>2179.828455</v>
      </c>
      <c r="I19" s="43">
        <f ca="1">I17*I36</f>
        <v>2591.86672668</v>
      </c>
      <c r="J19" s="43">
        <f ca="1">J17*J36</f>
        <v>2845.162793151</v>
      </c>
      <c r="K19" s="43">
        <f ca="1">K17*K36</f>
        <v>3057.93148898664</v>
      </c>
      <c r="L19" s="43">
        <f ca="1">L17*L36</f>
        <v>3119.09011876637</v>
      </c>
      <c r="N19" s="135" t="s">
        <v>22</v>
      </c>
    </row>
    <row r="20" ht="15" spans="3:14">
      <c r="C20" t="s">
        <v>23</v>
      </c>
      <c r="D20" s="30"/>
      <c r="E20" s="30">
        <v>-729</v>
      </c>
      <c r="F20" s="30">
        <v>-525</v>
      </c>
      <c r="G20" s="30">
        <v>-169</v>
      </c>
      <c r="H20" s="41">
        <f ca="1">-H17*H37</f>
        <v>-202.77474</v>
      </c>
      <c r="I20" s="41">
        <f ca="1" t="shared" ref="I20:L20" si="0">-I37*I50</f>
        <v>-66.4044466808</v>
      </c>
      <c r="J20" s="41">
        <f ca="1" t="shared" si="0"/>
        <v>-78.10454292248</v>
      </c>
      <c r="K20" s="41">
        <f ca="1" t="shared" si="0"/>
        <v>-89.8964953150556</v>
      </c>
      <c r="L20" s="41">
        <f ca="1" t="shared" si="0"/>
        <v>-101.659957084401</v>
      </c>
      <c r="N20" s="135" t="s">
        <v>24</v>
      </c>
    </row>
    <row r="21" ht="15" spans="3:14">
      <c r="C21" t="s">
        <v>25</v>
      </c>
      <c r="D21" s="30"/>
      <c r="E21" s="30">
        <v>-487</v>
      </c>
      <c r="F21" s="30">
        <v>-479</v>
      </c>
      <c r="G21" s="30">
        <v>-564</v>
      </c>
      <c r="H21" s="41">
        <f ca="1">-H17*H38</f>
        <v>-557.630535</v>
      </c>
      <c r="I21" s="41">
        <f ca="1">-I17*I38</f>
        <v>-647.96668167</v>
      </c>
      <c r="J21" s="41">
        <f ca="1">-J17*J38</f>
        <v>-680.3650157535</v>
      </c>
      <c r="K21" s="41">
        <f ca="1">-K17*K38</f>
        <v>-700.775966226105</v>
      </c>
      <c r="L21" s="41">
        <f ca="1">-L17*L38</f>
        <v>-714.791485550627</v>
      </c>
      <c r="N21" s="135" t="s">
        <v>26</v>
      </c>
    </row>
    <row r="22" ht="15" spans="3:14">
      <c r="C22" s="42" t="s">
        <v>27</v>
      </c>
      <c r="D22" s="43"/>
      <c r="E22" s="43">
        <f>E19+E20+E21</f>
        <v>901</v>
      </c>
      <c r="F22" s="43">
        <f>F19+F20+F21</f>
        <v>961</v>
      </c>
      <c r="G22" s="43">
        <f>G19+G20+G21</f>
        <v>1386</v>
      </c>
      <c r="H22" s="43">
        <f ca="1" t="shared" ref="H22:L22" si="1">H19+H20+H21</f>
        <v>1419.42318</v>
      </c>
      <c r="I22" s="43">
        <f ca="1" t="shared" si="1"/>
        <v>1877.4955983292</v>
      </c>
      <c r="J22" s="43">
        <f ca="1" t="shared" si="1"/>
        <v>2086.69323447502</v>
      </c>
      <c r="K22" s="43">
        <f ca="1" t="shared" si="1"/>
        <v>2267.25902744548</v>
      </c>
      <c r="L22" s="43">
        <f ca="1" t="shared" si="1"/>
        <v>2302.63867613134</v>
      </c>
      <c r="N22" s="42" t="s">
        <v>28</v>
      </c>
    </row>
    <row r="23" ht="15" spans="3:14">
      <c r="C23" t="s">
        <v>29</v>
      </c>
      <c r="D23" s="52"/>
      <c r="E23" s="30">
        <v>39</v>
      </c>
      <c r="F23" s="30">
        <v>43</v>
      </c>
      <c r="G23" s="30">
        <v>60</v>
      </c>
      <c r="H23" s="28"/>
      <c r="I23" s="28"/>
      <c r="J23" s="28"/>
      <c r="K23" s="28"/>
      <c r="L23" s="28"/>
      <c r="N23" t="s">
        <v>30</v>
      </c>
    </row>
    <row r="24" ht="15" spans="3:14">
      <c r="C24" t="s">
        <v>31</v>
      </c>
      <c r="D24" s="52"/>
      <c r="E24" s="30">
        <v>63</v>
      </c>
      <c r="F24" s="30">
        <v>104</v>
      </c>
      <c r="G24" s="30">
        <v>-54</v>
      </c>
      <c r="H24" s="28"/>
      <c r="I24" s="28"/>
      <c r="J24" s="28"/>
      <c r="K24" s="28"/>
      <c r="L24" s="28"/>
      <c r="N24" t="s">
        <v>32</v>
      </c>
    </row>
    <row r="25" ht="15" spans="3:12">
      <c r="C25" s="42" t="s">
        <v>33</v>
      </c>
      <c r="D25" s="53"/>
      <c r="E25" s="30">
        <f>SUM(E23:E24)</f>
        <v>102</v>
      </c>
      <c r="F25" s="30">
        <f>SUM(F23:F24)</f>
        <v>147</v>
      </c>
      <c r="G25" s="30">
        <f>SUM(G23:G24)</f>
        <v>6</v>
      </c>
      <c r="H25" s="43">
        <v>100</v>
      </c>
      <c r="I25" s="43">
        <f>H25</f>
        <v>100</v>
      </c>
      <c r="J25" s="43">
        <f>I25</f>
        <v>100</v>
      </c>
      <c r="K25" s="43">
        <f>J25</f>
        <v>100</v>
      </c>
      <c r="L25" s="43">
        <f>K25</f>
        <v>100</v>
      </c>
    </row>
    <row r="26" ht="15" spans="3:15">
      <c r="C26" s="42" t="s">
        <v>34</v>
      </c>
      <c r="D26" s="53"/>
      <c r="E26" s="43">
        <f>E22+E25</f>
        <v>1003</v>
      </c>
      <c r="F26" s="43">
        <f>F22+F25</f>
        <v>1108</v>
      </c>
      <c r="G26" s="43">
        <f>G22+G25</f>
        <v>1392</v>
      </c>
      <c r="H26" s="43">
        <f ca="1">H22+H25</f>
        <v>1519.42318</v>
      </c>
      <c r="I26" s="43">
        <f ca="1" t="shared" ref="I26:L26" si="2">I22+I25</f>
        <v>1977.4955983292</v>
      </c>
      <c r="J26" s="43">
        <f ca="1" t="shared" si="2"/>
        <v>2186.69323447502</v>
      </c>
      <c r="K26" s="43">
        <f ca="1" t="shared" si="2"/>
        <v>2367.25902744548</v>
      </c>
      <c r="L26" s="43">
        <f ca="1" t="shared" si="2"/>
        <v>2402.63867613134</v>
      </c>
      <c r="N26" s="42" t="s">
        <v>35</v>
      </c>
      <c r="O26" s="42"/>
    </row>
    <row r="27" ht="15" spans="3:14">
      <c r="C27" t="s">
        <v>36</v>
      </c>
      <c r="D27" s="30"/>
      <c r="E27" s="30">
        <v>-290</v>
      </c>
      <c r="F27" s="30">
        <v>-324</v>
      </c>
      <c r="G27" s="30">
        <v>-402</v>
      </c>
      <c r="H27" s="41">
        <f ca="1">-H26*H39</f>
        <v>-440.807191589829</v>
      </c>
      <c r="I27" s="41">
        <f ca="1">-I26*I39</f>
        <v>-573.700791560086</v>
      </c>
      <c r="J27" s="41">
        <f ca="1">-J26*J39</f>
        <v>-634.392127384429</v>
      </c>
      <c r="K27" s="41">
        <f ca="1">-K26*K39</f>
        <v>-686.776941005936</v>
      </c>
      <c r="L27" s="41">
        <f ca="1">-L26*L39</f>
        <v>-697.041101630793</v>
      </c>
      <c r="N27" t="s">
        <v>37</v>
      </c>
    </row>
    <row r="28" ht="15" spans="3:14">
      <c r="C28" s="42" t="s">
        <v>38</v>
      </c>
      <c r="D28" s="53"/>
      <c r="E28" s="43">
        <f t="shared" ref="E28:G28" si="3">SUM(E26:E27)</f>
        <v>713</v>
      </c>
      <c r="F28" s="43">
        <f t="shared" si="3"/>
        <v>784</v>
      </c>
      <c r="G28" s="43">
        <f t="shared" si="3"/>
        <v>990</v>
      </c>
      <c r="H28" s="43">
        <f ca="1">H26+H27</f>
        <v>1078.61598841017</v>
      </c>
      <c r="I28" s="43">
        <f ca="1" t="shared" ref="I28:L28" si="4">I26+I27</f>
        <v>1403.79480676911</v>
      </c>
      <c r="J28" s="43">
        <f ca="1" t="shared" si="4"/>
        <v>1552.30110709059</v>
      </c>
      <c r="K28" s="43">
        <f ca="1" t="shared" si="4"/>
        <v>1680.48208643954</v>
      </c>
      <c r="L28" s="43">
        <f ca="1" t="shared" si="4"/>
        <v>1705.59757450055</v>
      </c>
      <c r="N28" s="42" t="s">
        <v>39</v>
      </c>
    </row>
    <row r="29" spans="3:12">
      <c r="C29" s="54"/>
      <c r="D29" s="55"/>
      <c r="E29" s="55"/>
      <c r="F29" s="55"/>
      <c r="G29" s="55"/>
      <c r="H29" s="56"/>
      <c r="I29" s="56"/>
      <c r="J29" s="55"/>
      <c r="K29" s="55"/>
      <c r="L29" s="55"/>
    </row>
    <row r="30" ht="15" spans="3:14">
      <c r="C30" s="57" t="s">
        <v>40</v>
      </c>
      <c r="D30" s="52"/>
      <c r="E30" s="30">
        <v>428</v>
      </c>
      <c r="F30" s="30">
        <v>450</v>
      </c>
      <c r="G30" s="30">
        <v>516</v>
      </c>
      <c r="H30" s="28">
        <f ca="1">H114</f>
        <v>530.964</v>
      </c>
      <c r="I30" s="28">
        <f ca="1">I114</f>
        <v>628.96106196</v>
      </c>
      <c r="J30" s="28">
        <f ca="1">J114</f>
        <v>672.989053716</v>
      </c>
      <c r="K30" s="28">
        <f ca="1">K114</f>
        <v>706.13606214522</v>
      </c>
      <c r="L30" s="28">
        <f ca="1">L114</f>
        <v>733.475266942219</v>
      </c>
      <c r="N30" t="s">
        <v>41</v>
      </c>
    </row>
    <row r="31" ht="15" spans="3:14">
      <c r="C31" s="58" t="s">
        <v>42</v>
      </c>
      <c r="D31" s="53"/>
      <c r="E31" s="43">
        <f t="shared" ref="E31:L31" si="5">E22+E30</f>
        <v>1329</v>
      </c>
      <c r="F31" s="43">
        <f t="shared" si="5"/>
        <v>1411</v>
      </c>
      <c r="G31" s="43">
        <f t="shared" si="5"/>
        <v>1902</v>
      </c>
      <c r="H31" s="43">
        <f ca="1" t="shared" si="5"/>
        <v>1950.38718</v>
      </c>
      <c r="I31" s="43">
        <f ca="1" t="shared" si="5"/>
        <v>2506.4566602892</v>
      </c>
      <c r="J31" s="43">
        <f ca="1" t="shared" si="5"/>
        <v>2759.68228819102</v>
      </c>
      <c r="K31" s="43">
        <f ca="1" t="shared" si="5"/>
        <v>2973.3950895907</v>
      </c>
      <c r="L31" s="43">
        <f ca="1" t="shared" si="5"/>
        <v>3036.11394307356</v>
      </c>
      <c r="N31" s="42" t="s">
        <v>43</v>
      </c>
    </row>
    <row r="32" ht="15" spans="3:14">
      <c r="C32" s="59"/>
      <c r="D32" s="60"/>
      <c r="E32" s="61"/>
      <c r="F32" s="61"/>
      <c r="G32" s="61"/>
      <c r="H32" s="62"/>
      <c r="I32" s="62"/>
      <c r="J32" s="62"/>
      <c r="K32" s="62"/>
      <c r="L32" s="28"/>
      <c r="N32" t="s">
        <v>44</v>
      </c>
    </row>
    <row r="33" spans="3:8">
      <c r="C33" s="54"/>
      <c r="H33" s="63"/>
    </row>
    <row r="34" ht="15" spans="3:3">
      <c r="C34" s="64" t="s">
        <v>45</v>
      </c>
    </row>
    <row r="35" ht="15" spans="3:21">
      <c r="C35" s="54" t="s">
        <v>46</v>
      </c>
      <c r="D35" s="65"/>
      <c r="E35" s="66" t="s">
        <v>47</v>
      </c>
      <c r="F35" s="65">
        <f>F17/E17-1</f>
        <v>-0.0584548769371012</v>
      </c>
      <c r="G35" s="65">
        <f>G17/F17-1</f>
        <v>0.192424059058453</v>
      </c>
      <c r="H35" s="65">
        <f ca="1">H138</f>
        <v>0.029</v>
      </c>
      <c r="I35" s="65">
        <f ca="1">I138</f>
        <v>0.162</v>
      </c>
      <c r="J35" s="65">
        <f ca="1">J138</f>
        <v>0.05</v>
      </c>
      <c r="K35" s="65">
        <f ca="1">K138</f>
        <v>0.03</v>
      </c>
      <c r="L35" s="65">
        <f ca="1" t="shared" ref="L35" si="6">L138</f>
        <v>0.02</v>
      </c>
      <c r="N35" t="s">
        <v>48</v>
      </c>
      <c r="P35" s="87"/>
      <c r="Q35" s="87"/>
      <c r="R35" s="87"/>
      <c r="S35" s="87"/>
      <c r="T35" s="87"/>
      <c r="U35" s="87"/>
    </row>
    <row r="36" ht="15" spans="3:21">
      <c r="C36" s="54" t="s">
        <v>49</v>
      </c>
      <c r="D36" s="65"/>
      <c r="E36" s="65">
        <f>E19/E17</f>
        <v>0.241226071103008</v>
      </c>
      <c r="F36" s="65">
        <f>F19/F17</f>
        <v>0.237807091855258</v>
      </c>
      <c r="G36" s="65">
        <f>G19/G17</f>
        <v>0.215061402618492</v>
      </c>
      <c r="H36" s="65">
        <f ca="1">H139</f>
        <v>0.215</v>
      </c>
      <c r="I36" s="65">
        <f ca="1" t="shared" ref="H36:L38" si="7">I139</f>
        <v>0.22</v>
      </c>
      <c r="J36" s="65">
        <f ca="1" t="shared" si="7"/>
        <v>0.23</v>
      </c>
      <c r="K36" s="65">
        <f ca="1" t="shared" si="7"/>
        <v>0.24</v>
      </c>
      <c r="L36" s="65">
        <f ca="1" t="shared" si="7"/>
        <v>0.24</v>
      </c>
      <c r="N36" t="s">
        <v>50</v>
      </c>
      <c r="P36" s="87"/>
      <c r="Q36" s="87"/>
      <c r="R36" s="87"/>
      <c r="S36" s="87"/>
      <c r="T36" s="87"/>
      <c r="U36" s="87"/>
    </row>
    <row r="37" ht="15" spans="3:21">
      <c r="C37" s="54" t="s">
        <v>51</v>
      </c>
      <c r="D37" s="65"/>
      <c r="E37" s="66" t="s">
        <v>47</v>
      </c>
      <c r="F37" s="65">
        <f>-F20/F17</f>
        <v>0.063536245915527</v>
      </c>
      <c r="G37" s="65">
        <f>-G20/G17</f>
        <v>0.0171521364051558</v>
      </c>
      <c r="H37" s="65">
        <f ca="1" t="shared" si="7"/>
        <v>0.02</v>
      </c>
      <c r="I37" s="65">
        <f ca="1" t="shared" si="7"/>
        <v>0.02</v>
      </c>
      <c r="J37" s="65">
        <f ca="1" t="shared" si="7"/>
        <v>0.02</v>
      </c>
      <c r="K37" s="65">
        <f ca="1" t="shared" si="7"/>
        <v>0.02</v>
      </c>
      <c r="L37" s="65">
        <f ca="1" t="shared" si="7"/>
        <v>0.02</v>
      </c>
      <c r="N37" t="s">
        <v>50</v>
      </c>
      <c r="P37" s="87"/>
      <c r="Q37" s="87"/>
      <c r="R37" s="87"/>
      <c r="S37" s="87"/>
      <c r="T37" s="87"/>
      <c r="U37" s="87"/>
    </row>
    <row r="38" ht="15" spans="3:21">
      <c r="C38" s="54" t="s">
        <v>52</v>
      </c>
      <c r="D38" s="65"/>
      <c r="E38" s="65">
        <f>-E21/E17</f>
        <v>0.0554922515952598</v>
      </c>
      <c r="F38" s="65">
        <f>-F21/F17</f>
        <v>0.057969260559119</v>
      </c>
      <c r="G38" s="65">
        <f>-G21/G17</f>
        <v>0.0572414493047803</v>
      </c>
      <c r="H38" s="65">
        <f ca="1">H141</f>
        <v>0.055</v>
      </c>
      <c r="I38" s="65">
        <f ca="1" t="shared" si="7"/>
        <v>0.055</v>
      </c>
      <c r="J38" s="65">
        <f ca="1" t="shared" si="7"/>
        <v>0.055</v>
      </c>
      <c r="K38" s="65">
        <f ca="1" t="shared" si="7"/>
        <v>0.055</v>
      </c>
      <c r="L38" s="65">
        <f ca="1" t="shared" si="7"/>
        <v>0.055</v>
      </c>
      <c r="N38" t="s">
        <v>50</v>
      </c>
      <c r="P38" s="87"/>
      <c r="Q38" s="87"/>
      <c r="R38" s="87"/>
      <c r="S38" s="87"/>
      <c r="T38" s="87"/>
      <c r="U38" s="87"/>
    </row>
    <row r="39" ht="15" spans="3:21">
      <c r="C39" s="54" t="s">
        <v>53</v>
      </c>
      <c r="D39" s="65"/>
      <c r="E39" s="65">
        <f>-(E27/E26)</f>
        <v>0.28913260219342</v>
      </c>
      <c r="F39" s="65">
        <f>-(F27/F26)</f>
        <v>0.292418772563177</v>
      </c>
      <c r="G39" s="65">
        <f>-(G27/G26)</f>
        <v>0.288793103448276</v>
      </c>
      <c r="H39" s="65">
        <f>AVERAGE(E39:G39)</f>
        <v>0.290114826068291</v>
      </c>
      <c r="I39" s="65">
        <f t="shared" ref="I39:L39" si="8">H39</f>
        <v>0.290114826068291</v>
      </c>
      <c r="J39" s="65">
        <f t="shared" si="8"/>
        <v>0.290114826068291</v>
      </c>
      <c r="K39" s="65">
        <f t="shared" si="8"/>
        <v>0.290114826068291</v>
      </c>
      <c r="L39" s="65">
        <f t="shared" si="8"/>
        <v>0.290114826068291</v>
      </c>
      <c r="N39" t="s">
        <v>50</v>
      </c>
      <c r="P39" s="87"/>
      <c r="Q39" s="87"/>
      <c r="R39" s="87"/>
      <c r="S39" s="87"/>
      <c r="T39" s="87"/>
      <c r="U39" s="87"/>
    </row>
    <row r="40" spans="3:8">
      <c r="C40" s="54"/>
      <c r="D40" s="54"/>
      <c r="H40" s="63"/>
    </row>
    <row r="41" ht="15" spans="1:12">
      <c r="A41" t="s">
        <v>12</v>
      </c>
      <c r="C41" s="36" t="s">
        <v>54</v>
      </c>
      <c r="D41" s="36"/>
      <c r="E41" s="67"/>
      <c r="F41" s="67"/>
      <c r="G41" s="67"/>
      <c r="H41" s="22"/>
      <c r="I41" s="22"/>
      <c r="J41" s="22"/>
      <c r="K41" s="22"/>
      <c r="L41" s="22"/>
    </row>
    <row r="42" ht="15" spans="3:12">
      <c r="C42" s="68" t="str">
        <f>C14</f>
        <v>Fiscal year  </v>
      </c>
      <c r="D42" s="68"/>
      <c r="E42" s="69">
        <f t="shared" ref="E42:L42" si="9">E14</f>
        <v>2019</v>
      </c>
      <c r="F42" s="69">
        <f t="shared" si="9"/>
        <v>2020</v>
      </c>
      <c r="G42" s="69">
        <f t="shared" si="9"/>
        <v>2021</v>
      </c>
      <c r="H42" s="70">
        <f t="shared" si="9"/>
        <v>2022</v>
      </c>
      <c r="I42" s="70">
        <f t="shared" si="9"/>
        <v>2023</v>
      </c>
      <c r="J42" s="70">
        <f t="shared" si="9"/>
        <v>2024</v>
      </c>
      <c r="K42" s="70">
        <f t="shared" si="9"/>
        <v>2025</v>
      </c>
      <c r="L42" s="70">
        <f t="shared" si="9"/>
        <v>2026</v>
      </c>
    </row>
    <row r="43" ht="15" spans="3:12">
      <c r="C43" s="22" t="str">
        <f>C15</f>
        <v>Fiscal year end date</v>
      </c>
      <c r="D43" s="22"/>
      <c r="E43" s="71">
        <f t="shared" ref="E43:L43" si="10">E15</f>
        <v>43830</v>
      </c>
      <c r="F43" s="71">
        <f t="shared" si="10"/>
        <v>44196</v>
      </c>
      <c r="G43" s="71">
        <f t="shared" si="10"/>
        <v>44561</v>
      </c>
      <c r="H43" s="71">
        <f t="shared" si="10"/>
        <v>44926</v>
      </c>
      <c r="I43" s="71">
        <f t="shared" si="10"/>
        <v>45291</v>
      </c>
      <c r="J43" s="71">
        <f t="shared" si="10"/>
        <v>45657</v>
      </c>
      <c r="K43" s="71">
        <f t="shared" si="10"/>
        <v>46022</v>
      </c>
      <c r="L43" s="71">
        <f t="shared" si="10"/>
        <v>46387</v>
      </c>
    </row>
    <row r="44" ht="15" spans="3:14">
      <c r="C44" t="s">
        <v>55</v>
      </c>
      <c r="E44" s="52"/>
      <c r="F44" s="30">
        <v>4263</v>
      </c>
      <c r="G44" s="30">
        <v>3996</v>
      </c>
      <c r="H44" s="28">
        <f ca="1">H98+G44</f>
        <v>4105.40092809209</v>
      </c>
      <c r="I44" s="28">
        <f ca="1" t="shared" ref="I44:L44" si="11">I98+H44</f>
        <v>4679.68178652796</v>
      </c>
      <c r="J44" s="28">
        <f ca="1" t="shared" si="11"/>
        <v>4898.14471850836</v>
      </c>
      <c r="K44" s="28">
        <f ca="1" t="shared" si="11"/>
        <v>4928.37485597552</v>
      </c>
      <c r="L44" s="28">
        <f ca="1" t="shared" si="11"/>
        <v>4711.09106709479</v>
      </c>
      <c r="N44" t="s">
        <v>56</v>
      </c>
    </row>
    <row r="45" ht="15" spans="3:23">
      <c r="C45" s="72" t="s">
        <v>57</v>
      </c>
      <c r="E45" s="52"/>
      <c r="F45" s="30">
        <v>99</v>
      </c>
      <c r="G45" s="30">
        <v>67</v>
      </c>
      <c r="H45" s="28">
        <f ca="1">G45*(1+H35)</f>
        <v>68.943</v>
      </c>
      <c r="I45" s="28">
        <f ca="1" t="shared" ref="I45:L45" si="12">H45*(1+I35)</f>
        <v>80.111766</v>
      </c>
      <c r="J45" s="28">
        <f ca="1" t="shared" si="12"/>
        <v>84.1173543</v>
      </c>
      <c r="K45" s="28">
        <f ca="1" t="shared" si="12"/>
        <v>86.640874929</v>
      </c>
      <c r="L45" s="28">
        <f ca="1" t="shared" si="12"/>
        <v>88.37369242758</v>
      </c>
      <c r="N45" t="s">
        <v>58</v>
      </c>
      <c r="W45" s="28"/>
    </row>
    <row r="46" ht="15" spans="3:14">
      <c r="C46" s="72" t="s">
        <v>59</v>
      </c>
      <c r="E46" s="52"/>
      <c r="F46" s="30">
        <v>398</v>
      </c>
      <c r="G46" s="30">
        <v>432</v>
      </c>
      <c r="H46" s="28">
        <f ca="1">G46*H18/G18</f>
        <v>444.562773653995</v>
      </c>
      <c r="I46" s="28">
        <f ca="1">H46*I18/H18</f>
        <v>513.291612138898</v>
      </c>
      <c r="J46" s="28">
        <f ca="1">I46*J18/I18</f>
        <v>532.04649796705</v>
      </c>
      <c r="K46" s="28">
        <f ca="1">J46*K18/J18</f>
        <v>540.890907283905</v>
      </c>
      <c r="L46" s="28">
        <f ca="1">K46*L18/K18</f>
        <v>551.708725429583</v>
      </c>
      <c r="N46" t="s">
        <v>60</v>
      </c>
    </row>
    <row r="47" s="20" customFormat="1" ht="15" spans="3:14">
      <c r="C47" s="73" t="s">
        <v>61</v>
      </c>
      <c r="D47" s="45"/>
      <c r="E47" s="74"/>
      <c r="F47" s="30">
        <v>176</v>
      </c>
      <c r="G47" s="30">
        <v>221</v>
      </c>
      <c r="H47" s="17">
        <f ca="1">G47*(1+H35)</f>
        <v>227.409</v>
      </c>
      <c r="I47" s="17">
        <f ca="1" t="shared" ref="I47:L47" si="13">H47*(1+I35)</f>
        <v>264.249258</v>
      </c>
      <c r="J47" s="17">
        <f ca="1" t="shared" si="13"/>
        <v>277.4617209</v>
      </c>
      <c r="K47" s="17">
        <f ca="1" t="shared" si="13"/>
        <v>285.785572527</v>
      </c>
      <c r="L47" s="17">
        <f ca="1" t="shared" si="13"/>
        <v>291.50128397754</v>
      </c>
      <c r="M47" s="45"/>
      <c r="N47" s="45" t="s">
        <v>62</v>
      </c>
    </row>
    <row r="48" s="20" customFormat="1" ht="15" spans="3:15">
      <c r="C48" s="73" t="s">
        <v>63</v>
      </c>
      <c r="D48" s="45"/>
      <c r="E48" s="74"/>
      <c r="F48" s="30">
        <v>2164</v>
      </c>
      <c r="G48" s="30">
        <v>2612</v>
      </c>
      <c r="H48" s="91">
        <f ca="1">G48*(1+H36)</f>
        <v>3173.58</v>
      </c>
      <c r="I48" s="91">
        <f ca="1" t="shared" ref="I48:L48" si="14">H48*(1+I36)</f>
        <v>3871.7676</v>
      </c>
      <c r="J48" s="91">
        <f ca="1" t="shared" si="14"/>
        <v>4762.274148</v>
      </c>
      <c r="K48" s="91">
        <f ca="1" t="shared" si="14"/>
        <v>5905.21994352</v>
      </c>
      <c r="L48" s="91">
        <f ca="1" t="shared" si="14"/>
        <v>7322.4727299648</v>
      </c>
      <c r="M48" s="45"/>
      <c r="N48" s="45"/>
      <c r="O48" s="88"/>
    </row>
    <row r="49" s="20" customFormat="1" ht="15" spans="3:15">
      <c r="C49" s="73" t="s">
        <v>64</v>
      </c>
      <c r="E49" s="60"/>
      <c r="F49" s="30">
        <v>98</v>
      </c>
      <c r="G49" s="30">
        <v>106</v>
      </c>
      <c r="H49" s="91">
        <f ca="1">G49*(1+H35)</f>
        <v>109.074</v>
      </c>
      <c r="I49" s="91">
        <f ca="1" t="shared" ref="I49:L49" si="15">H49*(1+I35)</f>
        <v>126.743988</v>
      </c>
      <c r="J49" s="91">
        <f ca="1" t="shared" si="15"/>
        <v>133.0811874</v>
      </c>
      <c r="K49" s="91">
        <f ca="1" t="shared" si="15"/>
        <v>137.073623022</v>
      </c>
      <c r="L49" s="91">
        <f ca="1" t="shared" si="15"/>
        <v>139.81509548244</v>
      </c>
      <c r="O49" s="88"/>
    </row>
    <row r="50" s="20" customFormat="1" ht="15" spans="3:14">
      <c r="C50" s="73" t="s">
        <v>65</v>
      </c>
      <c r="E50" s="60"/>
      <c r="F50" s="30">
        <v>1765</v>
      </c>
      <c r="G50" s="30">
        <v>2251</v>
      </c>
      <c r="H50" s="91">
        <f ca="1">H107</f>
        <v>2751.094</v>
      </c>
      <c r="I50" s="91">
        <f ca="1" t="shared" ref="I50:L50" si="16">I107</f>
        <v>3320.22233404</v>
      </c>
      <c r="J50" s="91">
        <f ca="1" t="shared" si="16"/>
        <v>3905.227146124</v>
      </c>
      <c r="K50" s="91">
        <f ca="1" t="shared" si="16"/>
        <v>4494.82476575278</v>
      </c>
      <c r="L50" s="91">
        <f ca="1" t="shared" si="16"/>
        <v>5082.99785422004</v>
      </c>
      <c r="N50" s="134" t="s">
        <v>66</v>
      </c>
    </row>
    <row r="51" s="20" customFormat="1" ht="15" spans="3:18">
      <c r="C51" s="73" t="s">
        <v>67</v>
      </c>
      <c r="D51" s="75"/>
      <c r="E51" s="76"/>
      <c r="F51" s="77">
        <v>246</v>
      </c>
      <c r="G51" s="77">
        <v>272</v>
      </c>
      <c r="H51" s="91">
        <f ca="1">G51*(1+H35)</f>
        <v>279.888</v>
      </c>
      <c r="I51" s="91">
        <f ca="1" t="shared" ref="I51:L51" si="17">H51*(1+I35)</f>
        <v>325.229856</v>
      </c>
      <c r="J51" s="91">
        <f ca="1" t="shared" si="17"/>
        <v>341.4913488</v>
      </c>
      <c r="K51" s="91">
        <f ca="1" t="shared" si="17"/>
        <v>351.736089264</v>
      </c>
      <c r="L51" s="91">
        <f ca="1" t="shared" si="17"/>
        <v>358.77081104928</v>
      </c>
      <c r="R51" s="89"/>
    </row>
    <row r="52" s="20" customFormat="1" ht="15" spans="3:12">
      <c r="C52" s="73" t="s">
        <v>68</v>
      </c>
      <c r="D52" s="75"/>
      <c r="E52" s="76"/>
      <c r="F52" s="77">
        <v>85</v>
      </c>
      <c r="G52" s="77">
        <v>292</v>
      </c>
      <c r="H52" s="91">
        <f ca="1">G52*(1+H35)</f>
        <v>300.468</v>
      </c>
      <c r="I52" s="91">
        <f ca="1" t="shared" ref="I52:L52" si="18">H52*(1+I35)</f>
        <v>349.143816</v>
      </c>
      <c r="J52" s="91">
        <f ca="1" t="shared" si="18"/>
        <v>366.6010068</v>
      </c>
      <c r="K52" s="91">
        <f ca="1" t="shared" si="18"/>
        <v>377.599037004</v>
      </c>
      <c r="L52" s="91">
        <f ca="1" t="shared" si="18"/>
        <v>385.15101774408</v>
      </c>
    </row>
    <row r="53" s="20" customFormat="1" ht="15" spans="3:12">
      <c r="C53" s="73" t="s">
        <v>69</v>
      </c>
      <c r="D53" s="75"/>
      <c r="E53" s="76"/>
      <c r="F53" s="77">
        <v>832</v>
      </c>
      <c r="G53" s="77">
        <v>2142</v>
      </c>
      <c r="H53" s="91">
        <f>G53</f>
        <v>2142</v>
      </c>
      <c r="I53" s="91">
        <f>H53</f>
        <v>2142</v>
      </c>
      <c r="J53" s="91">
        <f>I53</f>
        <v>2142</v>
      </c>
      <c r="K53" s="91">
        <f>J53</f>
        <v>2142</v>
      </c>
      <c r="L53" s="91">
        <f>K53</f>
        <v>2142</v>
      </c>
    </row>
    <row r="54" ht="15" spans="3:14">
      <c r="C54" s="72" t="s">
        <v>70</v>
      </c>
      <c r="D54" s="72"/>
      <c r="E54" s="78"/>
      <c r="F54" s="77">
        <v>749</v>
      </c>
      <c r="G54" s="77">
        <v>832</v>
      </c>
      <c r="H54" s="28">
        <f ca="1">G54*(1+H35)</f>
        <v>856.128</v>
      </c>
      <c r="I54" s="28">
        <f ca="1" t="shared" ref="I54:L54" si="19">H54*(1+I35)</f>
        <v>994.820736</v>
      </c>
      <c r="J54" s="28">
        <f ca="1" t="shared" si="19"/>
        <v>1044.5617728</v>
      </c>
      <c r="K54" s="28">
        <f ca="1" t="shared" si="19"/>
        <v>1075.898625984</v>
      </c>
      <c r="L54" s="28">
        <f ca="1" t="shared" si="19"/>
        <v>1097.41659850368</v>
      </c>
      <c r="N54" t="s">
        <v>58</v>
      </c>
    </row>
    <row r="55" ht="15" spans="3:12">
      <c r="C55" s="79" t="s">
        <v>71</v>
      </c>
      <c r="D55" s="58"/>
      <c r="E55" s="53"/>
      <c r="F55" s="43">
        <f>SUM(F44:F54)</f>
        <v>10875</v>
      </c>
      <c r="G55" s="43">
        <f t="shared" ref="G55:H55" si="20">SUM(G44:G54)</f>
        <v>13223</v>
      </c>
      <c r="H55" s="43">
        <f ca="1" t="shared" si="20"/>
        <v>14458.5477017461</v>
      </c>
      <c r="I55" s="43">
        <f ca="1" t="shared" ref="I55:L55" si="21">SUM(I44:I54)</f>
        <v>16667.2627527069</v>
      </c>
      <c r="J55" s="43">
        <f ca="1" t="shared" si="21"/>
        <v>18487.0069015994</v>
      </c>
      <c r="K55" s="43">
        <f ca="1" t="shared" si="21"/>
        <v>20326.0442952622</v>
      </c>
      <c r="L55" s="43">
        <f ca="1" t="shared" si="21"/>
        <v>22171.2988758938</v>
      </c>
    </row>
    <row r="56" spans="3:12">
      <c r="C56" s="80"/>
      <c r="D56" s="57"/>
      <c r="E56" s="55"/>
      <c r="F56" s="55"/>
      <c r="G56" s="55"/>
      <c r="H56" s="55"/>
      <c r="I56" s="55"/>
      <c r="J56" s="55"/>
      <c r="K56" s="55"/>
      <c r="L56" s="55"/>
    </row>
    <row r="57" ht="15" spans="3:14">
      <c r="C57" s="80" t="s">
        <v>72</v>
      </c>
      <c r="D57" s="57"/>
      <c r="E57" s="52"/>
      <c r="F57" s="30">
        <v>1995</v>
      </c>
      <c r="G57" s="30">
        <v>2332</v>
      </c>
      <c r="H57" s="28">
        <f ca="1">G57*H18/G18</f>
        <v>2399.81571333592</v>
      </c>
      <c r="I57" s="28">
        <f ca="1">H57*I18/H18</f>
        <v>2770.82416552757</v>
      </c>
      <c r="J57" s="28">
        <f ca="1">I57*J18/I18</f>
        <v>2872.06581772954</v>
      </c>
      <c r="K57" s="28">
        <f ca="1">J57*K18/J18</f>
        <v>2919.80924950478</v>
      </c>
      <c r="L57" s="28">
        <f ca="1">K57*L18/K18</f>
        <v>2978.20543449488</v>
      </c>
      <c r="N57" t="s">
        <v>73</v>
      </c>
    </row>
    <row r="58" ht="15" spans="3:14">
      <c r="C58" s="80" t="s">
        <v>74</v>
      </c>
      <c r="D58" s="57"/>
      <c r="E58" s="52"/>
      <c r="F58" s="30">
        <v>72</v>
      </c>
      <c r="G58" s="30">
        <v>51</v>
      </c>
      <c r="H58" s="28">
        <f ca="1">G58*(1+H35)</f>
        <v>52.479</v>
      </c>
      <c r="I58" s="28">
        <f ca="1">H58*(1+I35)</f>
        <v>60.980598</v>
      </c>
      <c r="J58" s="28">
        <f ca="1" t="shared" ref="J58:L58" si="22">I58*(1+J35)</f>
        <v>64.0296279</v>
      </c>
      <c r="K58" s="28">
        <f ca="1" t="shared" si="22"/>
        <v>65.950516737</v>
      </c>
      <c r="L58" s="28">
        <f ca="1" t="shared" si="22"/>
        <v>67.26952707174</v>
      </c>
      <c r="N58" t="s">
        <v>75</v>
      </c>
    </row>
    <row r="59" ht="15" spans="3:14">
      <c r="C59" s="79" t="s">
        <v>76</v>
      </c>
      <c r="D59" s="57"/>
      <c r="E59" s="52"/>
      <c r="F59" s="30">
        <f t="shared" ref="F59:L59" si="23">SUM(F57:F58)</f>
        <v>2067</v>
      </c>
      <c r="G59" s="30">
        <f t="shared" si="23"/>
        <v>2383</v>
      </c>
      <c r="H59" s="28">
        <f ca="1" t="shared" si="23"/>
        <v>2452.29471333592</v>
      </c>
      <c r="I59" s="28">
        <f ca="1" t="shared" si="23"/>
        <v>2831.80476352757</v>
      </c>
      <c r="J59" s="28">
        <f ca="1" t="shared" si="23"/>
        <v>2936.09544562954</v>
      </c>
      <c r="K59" s="28">
        <f ca="1" t="shared" si="23"/>
        <v>2985.75976624178</v>
      </c>
      <c r="L59" s="28">
        <f ca="1" t="shared" si="23"/>
        <v>3045.47496156662</v>
      </c>
      <c r="N59" t="s">
        <v>77</v>
      </c>
    </row>
    <row r="60" ht="15" spans="3:14">
      <c r="C60" s="80" t="s">
        <v>78</v>
      </c>
      <c r="D60" s="57"/>
      <c r="E60" s="52"/>
      <c r="F60" s="30">
        <v>1915</v>
      </c>
      <c r="G60" s="30">
        <v>2286</v>
      </c>
      <c r="H60" s="28">
        <f ca="1">G60*(1+H35)</f>
        <v>2352.294</v>
      </c>
      <c r="I60" s="28">
        <f ca="1" t="shared" ref="I60:L60" si="24">H60*(1+I35)</f>
        <v>2733.365628</v>
      </c>
      <c r="J60" s="28">
        <f ca="1" t="shared" si="24"/>
        <v>2870.0339094</v>
      </c>
      <c r="K60" s="28">
        <f ca="1" t="shared" si="24"/>
        <v>2956.134926682</v>
      </c>
      <c r="L60" s="28">
        <f ca="1" t="shared" si="24"/>
        <v>3015.25762521564</v>
      </c>
      <c r="N60" t="s">
        <v>75</v>
      </c>
    </row>
    <row r="61" ht="15" spans="3:12">
      <c r="C61" s="80" t="s">
        <v>79</v>
      </c>
      <c r="D61" s="57"/>
      <c r="E61" s="52"/>
      <c r="F61" s="30">
        <v>28</v>
      </c>
      <c r="G61" s="30">
        <v>40</v>
      </c>
      <c r="H61" s="28">
        <f>G61</f>
        <v>40</v>
      </c>
      <c r="I61" s="28">
        <f t="shared" ref="I61:L62" si="25">H61</f>
        <v>40</v>
      </c>
      <c r="J61" s="28">
        <f t="shared" si="25"/>
        <v>40</v>
      </c>
      <c r="K61" s="28">
        <f t="shared" si="25"/>
        <v>40</v>
      </c>
      <c r="L61" s="28">
        <f t="shared" si="25"/>
        <v>40</v>
      </c>
    </row>
    <row r="62" ht="15" spans="3:14">
      <c r="C62" s="80" t="s">
        <v>80</v>
      </c>
      <c r="D62" s="57"/>
      <c r="E62" s="52"/>
      <c r="F62" s="30">
        <v>227</v>
      </c>
      <c r="G62" s="30">
        <v>425</v>
      </c>
      <c r="H62" s="28">
        <f>G62</f>
        <v>425</v>
      </c>
      <c r="I62" s="28">
        <f t="shared" si="25"/>
        <v>425</v>
      </c>
      <c r="J62" s="28">
        <f t="shared" si="25"/>
        <v>425</v>
      </c>
      <c r="K62" s="28">
        <f t="shared" si="25"/>
        <v>425</v>
      </c>
      <c r="L62" s="28">
        <f t="shared" si="25"/>
        <v>425</v>
      </c>
      <c r="N62" t="s">
        <v>81</v>
      </c>
    </row>
    <row r="63" ht="15.75" customHeight="1" spans="3:14">
      <c r="C63" s="80" t="s">
        <v>82</v>
      </c>
      <c r="D63" s="57"/>
      <c r="E63" s="52"/>
      <c r="F63" s="30">
        <v>167</v>
      </c>
      <c r="G63" s="30">
        <v>167</v>
      </c>
      <c r="H63" s="28">
        <f ca="1">G63*(1+H35)</f>
        <v>171.843</v>
      </c>
      <c r="I63" s="28">
        <f ca="1" t="shared" ref="I63:L63" si="26">H63*(1+I35)</f>
        <v>199.681566</v>
      </c>
      <c r="J63" s="28">
        <f ca="1" t="shared" si="26"/>
        <v>209.6656443</v>
      </c>
      <c r="K63" s="28">
        <f ca="1" t="shared" si="26"/>
        <v>215.955613629</v>
      </c>
      <c r="L63" s="28">
        <f ca="1" t="shared" si="26"/>
        <v>220.27472590158</v>
      </c>
      <c r="N63" t="s">
        <v>58</v>
      </c>
    </row>
    <row r="64" ht="15" spans="3:12">
      <c r="C64" s="58" t="s">
        <v>83</v>
      </c>
      <c r="D64" s="58"/>
      <c r="E64" s="53"/>
      <c r="F64" s="43">
        <f>SUM(F59:F63)</f>
        <v>4404</v>
      </c>
      <c r="G64" s="43">
        <f>SUM(G59:G63)</f>
        <v>5301</v>
      </c>
      <c r="H64" s="43">
        <f ca="1">SUM(H57:H58)+SUM(H60:H60)+H62+H63</f>
        <v>5401.43171333592</v>
      </c>
      <c r="I64" s="43">
        <f ca="1">SUM(I57:I58)+SUM(I60:I60)+I62+I63</f>
        <v>6189.85195752757</v>
      </c>
      <c r="J64" s="43">
        <f ca="1">SUM(J57:J58)+SUM(J60:J60)+J62+J63</f>
        <v>6440.79499932954</v>
      </c>
      <c r="K64" s="43">
        <f ca="1">SUM(K57:K58)+SUM(K60:K60)+K62+K63</f>
        <v>6582.85030655278</v>
      </c>
      <c r="L64" s="43">
        <f ca="1">SUM(L57:L58)+SUM(L60:L60)+L62+L63</f>
        <v>6706.00731268384</v>
      </c>
    </row>
    <row r="65" ht="15" spans="3:12">
      <c r="C65" s="58"/>
      <c r="D65" s="58"/>
      <c r="E65" s="53"/>
      <c r="F65" s="53"/>
      <c r="G65" s="53"/>
      <c r="H65" s="55"/>
      <c r="I65" s="55"/>
      <c r="J65" s="55"/>
      <c r="K65" s="55"/>
      <c r="L65" s="55"/>
    </row>
    <row r="66" ht="15" spans="3:14">
      <c r="C66" s="57" t="s">
        <v>84</v>
      </c>
      <c r="D66" s="57"/>
      <c r="E66" s="52"/>
      <c r="F66" s="30">
        <v>4</v>
      </c>
      <c r="G66" s="30">
        <v>4</v>
      </c>
      <c r="H66" s="28">
        <f>G66+H32</f>
        <v>4</v>
      </c>
      <c r="I66" s="28">
        <f>H66+I32</f>
        <v>4</v>
      </c>
      <c r="J66" s="28">
        <f>I66+J32</f>
        <v>4</v>
      </c>
      <c r="K66" s="28">
        <f>J66+K32</f>
        <v>4</v>
      </c>
      <c r="L66" s="28">
        <f>K66+L32</f>
        <v>4</v>
      </c>
      <c r="N66" t="s">
        <v>85</v>
      </c>
    </row>
    <row r="67" ht="15" spans="3:12">
      <c r="C67" s="57" t="s">
        <v>86</v>
      </c>
      <c r="D67" s="57"/>
      <c r="E67" s="52"/>
      <c r="F67" s="30">
        <v>-728</v>
      </c>
      <c r="G67" s="30">
        <v>-803</v>
      </c>
      <c r="H67" s="28">
        <v>-763</v>
      </c>
      <c r="I67" s="28">
        <f t="shared" ref="I67:L67" si="27">H67</f>
        <v>-763</v>
      </c>
      <c r="J67" s="28">
        <f t="shared" si="27"/>
        <v>-763</v>
      </c>
      <c r="K67" s="28">
        <f t="shared" si="27"/>
        <v>-763</v>
      </c>
      <c r="L67" s="28">
        <f t="shared" si="27"/>
        <v>-763</v>
      </c>
    </row>
    <row r="68" ht="15" spans="3:12">
      <c r="C68" s="57" t="s">
        <v>87</v>
      </c>
      <c r="D68" s="57"/>
      <c r="E68" s="52"/>
      <c r="F68" s="30">
        <v>4658</v>
      </c>
      <c r="G68" s="30">
        <v>4695</v>
      </c>
      <c r="H68" s="28">
        <f>G68</f>
        <v>4695</v>
      </c>
      <c r="I68" s="28">
        <f t="shared" ref="I68:L68" si="28">H68</f>
        <v>4695</v>
      </c>
      <c r="J68" s="28">
        <f t="shared" si="28"/>
        <v>4695</v>
      </c>
      <c r="K68" s="28">
        <f t="shared" si="28"/>
        <v>4695</v>
      </c>
      <c r="L68" s="28">
        <f t="shared" si="28"/>
        <v>4695</v>
      </c>
    </row>
    <row r="69" ht="15.75" customHeight="1" spans="3:15">
      <c r="C69" s="57" t="s">
        <v>88</v>
      </c>
      <c r="D69" s="57"/>
      <c r="E69" s="81"/>
      <c r="F69" s="30">
        <v>2105</v>
      </c>
      <c r="G69" s="30">
        <v>2892</v>
      </c>
      <c r="H69" s="28">
        <f ca="1">H127</f>
        <v>3987.11598841017</v>
      </c>
      <c r="I69" s="28">
        <f ca="1" t="shared" ref="I69:L69" si="29">I127</f>
        <v>5407.41079517928</v>
      </c>
      <c r="J69" s="28">
        <f ca="1" t="shared" si="29"/>
        <v>6976.21190226988</v>
      </c>
      <c r="K69" s="28">
        <f ca="1" t="shared" si="29"/>
        <v>8673.19398870942</v>
      </c>
      <c r="L69" s="28">
        <f ca="1" t="shared" si="29"/>
        <v>10395.29156321</v>
      </c>
      <c r="N69" t="s">
        <v>89</v>
      </c>
      <c r="O69" s="55"/>
    </row>
    <row r="70" ht="15.75" customHeight="1" spans="3:14">
      <c r="C70" s="57" t="s">
        <v>90</v>
      </c>
      <c r="D70" s="57"/>
      <c r="E70" s="52"/>
      <c r="F70" s="30">
        <v>167</v>
      </c>
      <c r="G70" s="30">
        <v>268</v>
      </c>
      <c r="H70" s="28">
        <f>G70</f>
        <v>268</v>
      </c>
      <c r="I70" s="28">
        <f t="shared" ref="I70:L71" si="30">H70</f>
        <v>268</v>
      </c>
      <c r="J70" s="28">
        <f t="shared" si="30"/>
        <v>268</v>
      </c>
      <c r="K70" s="28">
        <f t="shared" si="30"/>
        <v>268</v>
      </c>
      <c r="L70" s="28">
        <f t="shared" si="30"/>
        <v>268</v>
      </c>
      <c r="N70" t="s">
        <v>81</v>
      </c>
    </row>
    <row r="71" ht="15.75" customHeight="1" spans="3:12">
      <c r="C71" s="57" t="s">
        <v>91</v>
      </c>
      <c r="D71" s="57"/>
      <c r="E71" s="52"/>
      <c r="F71" s="30">
        <v>265</v>
      </c>
      <c r="G71" s="30">
        <v>866</v>
      </c>
      <c r="H71" s="28">
        <f>G71</f>
        <v>866</v>
      </c>
      <c r="I71" s="28">
        <f t="shared" si="30"/>
        <v>866</v>
      </c>
      <c r="J71" s="28">
        <f t="shared" si="30"/>
        <v>866</v>
      </c>
      <c r="K71" s="28">
        <f t="shared" si="30"/>
        <v>866</v>
      </c>
      <c r="L71" s="28">
        <f t="shared" si="30"/>
        <v>866</v>
      </c>
    </row>
    <row r="72" ht="15" spans="3:12">
      <c r="C72" s="58" t="s">
        <v>92</v>
      </c>
      <c r="D72" s="58"/>
      <c r="E72" s="82"/>
      <c r="F72" s="83">
        <f>SUM(F66:F71)</f>
        <v>6471</v>
      </c>
      <c r="G72" s="83">
        <f>SUM(G66:G71)</f>
        <v>7922</v>
      </c>
      <c r="H72" s="83">
        <f ca="1">SUM(H66:H71)</f>
        <v>9057.11598841017</v>
      </c>
      <c r="I72" s="83">
        <f ca="1" t="shared" ref="I72:L72" si="31">SUM(I66:I71)</f>
        <v>10477.4107951793</v>
      </c>
      <c r="J72" s="83">
        <f ca="1" t="shared" si="31"/>
        <v>12046.2119022699</v>
      </c>
      <c r="K72" s="83">
        <f ca="1" t="shared" si="31"/>
        <v>13743.1939887094</v>
      </c>
      <c r="L72" s="83">
        <f ca="1" t="shared" si="31"/>
        <v>15465.29156321</v>
      </c>
    </row>
    <row r="73" spans="5:7">
      <c r="E73" s="55"/>
      <c r="F73" s="55"/>
      <c r="G73" s="55"/>
    </row>
    <row r="74" ht="15" spans="3:12">
      <c r="C74" s="37" t="s">
        <v>93</v>
      </c>
      <c r="D74" s="37"/>
      <c r="E74" s="84"/>
      <c r="F74" s="85">
        <f t="shared" ref="F74:L74" si="32">ROUND(F55-F64-F72,3)</f>
        <v>0</v>
      </c>
      <c r="G74" s="85">
        <f t="shared" si="32"/>
        <v>0</v>
      </c>
      <c r="H74" s="85">
        <f ca="1" t="shared" si="32"/>
        <v>0</v>
      </c>
      <c r="I74" s="85">
        <f ca="1" t="shared" si="32"/>
        <v>0</v>
      </c>
      <c r="J74" s="85">
        <f ca="1" t="shared" si="32"/>
        <v>0</v>
      </c>
      <c r="K74" s="85">
        <f ca="1" t="shared" si="32"/>
        <v>0</v>
      </c>
      <c r="L74" s="85">
        <f ca="1" t="shared" si="32"/>
        <v>0</v>
      </c>
    </row>
    <row r="75" spans="6:12">
      <c r="F75" s="55"/>
      <c r="G75" s="55"/>
      <c r="I75" s="55"/>
      <c r="J75" s="55"/>
      <c r="K75" s="55"/>
      <c r="L75" s="55"/>
    </row>
    <row r="76" ht="15" spans="1:12">
      <c r="A76" t="s">
        <v>12</v>
      </c>
      <c r="C76" s="36" t="s">
        <v>94</v>
      </c>
      <c r="D76" s="36"/>
      <c r="E76" s="67"/>
      <c r="F76" s="67"/>
      <c r="G76" s="67"/>
      <c r="H76" s="67"/>
      <c r="I76" s="67"/>
      <c r="J76" s="67"/>
      <c r="K76" s="67"/>
      <c r="L76" s="67"/>
    </row>
    <row r="77" ht="15" spans="3:12">
      <c r="C77" s="68" t="str">
        <f>C14</f>
        <v>Fiscal year  </v>
      </c>
      <c r="D77" s="68"/>
      <c r="E77" s="69"/>
      <c r="F77" s="69"/>
      <c r="G77" s="69"/>
      <c r="H77" s="70">
        <f t="shared" ref="H77:L78" si="33">H14</f>
        <v>2022</v>
      </c>
      <c r="I77" s="70">
        <f t="shared" si="33"/>
        <v>2023</v>
      </c>
      <c r="J77" s="70">
        <f t="shared" si="33"/>
        <v>2024</v>
      </c>
      <c r="K77" s="70">
        <f t="shared" si="33"/>
        <v>2025</v>
      </c>
      <c r="L77" s="70">
        <f t="shared" si="33"/>
        <v>2026</v>
      </c>
    </row>
    <row r="78" ht="15" spans="3:12">
      <c r="C78" s="22" t="str">
        <f>C15</f>
        <v>Fiscal year end date</v>
      </c>
      <c r="D78" s="22"/>
      <c r="E78" s="71"/>
      <c r="F78" s="71"/>
      <c r="G78" s="71"/>
      <c r="H78" s="71">
        <f t="shared" si="33"/>
        <v>44926</v>
      </c>
      <c r="I78" s="71">
        <f t="shared" si="33"/>
        <v>45291</v>
      </c>
      <c r="J78" s="71">
        <f t="shared" si="33"/>
        <v>45657</v>
      </c>
      <c r="K78" s="71">
        <f t="shared" si="33"/>
        <v>46022</v>
      </c>
      <c r="L78" s="71">
        <f t="shared" si="33"/>
        <v>46387</v>
      </c>
    </row>
    <row r="80" ht="15" spans="3:14">
      <c r="C80" t="s">
        <v>38</v>
      </c>
      <c r="E80" s="86"/>
      <c r="F80" s="86"/>
      <c r="G80" s="86"/>
      <c r="H80" s="28">
        <f ca="1">H28</f>
        <v>1078.61598841017</v>
      </c>
      <c r="I80" s="28">
        <f ca="1">I28</f>
        <v>1403.79480676911</v>
      </c>
      <c r="J80" s="28">
        <f ca="1">J28</f>
        <v>1552.30110709059</v>
      </c>
      <c r="K80" s="28">
        <f ca="1">K28</f>
        <v>1680.48208643954</v>
      </c>
      <c r="L80" s="28">
        <f ca="1">L28</f>
        <v>1705.59757450055</v>
      </c>
      <c r="N80" s="42"/>
    </row>
    <row r="81" spans="3:14">
      <c r="C81" t="s">
        <v>95</v>
      </c>
      <c r="E81" s="86"/>
      <c r="F81" s="86"/>
      <c r="G81" s="86"/>
      <c r="H81" s="28">
        <f ca="1">H30</f>
        <v>530.964</v>
      </c>
      <c r="I81" s="28">
        <f ca="1">I30</f>
        <v>628.96106196</v>
      </c>
      <c r="J81" s="28">
        <f ca="1">J30</f>
        <v>672.989053716</v>
      </c>
      <c r="K81" s="28">
        <f ca="1">K30</f>
        <v>706.13606214522</v>
      </c>
      <c r="L81" s="28">
        <f ca="1">L30</f>
        <v>733.475266942219</v>
      </c>
      <c r="N81" t="s">
        <v>96</v>
      </c>
    </row>
    <row r="82" spans="3:12">
      <c r="C82" t="s">
        <v>97</v>
      </c>
      <c r="E82" s="86"/>
      <c r="F82" s="86"/>
      <c r="G82" s="86"/>
      <c r="H82" s="28">
        <f>H32</f>
        <v>0</v>
      </c>
      <c r="I82" s="28">
        <f>I32</f>
        <v>0</v>
      </c>
      <c r="J82" s="28">
        <f>J32</f>
        <v>0</v>
      </c>
      <c r="K82" s="28">
        <f>K32</f>
        <v>0</v>
      </c>
      <c r="L82" s="28">
        <f>L32</f>
        <v>0</v>
      </c>
    </row>
    <row r="83" spans="3:12">
      <c r="C83" t="s">
        <v>98</v>
      </c>
      <c r="E83" s="55"/>
      <c r="F83" s="55"/>
      <c r="G83" s="55"/>
      <c r="H83" s="28">
        <f ca="1">SUM(G45:G47)-SUM(H45:H47)</f>
        <v>-20.9147736539953</v>
      </c>
      <c r="I83" s="28">
        <f ca="1" t="shared" ref="I83:L83" si="34">SUM(H45:H47)-SUM(I45:I47)</f>
        <v>-116.737862484903</v>
      </c>
      <c r="J83" s="28">
        <f ca="1" t="shared" si="34"/>
        <v>-35.972937028152</v>
      </c>
      <c r="K83" s="28">
        <f ca="1" t="shared" si="34"/>
        <v>-19.6917815728549</v>
      </c>
      <c r="L83" s="28">
        <f ca="1" t="shared" si="34"/>
        <v>-18.2663470947981</v>
      </c>
    </row>
    <row r="84" spans="3:12">
      <c r="C84" t="s">
        <v>99</v>
      </c>
      <c r="E84" s="55"/>
      <c r="F84" s="55"/>
      <c r="G84" s="55"/>
      <c r="H84" s="28">
        <f ca="1">SUM(H57:H58)-SUM(G57:G58)</f>
        <v>69.2947133359189</v>
      </c>
      <c r="I84" s="28">
        <f ca="1" t="shared" ref="I84:L84" si="35">SUM(I57:I58)-SUM(H57:H58)</f>
        <v>379.510050191652</v>
      </c>
      <c r="J84" s="28">
        <f ca="1" t="shared" si="35"/>
        <v>104.290682101969</v>
      </c>
      <c r="K84" s="28">
        <f ca="1" t="shared" si="35"/>
        <v>49.6643206122444</v>
      </c>
      <c r="L84" s="28">
        <f ca="1" t="shared" si="35"/>
        <v>59.7151953248353</v>
      </c>
    </row>
    <row r="85" spans="3:14">
      <c r="C85" t="s">
        <v>100</v>
      </c>
      <c r="H85" s="28">
        <f ca="1">-H119</f>
        <v>-24.1279999999999</v>
      </c>
      <c r="I85" s="28">
        <f ca="1" t="shared" ref="I85:L85" si="36">-I119</f>
        <v>-138.692736</v>
      </c>
      <c r="J85" s="28">
        <f ca="1" t="shared" si="36"/>
        <v>-49.7410368000001</v>
      </c>
      <c r="K85" s="28">
        <f ca="1" t="shared" si="36"/>
        <v>-31.3368531840001</v>
      </c>
      <c r="L85" s="28">
        <f ca="1" t="shared" si="36"/>
        <v>-21.5179725196799</v>
      </c>
      <c r="N85" t="s">
        <v>101</v>
      </c>
    </row>
    <row r="86" ht="15" spans="3:14">
      <c r="C86" t="s">
        <v>82</v>
      </c>
      <c r="H86" s="28">
        <f ca="1">H63-G63</f>
        <v>4.84299999999999</v>
      </c>
      <c r="I86" s="28">
        <f ca="1" t="shared" ref="I86:L86" si="37">I63-H63</f>
        <v>27.838566</v>
      </c>
      <c r="J86" s="28">
        <f ca="1" t="shared" si="37"/>
        <v>9.98407830000002</v>
      </c>
      <c r="K86" s="28">
        <f ca="1" t="shared" si="37"/>
        <v>6.289969329</v>
      </c>
      <c r="L86" s="28">
        <f ca="1" t="shared" si="37"/>
        <v>4.31911227258001</v>
      </c>
      <c r="N86" s="42"/>
    </row>
    <row r="87" ht="15" spans="3:12">
      <c r="C87" s="42" t="s">
        <v>102</v>
      </c>
      <c r="D87" s="42"/>
      <c r="H87" s="83">
        <f ca="1">SUM(H80:H86)</f>
        <v>1638.67492809209</v>
      </c>
      <c r="I87" s="83">
        <f ca="1" t="shared" ref="I87:L87" si="38">SUM(I80:I86)</f>
        <v>2184.67388643586</v>
      </c>
      <c r="J87" s="83">
        <f ca="1" t="shared" si="38"/>
        <v>2253.85094738041</v>
      </c>
      <c r="K87" s="83">
        <f ca="1" t="shared" si="38"/>
        <v>2391.54380376915</v>
      </c>
      <c r="L87" s="83">
        <f ca="1" t="shared" si="38"/>
        <v>2463.32282942571</v>
      </c>
    </row>
    <row r="88" spans="8:12">
      <c r="H88" s="55"/>
      <c r="I88" s="55"/>
      <c r="J88" s="55"/>
      <c r="K88" s="55"/>
      <c r="L88" s="55"/>
    </row>
    <row r="89" spans="3:14">
      <c r="C89" t="s">
        <v>103</v>
      </c>
      <c r="H89" s="28">
        <f ca="1">-(H105)</f>
        <v>-1031.058</v>
      </c>
      <c r="I89" s="28">
        <f ca="1" t="shared" ref="I89:L89" si="39">-(I105)</f>
        <v>-1198.089396</v>
      </c>
      <c r="J89" s="28">
        <f ca="1" t="shared" si="39"/>
        <v>-1257.9938658</v>
      </c>
      <c r="K89" s="28">
        <f ca="1" t="shared" si="39"/>
        <v>-1295.733681774</v>
      </c>
      <c r="L89" s="28">
        <f ca="1" t="shared" si="39"/>
        <v>-1321.64835540948</v>
      </c>
      <c r="N89" t="s">
        <v>66</v>
      </c>
    </row>
    <row r="90" spans="3:12">
      <c r="C90" t="s">
        <v>104</v>
      </c>
      <c r="H90" s="28">
        <f ca="1">SUM(G48:G49)+SUM(G51:G53)-SUM(H48:H49)-SUM(H51:H53)</f>
        <v>-581.01</v>
      </c>
      <c r="I90" s="28">
        <f ca="1" t="shared" ref="I90:L90" si="40">SUM(H48:H49)+SUM(H51:H53)-SUM(I48:I49)-SUM(I51:I53)</f>
        <v>-809.87526</v>
      </c>
      <c r="J90" s="28">
        <f ca="1" t="shared" si="40"/>
        <v>-930.562430999999</v>
      </c>
      <c r="K90" s="28">
        <f ca="1" t="shared" si="40"/>
        <v>-1168.18100181</v>
      </c>
      <c r="L90" s="28">
        <f ca="1" t="shared" si="40"/>
        <v>-1434.5809614306</v>
      </c>
    </row>
    <row r="91" ht="15" spans="3:12">
      <c r="C91" s="42" t="s">
        <v>105</v>
      </c>
      <c r="D91" s="42"/>
      <c r="H91" s="83">
        <f ca="1">IFERROR(H89+H90,"NA")</f>
        <v>-1612.068</v>
      </c>
      <c r="I91" s="83">
        <f ca="1" t="shared" ref="I91:L91" si="41">IFERROR(I89+I90,"NA")</f>
        <v>-2007.964656</v>
      </c>
      <c r="J91" s="83">
        <f ca="1" t="shared" si="41"/>
        <v>-2188.5562968</v>
      </c>
      <c r="K91" s="83">
        <f ca="1" t="shared" si="41"/>
        <v>-2463.914683584</v>
      </c>
      <c r="L91" s="83">
        <f ca="1" t="shared" si="41"/>
        <v>-2756.22931684008</v>
      </c>
    </row>
    <row r="92" spans="8:12">
      <c r="H92" s="55"/>
      <c r="I92" s="55"/>
      <c r="J92" s="55"/>
      <c r="K92" s="55"/>
      <c r="L92" s="55"/>
    </row>
    <row r="93" spans="3:12">
      <c r="C93" t="s">
        <v>106</v>
      </c>
      <c r="H93" s="55">
        <f ca="1">SUM(H60:H62)-SUM(G60:G62)</f>
        <v>66.2939999999999</v>
      </c>
      <c r="I93" s="55">
        <f ca="1" t="shared" ref="I93:L93" si="42">SUM(I60:I62)-SUM(H60:H62)</f>
        <v>381.071628</v>
      </c>
      <c r="J93" s="55">
        <f ca="1" t="shared" si="42"/>
        <v>136.6682814</v>
      </c>
      <c r="K93" s="55">
        <f ca="1" t="shared" si="42"/>
        <v>86.1010172820002</v>
      </c>
      <c r="L93" s="55">
        <f ca="1" t="shared" si="42"/>
        <v>59.1226985336402</v>
      </c>
    </row>
    <row r="94" spans="3:14">
      <c r="C94" t="s">
        <v>107</v>
      </c>
      <c r="H94" s="28">
        <f>H126</f>
        <v>3.7</v>
      </c>
      <c r="I94" s="28">
        <f t="shared" ref="I94:L94" si="43">I126</f>
        <v>3.7</v>
      </c>
      <c r="J94" s="28">
        <f t="shared" si="43"/>
        <v>3.7</v>
      </c>
      <c r="K94" s="28">
        <f t="shared" si="43"/>
        <v>3.7</v>
      </c>
      <c r="L94" s="28">
        <f t="shared" si="43"/>
        <v>3.7</v>
      </c>
      <c r="N94" t="s">
        <v>89</v>
      </c>
    </row>
    <row r="95" spans="3:14">
      <c r="C95" t="s">
        <v>108</v>
      </c>
      <c r="H95" s="28">
        <f>H125</f>
        <v>12.8</v>
      </c>
      <c r="I95" s="28">
        <f t="shared" ref="I95:L95" si="44">I125</f>
        <v>12.8</v>
      </c>
      <c r="J95" s="28">
        <f t="shared" si="44"/>
        <v>12.8</v>
      </c>
      <c r="K95" s="28">
        <f t="shared" si="44"/>
        <v>12.8</v>
      </c>
      <c r="L95" s="28">
        <f t="shared" si="44"/>
        <v>12.8</v>
      </c>
      <c r="N95" t="s">
        <v>89</v>
      </c>
    </row>
    <row r="96" ht="15" spans="3:12">
      <c r="C96" s="42" t="s">
        <v>109</v>
      </c>
      <c r="D96" s="42"/>
      <c r="H96" s="83">
        <f ca="1">SUM(H93:H95)</f>
        <v>82.7939999999999</v>
      </c>
      <c r="I96" s="83">
        <f ca="1" t="shared" ref="I96:L96" si="45">SUM(I93:I95)</f>
        <v>397.571628</v>
      </c>
      <c r="J96" s="83">
        <f ca="1" t="shared" si="45"/>
        <v>153.1682814</v>
      </c>
      <c r="K96" s="83">
        <f ca="1" t="shared" si="45"/>
        <v>102.601017282</v>
      </c>
      <c r="L96" s="83">
        <f ca="1" t="shared" si="45"/>
        <v>75.6226985336402</v>
      </c>
    </row>
    <row r="97" spans="8:12">
      <c r="H97" s="55"/>
      <c r="I97" s="55"/>
      <c r="J97" s="55"/>
      <c r="K97" s="55"/>
      <c r="L97" s="55"/>
    </row>
    <row r="98" ht="15" spans="3:12">
      <c r="C98" s="42" t="s">
        <v>110</v>
      </c>
      <c r="D98" s="42"/>
      <c r="H98" s="82">
        <f ca="1">H87+H91+H96</f>
        <v>109.400928092094</v>
      </c>
      <c r="I98" s="82">
        <f ca="1" t="shared" ref="I98:L98" si="46">I87+I91+I96</f>
        <v>574.280858435862</v>
      </c>
      <c r="J98" s="82">
        <f ca="1" t="shared" si="46"/>
        <v>218.462931980409</v>
      </c>
      <c r="K98" s="82">
        <f ca="1" t="shared" si="46"/>
        <v>30.230137467152</v>
      </c>
      <c r="L98" s="82">
        <f ca="1" t="shared" si="46"/>
        <v>-217.283788880732</v>
      </c>
    </row>
    <row r="100" ht="15" spans="1:12">
      <c r="A100" t="s">
        <v>12</v>
      </c>
      <c r="C100" s="36" t="s">
        <v>111</v>
      </c>
      <c r="D100" s="36"/>
      <c r="E100" s="22"/>
      <c r="F100" s="22"/>
      <c r="G100" s="22"/>
      <c r="H100" s="22"/>
      <c r="I100" s="22"/>
      <c r="J100" s="22"/>
      <c r="K100" s="22"/>
      <c r="L100" s="22"/>
    </row>
    <row r="101" ht="15" spans="3:12">
      <c r="C101" s="68" t="str">
        <f>C14</f>
        <v>Fiscal year  </v>
      </c>
      <c r="D101" s="68"/>
      <c r="E101" s="69"/>
      <c r="F101" s="69">
        <f t="shared" ref="F101:L101" si="47">F14</f>
        <v>2020</v>
      </c>
      <c r="G101" s="69">
        <f t="shared" si="47"/>
        <v>2021</v>
      </c>
      <c r="H101" s="70">
        <f t="shared" si="47"/>
        <v>2022</v>
      </c>
      <c r="I101" s="70">
        <f t="shared" si="47"/>
        <v>2023</v>
      </c>
      <c r="J101" s="70">
        <f t="shared" si="47"/>
        <v>2024</v>
      </c>
      <c r="K101" s="70">
        <f t="shared" si="47"/>
        <v>2025</v>
      </c>
      <c r="L101" s="70">
        <f t="shared" si="47"/>
        <v>2026</v>
      </c>
    </row>
    <row r="102" ht="15" spans="3:12">
      <c r="C102" s="22" t="str">
        <f>C15</f>
        <v>Fiscal year end date</v>
      </c>
      <c r="D102" s="22"/>
      <c r="E102" s="71"/>
      <c r="F102" s="71">
        <f t="shared" ref="F102:L102" si="48">F15</f>
        <v>44196</v>
      </c>
      <c r="G102" s="71">
        <f t="shared" si="48"/>
        <v>44561</v>
      </c>
      <c r="H102" s="71">
        <f t="shared" si="48"/>
        <v>44926</v>
      </c>
      <c r="I102" s="71">
        <f t="shared" si="48"/>
        <v>45291</v>
      </c>
      <c r="J102" s="71">
        <f t="shared" si="48"/>
        <v>45657</v>
      </c>
      <c r="K102" s="71">
        <f t="shared" si="48"/>
        <v>46022</v>
      </c>
      <c r="L102" s="71">
        <f t="shared" si="48"/>
        <v>46387</v>
      </c>
    </row>
    <row r="103" ht="15" spans="3:12">
      <c r="C103" s="42"/>
      <c r="D103" s="42"/>
      <c r="E103" s="42"/>
      <c r="H103" s="90" t="s">
        <v>112</v>
      </c>
      <c r="I103" s="90"/>
      <c r="J103" s="90"/>
      <c r="K103" s="90"/>
      <c r="L103" s="90"/>
    </row>
    <row r="104" ht="15" spans="3:14">
      <c r="C104" s="57" t="s">
        <v>113</v>
      </c>
      <c r="D104" s="57"/>
      <c r="F104" s="30"/>
      <c r="G104" s="30">
        <f t="shared" ref="G104:L104" si="49">F107</f>
        <v>1765</v>
      </c>
      <c r="H104" s="28">
        <f t="shared" si="49"/>
        <v>2251</v>
      </c>
      <c r="I104" s="28">
        <f ca="1" t="shared" si="49"/>
        <v>2751.094</v>
      </c>
      <c r="J104" s="28">
        <f ca="1" t="shared" si="49"/>
        <v>3320.22233404</v>
      </c>
      <c r="K104" s="28">
        <f ca="1" t="shared" si="49"/>
        <v>3905.227146124</v>
      </c>
      <c r="L104" s="28">
        <f ca="1" t="shared" si="49"/>
        <v>4494.82476575278</v>
      </c>
      <c r="N104" t="s">
        <v>114</v>
      </c>
    </row>
    <row r="105" ht="15" spans="3:14">
      <c r="C105" s="136" t="s">
        <v>115</v>
      </c>
      <c r="D105" s="30"/>
      <c r="E105" s="30"/>
      <c r="F105" s="30"/>
      <c r="G105" s="30">
        <v>1002</v>
      </c>
      <c r="H105" s="91">
        <f ca="1">G105*(1+H35)</f>
        <v>1031.058</v>
      </c>
      <c r="I105" s="91">
        <f ca="1">H105*(1+I35)</f>
        <v>1198.089396</v>
      </c>
      <c r="J105" s="91">
        <f ca="1">I105*(1+J35)</f>
        <v>1257.9938658</v>
      </c>
      <c r="K105" s="91">
        <f ca="1">J105*(1+K35)</f>
        <v>1295.733681774</v>
      </c>
      <c r="L105" s="91">
        <f ca="1">K105*(1+L35)</f>
        <v>1321.64835540948</v>
      </c>
      <c r="N105" t="s">
        <v>116</v>
      </c>
    </row>
    <row r="106" ht="15" spans="3:20">
      <c r="C106" s="137" t="s">
        <v>117</v>
      </c>
      <c r="D106" s="93"/>
      <c r="E106" s="93"/>
      <c r="F106" s="93">
        <v>-450</v>
      </c>
      <c r="G106" s="93">
        <v>-516</v>
      </c>
      <c r="H106" s="94">
        <f ca="1">-(H109*H105)</f>
        <v>-530.964</v>
      </c>
      <c r="I106" s="94">
        <f ca="1">-(I109*I105)</f>
        <v>-628.96106196</v>
      </c>
      <c r="J106" s="94">
        <f ca="1">-(J109*J105)</f>
        <v>-672.989053716</v>
      </c>
      <c r="K106" s="94">
        <f ca="1">-(K109*K105)</f>
        <v>-706.13606214522</v>
      </c>
      <c r="L106" s="94">
        <f ca="1">-(L109*L105)</f>
        <v>-733.475266942219</v>
      </c>
      <c r="N106" t="s">
        <v>118</v>
      </c>
      <c r="T106">
        <f>-G106/F107</f>
        <v>0.292351274787535</v>
      </c>
    </row>
    <row r="107" ht="15" spans="3:14">
      <c r="C107" s="95" t="s">
        <v>119</v>
      </c>
      <c r="D107" s="82"/>
      <c r="E107" s="82"/>
      <c r="F107" s="83">
        <f>F50</f>
        <v>1765</v>
      </c>
      <c r="G107" s="83">
        <f>G50</f>
        <v>2251</v>
      </c>
      <c r="H107" s="83">
        <f ca="1">SUM(H104:H106)</f>
        <v>2751.094</v>
      </c>
      <c r="I107" s="83">
        <f ca="1">SUM(I104:I106)</f>
        <v>3320.22233404</v>
      </c>
      <c r="J107" s="83">
        <f ca="1">SUM(J104:J106)</f>
        <v>3905.227146124</v>
      </c>
      <c r="K107" s="83">
        <f ca="1">SUM(K104:K106)</f>
        <v>4494.82476575278</v>
      </c>
      <c r="L107" s="83">
        <f ca="1">SUM(L104:L106)</f>
        <v>5082.99785422004</v>
      </c>
      <c r="N107" t="s">
        <v>120</v>
      </c>
    </row>
    <row r="108" ht="15" spans="3:14">
      <c r="C108" s="57"/>
      <c r="D108" s="57"/>
      <c r="N108" s="64"/>
    </row>
    <row r="109" ht="15" spans="3:18">
      <c r="C109" s="57" t="s">
        <v>121</v>
      </c>
      <c r="D109" s="96"/>
      <c r="E109" s="96"/>
      <c r="F109" s="96"/>
      <c r="G109" s="96">
        <f>-(G106/G105)</f>
        <v>0.514970059880239</v>
      </c>
      <c r="H109" s="65">
        <f>AVERAGE(G109:G109)</f>
        <v>0.514970059880239</v>
      </c>
      <c r="I109" s="65">
        <f>H109+$N$109</f>
        <v>0.524970059880239</v>
      </c>
      <c r="J109" s="65">
        <f t="shared" ref="J109:L109" si="50">I109+$N$109</f>
        <v>0.534970059880239</v>
      </c>
      <c r="K109" s="65">
        <f t="shared" si="50"/>
        <v>0.544970059880239</v>
      </c>
      <c r="L109" s="65">
        <f t="shared" si="50"/>
        <v>0.55497005988024</v>
      </c>
      <c r="N109" s="120">
        <v>0.01</v>
      </c>
      <c r="O109" t="s">
        <v>122</v>
      </c>
      <c r="P109" s="121"/>
      <c r="Q109" s="121"/>
      <c r="R109" s="121"/>
    </row>
    <row r="110" ht="15" spans="3:18">
      <c r="C110" s="57"/>
      <c r="D110" s="57"/>
      <c r="E110" s="96"/>
      <c r="F110" s="96"/>
      <c r="G110" s="96"/>
      <c r="H110" s="65"/>
      <c r="I110" s="65"/>
      <c r="J110" s="65"/>
      <c r="K110" s="65"/>
      <c r="L110" s="65"/>
      <c r="P110" s="121"/>
      <c r="Q110" s="121"/>
      <c r="R110" s="121"/>
    </row>
    <row r="111" ht="15" spans="1:18">
      <c r="A111" t="s">
        <v>12</v>
      </c>
      <c r="C111" s="97"/>
      <c r="D111" s="97"/>
      <c r="E111" s="57"/>
      <c r="F111" s="30"/>
      <c r="G111" s="30"/>
      <c r="H111" s="98"/>
      <c r="I111" s="98"/>
      <c r="J111" s="98"/>
      <c r="K111" s="98"/>
      <c r="L111" s="98"/>
      <c r="P111" s="121"/>
      <c r="Q111" s="121"/>
      <c r="R111" s="121"/>
    </row>
    <row r="112" ht="15" spans="3:18">
      <c r="C112" s="57" t="s">
        <v>123</v>
      </c>
      <c r="D112" s="28"/>
      <c r="E112" s="28"/>
      <c r="F112" s="28"/>
      <c r="G112" s="28"/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N112" t="s">
        <v>124</v>
      </c>
      <c r="P112" s="121"/>
      <c r="Q112" s="121"/>
      <c r="R112" s="121"/>
    </row>
    <row r="113" ht="15" spans="3:14">
      <c r="C113" s="54"/>
      <c r="D113" s="99"/>
      <c r="E113" s="99"/>
      <c r="F113" s="99"/>
      <c r="G113" s="99"/>
      <c r="H113" s="65"/>
      <c r="I113" s="65"/>
      <c r="J113" s="65"/>
      <c r="K113" s="65"/>
      <c r="L113" s="65"/>
      <c r="N113" t="s">
        <v>125</v>
      </c>
    </row>
    <row r="114" ht="15" spans="3:14">
      <c r="C114" s="58" t="s">
        <v>126</v>
      </c>
      <c r="D114" s="82"/>
      <c r="E114" s="83"/>
      <c r="F114" s="83">
        <f>F30</f>
        <v>450</v>
      </c>
      <c r="G114" s="83">
        <f>G30</f>
        <v>516</v>
      </c>
      <c r="H114" s="43">
        <f ca="1">-H106+H112</f>
        <v>530.964</v>
      </c>
      <c r="I114" s="43">
        <f ca="1" t="shared" ref="I114:L114" si="51">-I106+I112</f>
        <v>628.96106196</v>
      </c>
      <c r="J114" s="43">
        <f ca="1" t="shared" si="51"/>
        <v>672.989053716</v>
      </c>
      <c r="K114" s="43">
        <f ca="1" t="shared" si="51"/>
        <v>706.13606214522</v>
      </c>
      <c r="L114" s="43">
        <f ca="1" t="shared" si="51"/>
        <v>733.475266942219</v>
      </c>
      <c r="N114" t="s">
        <v>127</v>
      </c>
    </row>
    <row r="115" spans="3:12">
      <c r="C115" s="57"/>
      <c r="D115" s="57"/>
      <c r="E115" s="55"/>
      <c r="F115" s="55"/>
      <c r="G115" s="55"/>
      <c r="I115" s="55"/>
      <c r="J115" s="55"/>
      <c r="K115" s="55"/>
      <c r="L115" s="55"/>
    </row>
    <row r="116" ht="15" spans="1:12">
      <c r="A116" t="s">
        <v>12</v>
      </c>
      <c r="C116" s="100" t="s">
        <v>128</v>
      </c>
      <c r="D116" s="100"/>
      <c r="E116" s="22"/>
      <c r="F116" s="22"/>
      <c r="G116" s="22"/>
      <c r="I116" s="55"/>
      <c r="J116" s="55"/>
      <c r="K116" s="55"/>
      <c r="L116" s="55"/>
    </row>
    <row r="117" ht="15" spans="3:14">
      <c r="C117" s="57" t="s">
        <v>113</v>
      </c>
      <c r="D117" s="57"/>
      <c r="E117" s="55"/>
      <c r="H117" s="101">
        <f>G120</f>
        <v>832</v>
      </c>
      <c r="I117" s="101">
        <f ca="1">H120</f>
        <v>856.128</v>
      </c>
      <c r="J117" s="101">
        <f ca="1">I120</f>
        <v>994.820736</v>
      </c>
      <c r="K117" s="101">
        <f ca="1">J120</f>
        <v>1044.5617728</v>
      </c>
      <c r="L117" s="101">
        <f ca="1">K120</f>
        <v>1075.898625984</v>
      </c>
      <c r="N117" t="s">
        <v>114</v>
      </c>
    </row>
    <row r="118" spans="3:14">
      <c r="C118" s="102" t="s">
        <v>129</v>
      </c>
      <c r="D118" s="54"/>
      <c r="H118" s="28">
        <f>-(H112)</f>
        <v>0</v>
      </c>
      <c r="I118" s="28">
        <f>-(I112)</f>
        <v>0</v>
      </c>
      <c r="J118" s="28">
        <f>-(J112)</f>
        <v>0</v>
      </c>
      <c r="K118" s="28">
        <f>-(K112)</f>
        <v>0</v>
      </c>
      <c r="L118" s="28">
        <f>-(L112)</f>
        <v>0</v>
      </c>
      <c r="N118" t="s">
        <v>130</v>
      </c>
    </row>
    <row r="119" ht="15" customHeight="1" spans="3:14">
      <c r="C119" s="92" t="s">
        <v>131</v>
      </c>
      <c r="D119" s="92"/>
      <c r="E119" s="103"/>
      <c r="F119" s="103"/>
      <c r="G119" s="103"/>
      <c r="H119" s="104">
        <f ca="1">H120-H118-H117</f>
        <v>24.1279999999999</v>
      </c>
      <c r="I119" s="104">
        <f ca="1">I120-I118-I117</f>
        <v>138.692736</v>
      </c>
      <c r="J119" s="104">
        <f ca="1">J120-J118-J117</f>
        <v>49.7410368000001</v>
      </c>
      <c r="K119" s="104">
        <f ca="1">K120-K118-K117</f>
        <v>31.3368531840001</v>
      </c>
      <c r="L119" s="104">
        <f ca="1">L120-L118-L117</f>
        <v>21.5179725196799</v>
      </c>
      <c r="N119" t="s">
        <v>132</v>
      </c>
    </row>
    <row r="120" ht="15" spans="3:14">
      <c r="C120" s="95" t="s">
        <v>119</v>
      </c>
      <c r="D120" s="82"/>
      <c r="E120" s="82"/>
      <c r="F120" s="83">
        <f t="shared" ref="F120:L120" si="52">F54</f>
        <v>749</v>
      </c>
      <c r="G120" s="83">
        <f t="shared" si="52"/>
        <v>832</v>
      </c>
      <c r="H120" s="83">
        <f ca="1" t="shared" si="52"/>
        <v>856.128</v>
      </c>
      <c r="I120" s="83">
        <f ca="1" t="shared" si="52"/>
        <v>994.820736</v>
      </c>
      <c r="J120" s="83">
        <f ca="1" t="shared" si="52"/>
        <v>1044.5617728</v>
      </c>
      <c r="K120" s="83">
        <f ca="1" t="shared" si="52"/>
        <v>1075.898625984</v>
      </c>
      <c r="L120" s="83">
        <f ca="1" t="shared" si="52"/>
        <v>1097.41659850368</v>
      </c>
      <c r="N120" t="s">
        <v>133</v>
      </c>
    </row>
    <row r="121" spans="3:12">
      <c r="C121" s="54"/>
      <c r="D121" s="54"/>
      <c r="F121" s="55"/>
      <c r="G121" s="55"/>
      <c r="I121" s="55"/>
      <c r="J121" s="55"/>
      <c r="K121" s="55"/>
      <c r="L121" s="55"/>
    </row>
    <row r="122" ht="15" spans="1:12">
      <c r="A122" t="s">
        <v>12</v>
      </c>
      <c r="C122" s="105" t="s">
        <v>134</v>
      </c>
      <c r="D122" s="105"/>
      <c r="E122" s="100"/>
      <c r="F122" s="100"/>
      <c r="G122" s="100"/>
      <c r="H122" s="22"/>
      <c r="I122" s="22"/>
      <c r="J122" s="22"/>
      <c r="K122" s="22"/>
      <c r="L122" s="22"/>
    </row>
    <row r="123" spans="3:14">
      <c r="C123" s="57" t="s">
        <v>113</v>
      </c>
      <c r="D123" s="57"/>
      <c r="G123" s="28">
        <f t="shared" ref="G123:H123" si="53">F127</f>
        <v>2105</v>
      </c>
      <c r="H123" s="28">
        <f t="shared" si="53"/>
        <v>2892</v>
      </c>
      <c r="I123" s="28">
        <f ca="1" t="shared" ref="I123" si="54">H127</f>
        <v>3987.11598841017</v>
      </c>
      <c r="J123" s="28">
        <f ca="1" t="shared" ref="J123" si="55">I127</f>
        <v>5407.41079517928</v>
      </c>
      <c r="K123" s="28">
        <f ca="1" t="shared" ref="K123" si="56">J127</f>
        <v>6976.21190226988</v>
      </c>
      <c r="L123" s="28">
        <f ca="1" t="shared" ref="L123" si="57">K127</f>
        <v>8673.19398870942</v>
      </c>
      <c r="N123" t="s">
        <v>114</v>
      </c>
    </row>
    <row r="124" ht="15" spans="3:14">
      <c r="C124" s="54" t="s">
        <v>135</v>
      </c>
      <c r="D124" s="81"/>
      <c r="E124" s="81"/>
      <c r="F124" s="81">
        <f t="shared" ref="F124:L124" si="58">F28</f>
        <v>784</v>
      </c>
      <c r="G124" s="41">
        <f t="shared" si="58"/>
        <v>990</v>
      </c>
      <c r="H124" s="41">
        <f ca="1" t="shared" si="58"/>
        <v>1078.61598841017</v>
      </c>
      <c r="I124" s="41">
        <f ca="1" t="shared" si="58"/>
        <v>1403.79480676911</v>
      </c>
      <c r="J124" s="41">
        <f ca="1" t="shared" si="58"/>
        <v>1552.30110709059</v>
      </c>
      <c r="K124" s="41">
        <f ca="1" t="shared" si="58"/>
        <v>1680.48208643954</v>
      </c>
      <c r="L124" s="41">
        <f ca="1" t="shared" si="58"/>
        <v>1705.59757450055</v>
      </c>
      <c r="N124" t="s">
        <v>136</v>
      </c>
    </row>
    <row r="125" ht="15" spans="3:14">
      <c r="C125" s="54" t="s">
        <v>137</v>
      </c>
      <c r="D125" s="52"/>
      <c r="E125" s="52"/>
      <c r="F125" s="52"/>
      <c r="G125" s="30">
        <v>12.8</v>
      </c>
      <c r="H125" s="28">
        <f>G125</f>
        <v>12.8</v>
      </c>
      <c r="I125" s="28">
        <f t="shared" ref="I125:L125" si="59">H125</f>
        <v>12.8</v>
      </c>
      <c r="J125" s="28">
        <f t="shared" si="59"/>
        <v>12.8</v>
      </c>
      <c r="K125" s="28">
        <f t="shared" si="59"/>
        <v>12.8</v>
      </c>
      <c r="L125" s="28">
        <f t="shared" si="59"/>
        <v>12.8</v>
      </c>
      <c r="N125" t="s">
        <v>138</v>
      </c>
    </row>
    <row r="126" ht="15" spans="3:14">
      <c r="C126" s="92" t="s">
        <v>139</v>
      </c>
      <c r="D126" s="106"/>
      <c r="E126" s="106"/>
      <c r="F126" s="106"/>
      <c r="G126" s="93">
        <v>3.7</v>
      </c>
      <c r="H126" s="94">
        <f>G126</f>
        <v>3.7</v>
      </c>
      <c r="I126" s="94">
        <f t="shared" ref="I126:L126" si="60">H126</f>
        <v>3.7</v>
      </c>
      <c r="J126" s="94">
        <f t="shared" si="60"/>
        <v>3.7</v>
      </c>
      <c r="K126" s="94">
        <f t="shared" si="60"/>
        <v>3.7</v>
      </c>
      <c r="L126" s="94">
        <f t="shared" si="60"/>
        <v>3.7</v>
      </c>
      <c r="N126" t="s">
        <v>138</v>
      </c>
    </row>
    <row r="127" ht="15" spans="3:14">
      <c r="C127" s="95" t="s">
        <v>119</v>
      </c>
      <c r="D127" s="53"/>
      <c r="E127" s="53"/>
      <c r="F127" s="53">
        <f>F69</f>
        <v>2105</v>
      </c>
      <c r="G127" s="43">
        <f>G69</f>
        <v>2892</v>
      </c>
      <c r="H127" s="43">
        <f ca="1">SUM(H123:H126)</f>
        <v>3987.11598841017</v>
      </c>
      <c r="I127" s="43">
        <f ca="1" t="shared" ref="I127:L127" si="61">SUM(I123:I126)</f>
        <v>5407.41079517928</v>
      </c>
      <c r="J127" s="43">
        <f ca="1" t="shared" si="61"/>
        <v>6976.21190226988</v>
      </c>
      <c r="K127" s="43">
        <f ca="1" t="shared" si="61"/>
        <v>8673.19398870942</v>
      </c>
      <c r="L127" s="43">
        <f ca="1" t="shared" si="61"/>
        <v>10395.29156321</v>
      </c>
      <c r="N127" t="s">
        <v>140</v>
      </c>
    </row>
    <row r="128" spans="6:7">
      <c r="F128" s="86"/>
      <c r="G128" s="86"/>
    </row>
    <row r="129" ht="15" spans="3:7">
      <c r="C129" s="107" t="s">
        <v>141</v>
      </c>
      <c r="D129" s="107"/>
      <c r="F129" s="55"/>
      <c r="G129" s="55"/>
    </row>
    <row r="130" ht="15" customHeight="1" spans="3:14">
      <c r="C130" s="54" t="s">
        <v>142</v>
      </c>
      <c r="D130" s="108"/>
      <c r="E130" s="109"/>
      <c r="F130" s="109"/>
      <c r="G130" s="109">
        <v>0.0077</v>
      </c>
      <c r="H130" s="110">
        <f>G130</f>
        <v>0.0077</v>
      </c>
      <c r="I130" s="110">
        <f>H130</f>
        <v>0.0077</v>
      </c>
      <c r="J130" s="110">
        <f>I130</f>
        <v>0.0077</v>
      </c>
      <c r="K130" s="110">
        <f>J130</f>
        <v>0.0077</v>
      </c>
      <c r="L130" s="110">
        <f>K130</f>
        <v>0.0077</v>
      </c>
      <c r="N130" t="s">
        <v>143</v>
      </c>
    </row>
    <row r="131" ht="15" customHeight="1" spans="3:14">
      <c r="C131" s="54" t="s">
        <v>144</v>
      </c>
      <c r="D131" s="55"/>
      <c r="E131" s="30">
        <v>39</v>
      </c>
      <c r="F131" s="30">
        <v>43</v>
      </c>
      <c r="G131" s="30">
        <v>60</v>
      </c>
      <c r="H131" s="41">
        <v>0</v>
      </c>
      <c r="I131" s="41">
        <v>0</v>
      </c>
      <c r="J131" s="41">
        <v>0</v>
      </c>
      <c r="K131" s="41">
        <v>0</v>
      </c>
      <c r="L131" s="41">
        <v>0</v>
      </c>
      <c r="N131" t="s">
        <v>145</v>
      </c>
    </row>
    <row r="132" ht="15" spans="3:12">
      <c r="C132" s="111"/>
      <c r="D132" s="111"/>
      <c r="E132" s="99"/>
      <c r="F132" s="99"/>
      <c r="G132" s="99"/>
      <c r="H132" s="94"/>
      <c r="I132" s="94"/>
      <c r="J132" s="94"/>
      <c r="K132" s="94"/>
      <c r="L132" s="138" t="s">
        <v>146</v>
      </c>
    </row>
    <row r="133" ht="15" spans="14:14">
      <c r="N133" s="64"/>
    </row>
    <row r="134" ht="15" spans="1:12">
      <c r="A134" t="s">
        <v>12</v>
      </c>
      <c r="C134" s="36" t="s">
        <v>147</v>
      </c>
      <c r="D134" s="36"/>
      <c r="E134" s="36"/>
      <c r="F134" s="36"/>
      <c r="G134" s="36"/>
      <c r="H134" s="36"/>
      <c r="I134" s="36"/>
      <c r="J134" s="36"/>
      <c r="K134" s="36"/>
      <c r="L134" s="36"/>
    </row>
    <row r="135" ht="15"/>
    <row r="136" ht="15.75" spans="3:12">
      <c r="C136" t="s">
        <v>148</v>
      </c>
      <c r="D136" s="112" t="str">
        <f>L5</f>
        <v>Base case</v>
      </c>
      <c r="G136" s="113" t="s">
        <v>149</v>
      </c>
      <c r="H136" s="70">
        <f t="shared" ref="H136:L137" si="62">H14</f>
        <v>2022</v>
      </c>
      <c r="I136" s="70">
        <f t="shared" si="62"/>
        <v>2023</v>
      </c>
      <c r="J136" s="70">
        <f t="shared" si="62"/>
        <v>2024</v>
      </c>
      <c r="K136" s="70">
        <f t="shared" si="62"/>
        <v>2025</v>
      </c>
      <c r="L136" s="70">
        <f t="shared" si="62"/>
        <v>2026</v>
      </c>
    </row>
    <row r="137" ht="15" spans="7:12">
      <c r="G137" s="114" t="s">
        <v>150</v>
      </c>
      <c r="H137" s="71">
        <f t="shared" si="62"/>
        <v>44926</v>
      </c>
      <c r="I137" s="71">
        <f t="shared" si="62"/>
        <v>45291</v>
      </c>
      <c r="J137" s="71">
        <f t="shared" si="62"/>
        <v>45657</v>
      </c>
      <c r="K137" s="71">
        <f t="shared" si="62"/>
        <v>46022</v>
      </c>
      <c r="L137" s="71">
        <f t="shared" si="62"/>
        <v>46387</v>
      </c>
    </row>
    <row r="138" spans="3:12">
      <c r="C138" s="54" t="s">
        <v>46</v>
      </c>
      <c r="G138" s="115" t="str">
        <f ca="1" t="shared" ref="G138:L138" si="63">OFFSET(G$143,MATCH($L$5,$C$144:$C$146,0)+MATCH($C138,$C$143:$C$158,0)-1,0)</f>
        <v>NM</v>
      </c>
      <c r="H138" s="96">
        <f ca="1" t="shared" si="63"/>
        <v>0.029</v>
      </c>
      <c r="I138" s="96">
        <f ca="1" t="shared" si="63"/>
        <v>0.162</v>
      </c>
      <c r="J138" s="96">
        <f ca="1" t="shared" si="63"/>
        <v>0.05</v>
      </c>
      <c r="K138" s="96">
        <f ca="1" t="shared" si="63"/>
        <v>0.03</v>
      </c>
      <c r="L138" s="96">
        <f ca="1" t="shared" si="63"/>
        <v>0.02</v>
      </c>
    </row>
    <row r="139" spans="3:12">
      <c r="C139" s="54" t="s">
        <v>49</v>
      </c>
      <c r="G139" s="115" t="str">
        <f ca="1">OFFSET(G$143,MATCH($L$5,$C$144:$C$146,0)+MATCH($C139,$C$143:$C$158,0)-1,0)</f>
        <v>NM</v>
      </c>
      <c r="H139" s="96">
        <f ca="1">OFFSET(H$143,MATCH($L$5,$C$148:$C$150,0)+MATCH($C139,$C$143:$C$158,0)-1,0)</f>
        <v>0.215</v>
      </c>
      <c r="I139" s="96">
        <f ca="1">OFFSET(I$143,MATCH($L$5,$C$148:$C$150,0)+MATCH($C139,$C$143:$C$158,0)-1,0)</f>
        <v>0.22</v>
      </c>
      <c r="J139" s="96">
        <f ca="1">OFFSET(J$143,MATCH($L$5,$C$148:$C$150,0)+MATCH($C139,$C$143:$C$158,0)-1,0)</f>
        <v>0.23</v>
      </c>
      <c r="K139" s="96">
        <f ca="1">OFFSET(K$143,MATCH($L$5,$C$148:$C$150,0)+MATCH($C139,$C$143:$C$158,0)-1,0)</f>
        <v>0.24</v>
      </c>
      <c r="L139" s="96">
        <f ca="1">OFFSET(L$143,MATCH($L$5,$C$148:$C$150,0)+MATCH($C139,$C$143:$C$158,0)-1,0)</f>
        <v>0.24</v>
      </c>
    </row>
    <row r="140" spans="3:12">
      <c r="C140" s="54" t="s">
        <v>51</v>
      </c>
      <c r="G140" s="115" t="str">
        <f ca="1">OFFSET(G$143,MATCH($L$5,$C$144:$C$146,0)+MATCH($C140,$C$143:$C$158,0)-1,0)</f>
        <v>NM</v>
      </c>
      <c r="H140" s="96">
        <f ca="1" t="shared" ref="H140:L141" si="64">OFFSET(H$143,MATCH($L$5,$C$144:$C$146,0)+MATCH($C140,$C$143:$C$158,0)-1,0)</f>
        <v>0.02</v>
      </c>
      <c r="I140" s="96">
        <f ca="1" t="shared" si="64"/>
        <v>0.02</v>
      </c>
      <c r="J140" s="96">
        <f ca="1" t="shared" si="64"/>
        <v>0.02</v>
      </c>
      <c r="K140" s="96">
        <f ca="1" t="shared" si="64"/>
        <v>0.02</v>
      </c>
      <c r="L140" s="96">
        <f ca="1" t="shared" si="64"/>
        <v>0.02</v>
      </c>
    </row>
    <row r="141" spans="3:12">
      <c r="C141" s="54" t="s">
        <v>52</v>
      </c>
      <c r="G141" s="115" t="str">
        <f ca="1">OFFSET(G$143,MATCH($L$5,$C$144:$C$146,0)+MATCH($C141,$C$143:$C$158,0)-1,0)</f>
        <v>NM</v>
      </c>
      <c r="H141" s="96">
        <f ca="1" t="shared" si="64"/>
        <v>0.055</v>
      </c>
      <c r="I141" s="96">
        <f ca="1" t="shared" si="64"/>
        <v>0.055</v>
      </c>
      <c r="J141" s="96">
        <f ca="1" t="shared" si="64"/>
        <v>0.055</v>
      </c>
      <c r="K141" s="96">
        <f ca="1" t="shared" si="64"/>
        <v>0.055</v>
      </c>
      <c r="L141" s="96">
        <f ca="1" t="shared" si="64"/>
        <v>0.055</v>
      </c>
    </row>
    <row r="142" spans="7:7">
      <c r="G142" s="116"/>
    </row>
    <row r="143" ht="15" spans="3:7">
      <c r="C143" s="95" t="s">
        <v>46</v>
      </c>
      <c r="G143" s="116"/>
    </row>
    <row r="144" ht="15" spans="3:12">
      <c r="C144" s="117" t="s">
        <v>151</v>
      </c>
      <c r="G144" s="118">
        <v>0.03</v>
      </c>
      <c r="H144" s="65">
        <f>H145+$G$144</f>
        <v>0.059</v>
      </c>
      <c r="I144" s="65">
        <f t="shared" ref="I144:L144" si="65">I145+$G$144</f>
        <v>0.192</v>
      </c>
      <c r="J144" s="65">
        <f t="shared" si="65"/>
        <v>0.08</v>
      </c>
      <c r="K144" s="65">
        <f t="shared" si="65"/>
        <v>0.06</v>
      </c>
      <c r="L144" s="65">
        <f t="shared" si="65"/>
        <v>0.05</v>
      </c>
    </row>
    <row r="145" ht="15" spans="3:12">
      <c r="C145" s="117" t="s">
        <v>4</v>
      </c>
      <c r="G145" s="119" t="s">
        <v>152</v>
      </c>
      <c r="H145" s="87">
        <v>0.029</v>
      </c>
      <c r="I145" s="87">
        <v>0.162</v>
      </c>
      <c r="J145" s="87">
        <v>0.05</v>
      </c>
      <c r="K145" s="87">
        <v>0.03</v>
      </c>
      <c r="L145" s="87">
        <v>0.02</v>
      </c>
    </row>
    <row r="146" ht="15" spans="3:12">
      <c r="C146" s="117" t="s">
        <v>153</v>
      </c>
      <c r="G146" s="118">
        <v>-0.03</v>
      </c>
      <c r="H146" s="65">
        <f>H145+$G$146</f>
        <v>-0.000999999999999997</v>
      </c>
      <c r="I146" s="65">
        <f t="shared" ref="I146:L146" si="66">I145+$G$146</f>
        <v>0.132</v>
      </c>
      <c r="J146" s="65">
        <f t="shared" si="66"/>
        <v>0.02</v>
      </c>
      <c r="K146" s="65">
        <f t="shared" si="66"/>
        <v>0</v>
      </c>
      <c r="L146" s="65">
        <f t="shared" si="66"/>
        <v>-0.01</v>
      </c>
    </row>
    <row r="147" ht="15" spans="3:12">
      <c r="C147" s="95" t="s">
        <v>49</v>
      </c>
      <c r="G147" s="119"/>
      <c r="H147" s="87"/>
      <c r="I147" s="87"/>
      <c r="J147" s="87"/>
      <c r="K147" s="87"/>
      <c r="L147" s="87"/>
    </row>
    <row r="148" ht="15" spans="3:12">
      <c r="C148" s="117" t="s">
        <v>151</v>
      </c>
      <c r="G148" s="118">
        <v>0.01</v>
      </c>
      <c r="H148" s="65">
        <f>H149+$G$148</f>
        <v>0.225</v>
      </c>
      <c r="I148" s="65">
        <f t="shared" ref="I148:L148" si="67">I149+$G$148</f>
        <v>0.23</v>
      </c>
      <c r="J148" s="65">
        <f t="shared" si="67"/>
        <v>0.24</v>
      </c>
      <c r="K148" s="65">
        <f t="shared" si="67"/>
        <v>0.25</v>
      </c>
      <c r="L148" s="65">
        <f t="shared" si="67"/>
        <v>0.25</v>
      </c>
    </row>
    <row r="149" ht="15" spans="3:12">
      <c r="C149" s="117" t="s">
        <v>4</v>
      </c>
      <c r="G149" s="119" t="s">
        <v>152</v>
      </c>
      <c r="H149" s="87">
        <v>0.215</v>
      </c>
      <c r="I149" s="87">
        <v>0.22</v>
      </c>
      <c r="J149" s="87">
        <v>0.23</v>
      </c>
      <c r="K149" s="87">
        <v>0.24</v>
      </c>
      <c r="L149" s="87">
        <v>0.24</v>
      </c>
    </row>
    <row r="150" ht="15" spans="3:12">
      <c r="C150" s="117" t="s">
        <v>153</v>
      </c>
      <c r="G150" s="118">
        <v>-0.01</v>
      </c>
      <c r="H150" s="65">
        <f>H149+$G$150</f>
        <v>0.205</v>
      </c>
      <c r="I150" s="65">
        <f t="shared" ref="I150:L150" si="68">I149+$G$150</f>
        <v>0.21</v>
      </c>
      <c r="J150" s="65">
        <f t="shared" si="68"/>
        <v>0.22</v>
      </c>
      <c r="K150" s="65">
        <f t="shared" si="68"/>
        <v>0.23</v>
      </c>
      <c r="L150" s="65">
        <f t="shared" si="68"/>
        <v>0.23</v>
      </c>
    </row>
    <row r="151" ht="15" spans="3:12">
      <c r="C151" s="95" t="s">
        <v>51</v>
      </c>
      <c r="G151" s="119"/>
      <c r="H151" s="122"/>
      <c r="I151" s="122"/>
      <c r="J151" s="122"/>
      <c r="K151" s="122"/>
      <c r="L151" s="122"/>
    </row>
    <row r="152" ht="15" spans="3:12">
      <c r="C152" s="117" t="s">
        <v>151</v>
      </c>
      <c r="G152" s="118">
        <v>-0.02</v>
      </c>
      <c r="H152" s="65">
        <f>H153+$G$152</f>
        <v>0</v>
      </c>
      <c r="I152" s="65">
        <f t="shared" ref="I152:L152" si="69">I153+$G$152</f>
        <v>0</v>
      </c>
      <c r="J152" s="65">
        <f t="shared" si="69"/>
        <v>0</v>
      </c>
      <c r="K152" s="65">
        <f t="shared" si="69"/>
        <v>0</v>
      </c>
      <c r="L152" s="65">
        <f t="shared" si="69"/>
        <v>0</v>
      </c>
    </row>
    <row r="153" ht="15" spans="3:12">
      <c r="C153" s="117" t="s">
        <v>4</v>
      </c>
      <c r="G153" s="119" t="s">
        <v>152</v>
      </c>
      <c r="H153" s="87">
        <v>0.02</v>
      </c>
      <c r="I153" s="87">
        <v>0.02</v>
      </c>
      <c r="J153" s="87">
        <v>0.02</v>
      </c>
      <c r="K153" s="87">
        <v>0.02</v>
      </c>
      <c r="L153" s="87">
        <v>0.02</v>
      </c>
    </row>
    <row r="154" ht="15" spans="3:12">
      <c r="C154" s="117" t="s">
        <v>153</v>
      </c>
      <c r="G154" s="118">
        <v>0.02</v>
      </c>
      <c r="H154" s="65">
        <f>H153+$G$154</f>
        <v>0.04</v>
      </c>
      <c r="I154" s="65">
        <f t="shared" ref="I154:L154" si="70">I153+$G$154</f>
        <v>0.04</v>
      </c>
      <c r="J154" s="65">
        <f t="shared" si="70"/>
        <v>0.04</v>
      </c>
      <c r="K154" s="65">
        <f t="shared" si="70"/>
        <v>0.04</v>
      </c>
      <c r="L154" s="65">
        <f t="shared" si="70"/>
        <v>0.04</v>
      </c>
    </row>
    <row r="155" ht="15" spans="3:12">
      <c r="C155" s="95" t="s">
        <v>52</v>
      </c>
      <c r="G155" s="119"/>
      <c r="H155" s="122"/>
      <c r="I155" s="122"/>
      <c r="J155" s="122"/>
      <c r="K155" s="122"/>
      <c r="L155" s="122"/>
    </row>
    <row r="156" ht="15" spans="3:12">
      <c r="C156" s="117" t="s">
        <v>151</v>
      </c>
      <c r="G156" s="118">
        <v>-0.02</v>
      </c>
      <c r="H156" s="65">
        <f>H157+$G$156</f>
        <v>0.035</v>
      </c>
      <c r="I156" s="65">
        <f t="shared" ref="I156:L156" si="71">I157+$G$156</f>
        <v>0.035</v>
      </c>
      <c r="J156" s="65">
        <f t="shared" si="71"/>
        <v>0.035</v>
      </c>
      <c r="K156" s="65">
        <f t="shared" si="71"/>
        <v>0.035</v>
      </c>
      <c r="L156" s="65">
        <f t="shared" si="71"/>
        <v>0.035</v>
      </c>
    </row>
    <row r="157" ht="15" spans="3:12">
      <c r="C157" s="117" t="s">
        <v>4</v>
      </c>
      <c r="G157" s="119" t="s">
        <v>152</v>
      </c>
      <c r="H157" s="87">
        <v>0.055</v>
      </c>
      <c r="I157" s="87">
        <v>0.055</v>
      </c>
      <c r="J157" s="87">
        <v>0.055</v>
      </c>
      <c r="K157" s="87">
        <v>0.055</v>
      </c>
      <c r="L157" s="87">
        <v>0.055</v>
      </c>
    </row>
    <row r="158" ht="15.75" spans="3:12">
      <c r="C158" s="117" t="s">
        <v>153</v>
      </c>
      <c r="G158" s="123">
        <v>0.02</v>
      </c>
      <c r="H158" s="65">
        <f>H157+$G$158</f>
        <v>0.075</v>
      </c>
      <c r="I158" s="65">
        <f t="shared" ref="I158:L158" si="72">I157+$G$158</f>
        <v>0.075</v>
      </c>
      <c r="J158" s="65">
        <f t="shared" si="72"/>
        <v>0.075</v>
      </c>
      <c r="K158" s="65">
        <f t="shared" si="72"/>
        <v>0.075</v>
      </c>
      <c r="L158" s="65">
        <f t="shared" si="72"/>
        <v>0.075</v>
      </c>
    </row>
    <row r="162" ht="15" spans="3:11">
      <c r="C162" s="36" t="s">
        <v>154</v>
      </c>
      <c r="D162" s="36"/>
      <c r="E162" s="36"/>
      <c r="F162" s="36"/>
      <c r="G162" s="36"/>
      <c r="H162" s="36"/>
      <c r="I162" s="36"/>
      <c r="J162" s="36"/>
      <c r="K162" s="36"/>
    </row>
    <row r="163" ht="15" spans="3:3">
      <c r="C163" s="42"/>
    </row>
    <row r="164" ht="15.75" spans="3:9">
      <c r="C164" s="124" t="s">
        <v>155</v>
      </c>
      <c r="D164" s="125"/>
      <c r="E164" s="125"/>
      <c r="F164" s="125"/>
      <c r="G164" s="125"/>
      <c r="H164" s="125"/>
      <c r="I164" s="125"/>
    </row>
    <row r="165" ht="15" spans="4:9">
      <c r="D165" s="42"/>
      <c r="E165" s="126" t="s">
        <v>156</v>
      </c>
      <c r="F165" s="127"/>
      <c r="G165" s="127"/>
      <c r="H165" s="127"/>
      <c r="I165" s="127"/>
    </row>
    <row r="166" ht="15.75" customHeight="1" spans="4:9">
      <c r="D166" s="128">
        <f ca="1">H28</f>
        <v>1078.61598841017</v>
      </c>
      <c r="E166" s="129">
        <v>0.09</v>
      </c>
      <c r="F166" s="129">
        <v>0.07</v>
      </c>
      <c r="G166" s="129">
        <v>0.05</v>
      </c>
      <c r="H166" s="129">
        <v>0.03</v>
      </c>
      <c r="I166" s="129">
        <v>0.01</v>
      </c>
    </row>
    <row r="167" ht="15" spans="3:9">
      <c r="C167" s="130"/>
      <c r="D167" s="131">
        <v>0.24</v>
      </c>
      <c r="E167" s="132">
        <v>1328.9490939752</v>
      </c>
      <c r="F167" s="132">
        <v>1305.86724853333</v>
      </c>
      <c r="G167" s="132">
        <v>1282.78540309146</v>
      </c>
      <c r="H167" s="132">
        <v>1259.70355764959</v>
      </c>
      <c r="I167" s="132">
        <v>1236.62171220771</v>
      </c>
    </row>
    <row r="168" ht="15" spans="3:9">
      <c r="C168" s="133" t="s">
        <v>157</v>
      </c>
      <c r="D168" s="131">
        <v>0.23</v>
      </c>
      <c r="E168" s="132">
        <v>1252.70905903084</v>
      </c>
      <c r="F168" s="132">
        <v>1231.02611331271</v>
      </c>
      <c r="G168" s="132">
        <v>1209.34316759459</v>
      </c>
      <c r="H168" s="132">
        <v>1187.66022187647</v>
      </c>
      <c r="I168" s="132">
        <v>1165.97727615835</v>
      </c>
    </row>
    <row r="169" ht="15" spans="3:9">
      <c r="C169" s="133" t="s">
        <v>158</v>
      </c>
      <c r="D169" s="131">
        <v>0.22</v>
      </c>
      <c r="E169" s="132">
        <v>1176.46902408647</v>
      </c>
      <c r="F169" s="132">
        <v>1156.1849780921</v>
      </c>
      <c r="G169" s="132">
        <v>1135.90093209773</v>
      </c>
      <c r="H169" s="132">
        <v>1115.61688610335</v>
      </c>
      <c r="I169" s="132">
        <v>1095.33284010898</v>
      </c>
    </row>
    <row r="170" ht="15" spans="3:9">
      <c r="C170" s="133" t="s">
        <v>159</v>
      </c>
      <c r="D170" s="131">
        <v>0.21</v>
      </c>
      <c r="E170" s="132">
        <v>1100.22898914211</v>
      </c>
      <c r="F170" s="132">
        <v>1081.34384287148</v>
      </c>
      <c r="G170" s="132">
        <v>1062.45869660086</v>
      </c>
      <c r="H170" s="132">
        <v>1043.57355033024</v>
      </c>
      <c r="I170" s="132">
        <v>1024.68840405961</v>
      </c>
    </row>
    <row r="171" ht="15" spans="4:9">
      <c r="D171" s="131">
        <v>0.2</v>
      </c>
      <c r="E171" s="132">
        <v>1023.98895419774</v>
      </c>
      <c r="F171" s="132">
        <v>1006.50270765087</v>
      </c>
      <c r="G171" s="132">
        <v>989.016461103995</v>
      </c>
      <c r="H171" s="132">
        <v>971.530214557122</v>
      </c>
      <c r="I171" s="132">
        <v>954.043968010249</v>
      </c>
    </row>
    <row r="172" ht="15" spans="4:9">
      <c r="D172" s="131">
        <v>0.19</v>
      </c>
      <c r="E172" s="132">
        <v>947.748919253374</v>
      </c>
      <c r="F172" s="132">
        <v>931.661572430252</v>
      </c>
      <c r="G172" s="132">
        <v>915.574225607128</v>
      </c>
      <c r="H172" s="132">
        <v>899.486878784005</v>
      </c>
      <c r="I172" s="132">
        <v>883.399531960883</v>
      </c>
    </row>
    <row r="175" ht="15.75" spans="3:9">
      <c r="C175" s="124" t="s">
        <v>155</v>
      </c>
      <c r="D175" s="125"/>
      <c r="E175" s="125"/>
      <c r="F175" s="125"/>
      <c r="G175" s="125"/>
      <c r="H175" s="125"/>
      <c r="I175" s="125"/>
    </row>
    <row r="176" ht="15" spans="4:9">
      <c r="D176" s="42"/>
      <c r="E176" s="126" t="s">
        <v>156</v>
      </c>
      <c r="F176" s="127"/>
      <c r="G176" s="127"/>
      <c r="H176" s="127"/>
      <c r="I176" s="127"/>
    </row>
    <row r="177" ht="15.75" spans="4:9">
      <c r="D177" s="128">
        <f ca="1">H28</f>
        <v>1078.61598841017</v>
      </c>
      <c r="E177" s="129">
        <v>0.09</v>
      </c>
      <c r="F177" s="129">
        <v>0.07</v>
      </c>
      <c r="G177" s="129">
        <v>0.05</v>
      </c>
      <c r="H177" s="129">
        <v>0.03</v>
      </c>
      <c r="I177" s="129">
        <v>0.01</v>
      </c>
    </row>
    <row r="178" ht="15" spans="3:9">
      <c r="C178" s="130"/>
      <c r="D178" s="131">
        <v>0.07</v>
      </c>
      <c r="E178" s="132">
        <v>1023.98895419774</v>
      </c>
      <c r="F178" s="132">
        <v>1006.50270765087</v>
      </c>
      <c r="G178" s="132">
        <v>989.016461103994</v>
      </c>
      <c r="H178" s="132">
        <v>971.530214557121</v>
      </c>
      <c r="I178" s="132">
        <v>954.043968010249</v>
      </c>
    </row>
    <row r="179" ht="15" spans="3:9">
      <c r="C179" s="133" t="s">
        <v>160</v>
      </c>
      <c r="D179" s="131">
        <v>0.065</v>
      </c>
      <c r="E179" s="132">
        <v>1062.10897166992</v>
      </c>
      <c r="F179" s="132">
        <v>1043.92327526117</v>
      </c>
      <c r="G179" s="132">
        <v>1025.73757885243</v>
      </c>
      <c r="H179" s="132">
        <v>1007.55188244368</v>
      </c>
      <c r="I179" s="132">
        <v>989.366186034932</v>
      </c>
    </row>
    <row r="180" ht="15" spans="3:9">
      <c r="C180" s="133" t="s">
        <v>161</v>
      </c>
      <c r="D180" s="131">
        <v>0.06</v>
      </c>
      <c r="E180" s="132">
        <v>1100.22898914211</v>
      </c>
      <c r="F180" s="132">
        <v>1081.34384287148</v>
      </c>
      <c r="G180" s="132">
        <v>1062.45869660086</v>
      </c>
      <c r="H180" s="132">
        <v>1043.57355033024</v>
      </c>
      <c r="I180" s="132">
        <v>1024.68840405961</v>
      </c>
    </row>
    <row r="181" ht="15" spans="3:9">
      <c r="C181" s="133"/>
      <c r="D181" s="131">
        <v>0.055</v>
      </c>
      <c r="E181" s="132">
        <v>1138.34900661429</v>
      </c>
      <c r="F181" s="132">
        <v>1118.76441048179</v>
      </c>
      <c r="G181" s="132">
        <v>1099.17981434929</v>
      </c>
      <c r="H181" s="132">
        <v>1079.5952182168</v>
      </c>
      <c r="I181" s="132">
        <v>1060.0106220843</v>
      </c>
    </row>
    <row r="182" ht="15" spans="4:9">
      <c r="D182" s="131">
        <v>0.05</v>
      </c>
      <c r="E182" s="132">
        <v>1176.46902408647</v>
      </c>
      <c r="F182" s="132">
        <v>1156.1849780921</v>
      </c>
      <c r="G182" s="132">
        <v>1135.90093209773</v>
      </c>
      <c r="H182" s="132">
        <v>1115.61688610335</v>
      </c>
      <c r="I182" s="132">
        <v>1095.33284010898</v>
      </c>
    </row>
    <row r="183" ht="15" spans="4:9">
      <c r="D183" s="131">
        <v>0.045</v>
      </c>
      <c r="E183" s="132">
        <v>1214.58904155865</v>
      </c>
      <c r="F183" s="132">
        <v>1193.60554570241</v>
      </c>
      <c r="G183" s="132">
        <v>1172.62204984616</v>
      </c>
      <c r="H183" s="132">
        <v>1151.63855398991</v>
      </c>
      <c r="I183" s="132">
        <v>1130.65505813366</v>
      </c>
    </row>
  </sheetData>
  <conditionalFormatting sqref="C37">
    <cfRule type="expression" dxfId="0" priority="1">
      <formula>#REF!=$C37</formula>
    </cfRule>
  </conditionalFormatting>
  <conditionalFormatting sqref="C38:D38">
    <cfRule type="expression" dxfId="0" priority="4">
      <formula>#REF!=$C38</formula>
    </cfRule>
  </conditionalFormatting>
  <conditionalFormatting sqref="C141">
    <cfRule type="expression" dxfId="0" priority="2">
      <formula>#REF!=$C141</formula>
    </cfRule>
  </conditionalFormatting>
  <conditionalFormatting sqref="C155">
    <cfRule type="expression" dxfId="0" priority="3">
      <formula>#REF!=$C155</formula>
    </cfRule>
  </conditionalFormatting>
  <dataValidations count="3">
    <dataValidation type="list" allowBlank="1" showInputMessage="1" showErrorMessage="1" sqref="C3">
      <formula1>"$ bns except per share, $ mm except per share,$ in thousands except per share"</formula1>
    </dataValidation>
    <dataValidation type="list" allowBlank="1" showInputMessage="1" showErrorMessage="1" sqref="L5">
      <formula1>$C$144:$C$146</formula1>
    </dataValidation>
    <dataValidation type="list" allowBlank="1" showInputMessage="1" showErrorMessage="1" sqref="D7">
      <formula1>"0,1"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6"/>
  <sheetViews>
    <sheetView topLeftCell="A10" workbookViewId="0">
      <selection activeCell="D47" sqref="D47"/>
    </sheetView>
  </sheetViews>
  <sheetFormatPr defaultColWidth="7.75" defaultRowHeight="14.25"/>
  <cols>
    <col min="1" max="2" width="1.5" customWidth="1"/>
    <col min="3" max="3" width="40.875" customWidth="1"/>
    <col min="4" max="4" width="10.875" customWidth="1"/>
    <col min="5" max="12" width="10" customWidth="1"/>
    <col min="13" max="13" width="2.875" customWidth="1"/>
    <col min="14" max="14" width="10.375" customWidth="1"/>
    <col min="15" max="17" width="9" customWidth="1"/>
    <col min="18" max="19" width="8.25" customWidth="1"/>
  </cols>
  <sheetData>
    <row r="1" ht="15"/>
    <row r="2" ht="15.75" spans="3:12">
      <c r="C2" s="1" t="str">
        <f>"Financial Statement Model for "&amp;D5</f>
        <v>Financial Statement Model for Yum China Holding Inc.</v>
      </c>
      <c r="D2" s="2"/>
      <c r="E2" s="2"/>
      <c r="F2" s="2"/>
      <c r="G2" s="2"/>
      <c r="H2" s="2"/>
      <c r="I2" s="2"/>
      <c r="J2" s="2"/>
      <c r="K2" s="2"/>
      <c r="L2" s="2"/>
    </row>
    <row r="3" ht="15" spans="3:8">
      <c r="C3" s="3" t="s">
        <v>0</v>
      </c>
      <c r="D3" s="4"/>
      <c r="E3" s="4"/>
      <c r="F3" s="4"/>
      <c r="G3" s="4"/>
      <c r="H3" s="4"/>
    </row>
    <row r="5" ht="15" spans="3:12">
      <c r="C5" s="5" t="s">
        <v>1</v>
      </c>
      <c r="D5" s="6" t="s">
        <v>2</v>
      </c>
      <c r="I5" t="s">
        <v>3</v>
      </c>
      <c r="L5" s="7" t="s">
        <v>4</v>
      </c>
    </row>
    <row r="6" ht="15" spans="3:4">
      <c r="C6" s="5" t="s">
        <v>5</v>
      </c>
      <c r="D6" s="6" t="s">
        <v>6</v>
      </c>
    </row>
    <row r="7" ht="15" spans="3:4">
      <c r="C7" t="s">
        <v>7</v>
      </c>
      <c r="D7" s="7">
        <v>1</v>
      </c>
    </row>
    <row r="8" ht="15" spans="3:4">
      <c r="C8" t="s">
        <v>8</v>
      </c>
      <c r="D8" s="8">
        <v>48.75</v>
      </c>
    </row>
    <row r="9" ht="15" spans="3:4">
      <c r="C9" t="s">
        <v>9</v>
      </c>
      <c r="D9" s="9">
        <v>44752</v>
      </c>
    </row>
    <row r="10" ht="15" spans="3:4">
      <c r="C10" s="5" t="s">
        <v>10</v>
      </c>
      <c r="D10" s="10">
        <v>44561</v>
      </c>
    </row>
    <row r="11" ht="15" customHeight="1" spans="3:4">
      <c r="C11" t="s">
        <v>11</v>
      </c>
      <c r="D11" s="11">
        <v>422</v>
      </c>
    </row>
    <row r="12" ht="15" customHeight="1" spans="4:4">
      <c r="D12" s="11"/>
    </row>
    <row r="13" ht="15" customHeight="1" spans="3:16">
      <c r="C13" s="21" t="s">
        <v>162</v>
      </c>
      <c r="D13" s="22"/>
      <c r="E13" s="22"/>
      <c r="F13" s="22"/>
      <c r="G13" s="22"/>
      <c r="H13" s="22"/>
      <c r="I13" s="22"/>
      <c r="J13" s="22"/>
      <c r="K13" s="22"/>
      <c r="L13" s="22"/>
      <c r="N13" s="27" t="s">
        <v>163</v>
      </c>
      <c r="O13" s="27"/>
      <c r="P13" s="44">
        <v>0.02</v>
      </c>
    </row>
    <row r="14" ht="15" customHeight="1" spans="3:12">
      <c r="C14" t="s">
        <v>14</v>
      </c>
      <c r="D14" s="23"/>
      <c r="E14" s="23">
        <f>F14-1</f>
        <v>2019</v>
      </c>
      <c r="F14" s="23">
        <f>G14-1</f>
        <v>2020</v>
      </c>
      <c r="G14" s="23">
        <f>YEAR(D10)</f>
        <v>2021</v>
      </c>
      <c r="H14" s="24">
        <f t="shared" ref="H14:L14" si="0">G14+1</f>
        <v>2022</v>
      </c>
      <c r="I14" s="24">
        <f t="shared" si="0"/>
        <v>2023</v>
      </c>
      <c r="J14" s="24">
        <f t="shared" si="0"/>
        <v>2024</v>
      </c>
      <c r="K14" s="24">
        <f t="shared" si="0"/>
        <v>2025</v>
      </c>
      <c r="L14" s="24">
        <f t="shared" si="0"/>
        <v>2026</v>
      </c>
    </row>
    <row r="15" ht="15" customHeight="1" spans="3:12">
      <c r="C15" s="25" t="s">
        <v>15</v>
      </c>
      <c r="D15" s="26"/>
      <c r="E15" s="26">
        <f>EOMONTH(F15,-12)</f>
        <v>43830</v>
      </c>
      <c r="F15" s="26">
        <f>EOMONTH(G15,-12)</f>
        <v>44196</v>
      </c>
      <c r="G15" s="26">
        <f>D10</f>
        <v>44561</v>
      </c>
      <c r="H15" s="26">
        <f t="shared" ref="H15:L15" si="1">EOMONTH(G15,12)</f>
        <v>44926</v>
      </c>
      <c r="I15" s="26">
        <f t="shared" si="1"/>
        <v>45291</v>
      </c>
      <c r="J15" s="26">
        <f t="shared" si="1"/>
        <v>45657</v>
      </c>
      <c r="K15" s="26">
        <f t="shared" si="1"/>
        <v>46022</v>
      </c>
      <c r="L15" s="26">
        <f t="shared" si="1"/>
        <v>46387</v>
      </c>
    </row>
    <row r="16" ht="15" customHeight="1" spans="4:4">
      <c r="D16" s="11"/>
    </row>
    <row r="17" ht="15" customHeight="1" spans="3:12">
      <c r="C17" s="27" t="s">
        <v>164</v>
      </c>
      <c r="D17" s="11"/>
      <c r="E17" s="28"/>
      <c r="F17" s="18"/>
      <c r="G17" s="18">
        <f>G66</f>
        <v>1386</v>
      </c>
      <c r="H17" s="18">
        <f ca="1" t="shared" ref="H17:L17" si="2">H66</f>
        <v>1192.213</v>
      </c>
      <c r="I17" s="18">
        <f ca="1" t="shared" si="2"/>
        <v>1782.266981</v>
      </c>
      <c r="J17" s="18">
        <f ca="1" t="shared" si="2"/>
        <v>1848.0644336</v>
      </c>
      <c r="K17" s="18">
        <f ca="1" t="shared" si="2"/>
        <v>1917.8869400075</v>
      </c>
      <c r="L17" s="18">
        <f ca="1" t="shared" si="2"/>
        <v>1927.8905106692</v>
      </c>
    </row>
    <row r="18" ht="15" customHeight="1" spans="3:12">
      <c r="C18" t="s">
        <v>165</v>
      </c>
      <c r="D18" s="11"/>
      <c r="E18" s="29"/>
      <c r="F18" s="30"/>
      <c r="G18" s="30">
        <f>G74</f>
        <v>516</v>
      </c>
      <c r="H18" s="30">
        <f ca="1" t="shared" ref="H18:L18" si="3">H74</f>
        <v>567.6</v>
      </c>
      <c r="I18" s="30">
        <f ca="1" t="shared" si="3"/>
        <v>636.4842</v>
      </c>
      <c r="J18" s="30">
        <f ca="1" t="shared" si="3"/>
        <v>681.03882</v>
      </c>
      <c r="K18" s="30">
        <f ca="1" t="shared" si="3"/>
        <v>728.4576915</v>
      </c>
      <c r="L18" s="30">
        <f ca="1" t="shared" si="3"/>
        <v>756.66111444</v>
      </c>
    </row>
    <row r="19" ht="15" customHeight="1" spans="3:12">
      <c r="C19" s="27" t="s">
        <v>42</v>
      </c>
      <c r="D19" s="11"/>
      <c r="E19" s="28"/>
      <c r="F19" s="18"/>
      <c r="G19" s="18">
        <f t="shared" ref="G19:L19" si="4">G17+G18</f>
        <v>1902</v>
      </c>
      <c r="H19" s="18">
        <f ca="1" t="shared" si="4"/>
        <v>1759.813</v>
      </c>
      <c r="I19" s="18">
        <f ca="1" t="shared" si="4"/>
        <v>2418.751181</v>
      </c>
      <c r="J19" s="18">
        <f ca="1" t="shared" si="4"/>
        <v>2529.1032536</v>
      </c>
      <c r="K19" s="18">
        <f ca="1" t="shared" si="4"/>
        <v>2646.3446315075</v>
      </c>
      <c r="L19" s="18">
        <f ca="1" t="shared" si="4"/>
        <v>2684.5516251092</v>
      </c>
    </row>
    <row r="20" ht="15" customHeight="1" spans="3:12">
      <c r="C20" t="s">
        <v>166</v>
      </c>
      <c r="D20" s="11"/>
      <c r="F20" s="30"/>
      <c r="G20" s="30">
        <f>-G149</f>
        <v>-1002</v>
      </c>
      <c r="H20" s="30">
        <f ca="1" t="shared" ref="H20:L20" si="5">-H149</f>
        <v>-1102.2</v>
      </c>
      <c r="I20" s="30">
        <f ca="1" t="shared" si="5"/>
        <v>-1212.42</v>
      </c>
      <c r="J20" s="30">
        <f ca="1" t="shared" si="5"/>
        <v>-1273.041</v>
      </c>
      <c r="K20" s="30">
        <f ca="1" t="shared" si="5"/>
        <v>-1336.69305</v>
      </c>
      <c r="L20" s="30">
        <f ca="1" t="shared" si="5"/>
        <v>-1363.426911</v>
      </c>
    </row>
    <row r="21" ht="15" customHeight="1" spans="3:15">
      <c r="C21" t="s">
        <v>167</v>
      </c>
      <c r="D21" s="11"/>
      <c r="F21" s="30"/>
      <c r="G21" s="30">
        <f>-SUM(G89:G91)-SUM(G101:G102)+SUM(F89:F91)+SUM(F101:F102)</f>
        <v>-363</v>
      </c>
      <c r="H21" s="30">
        <f ca="1" t="shared" ref="H21:L21" si="6">-SUM(H89:H91)-SUM(H101:H102)+SUM(G89:G91)+SUM(G101:G102)</f>
        <v>-291.170718386346</v>
      </c>
      <c r="I21" s="30">
        <f ca="1" t="shared" si="6"/>
        <v>-339.417071838636</v>
      </c>
      <c r="J21" s="30">
        <f ca="1" t="shared" si="6"/>
        <v>-186.679389511248</v>
      </c>
      <c r="K21" s="30">
        <f ca="1" t="shared" si="6"/>
        <v>-196.013358986812</v>
      </c>
      <c r="L21" s="30">
        <f ca="1" t="shared" si="6"/>
        <v>-82.3256107744614</v>
      </c>
      <c r="N21" s="45" t="s">
        <v>168</v>
      </c>
      <c r="O21" s="45"/>
    </row>
    <row r="22" ht="15" customHeight="1" spans="3:14">
      <c r="C22" s="27" t="s">
        <v>169</v>
      </c>
      <c r="D22" s="11"/>
      <c r="F22" s="18"/>
      <c r="G22" s="18">
        <f>SUM(G19:G21)</f>
        <v>537</v>
      </c>
      <c r="H22" s="18">
        <f ca="1" t="shared" ref="H22:L22" si="7">SUM(H19:H21)</f>
        <v>366.442281613654</v>
      </c>
      <c r="I22" s="18">
        <f ca="1" t="shared" si="7"/>
        <v>866.914109161365</v>
      </c>
      <c r="J22" s="18">
        <f ca="1" t="shared" si="7"/>
        <v>1069.38286408875</v>
      </c>
      <c r="K22" s="18">
        <f ca="1" t="shared" si="7"/>
        <v>1113.63822252069</v>
      </c>
      <c r="L22" s="18">
        <f ca="1" t="shared" si="7"/>
        <v>1238.79910333474</v>
      </c>
      <c r="N22" s="46">
        <f ca="1">(L22*(1+P13))/(D33-P13)</f>
        <v>21111.9978976905</v>
      </c>
    </row>
    <row r="23" ht="15" customHeight="1" spans="3:14">
      <c r="C23" s="27"/>
      <c r="D23" s="11"/>
      <c r="F23" s="17" t="s">
        <v>170</v>
      </c>
      <c r="G23" s="17"/>
      <c r="H23" s="31">
        <f ca="1">1/(1+$D$33)^(1/6)</f>
        <v>0.987277769230904</v>
      </c>
      <c r="I23" s="31">
        <f ca="1">1/(1+$D$33)^(7/6)</f>
        <v>0.914272182263257</v>
      </c>
      <c r="J23" s="31">
        <f ca="1">1/(1+$D$33)^(13/6)</f>
        <v>0.846665091944271</v>
      </c>
      <c r="K23" s="31">
        <f ca="1">1/(1+$D$33)^(19/6)</f>
        <v>0.784057299154041</v>
      </c>
      <c r="L23" s="31">
        <f ca="1">1/(1+$D$33)^(25/6)</f>
        <v>0.726079124090301</v>
      </c>
      <c r="N23" s="47">
        <f ca="1">L23</f>
        <v>0.726079124090301</v>
      </c>
    </row>
    <row r="24" ht="15" customHeight="1" spans="3:14">
      <c r="C24" s="27"/>
      <c r="D24" s="11"/>
      <c r="F24" s="17" t="s">
        <v>171</v>
      </c>
      <c r="G24" s="17"/>
      <c r="H24" s="17">
        <f ca="1">H22*H23</f>
        <v>361.780318343411</v>
      </c>
      <c r="I24" s="17">
        <f ca="1" t="shared" ref="I24:L24" si="8">I22*I23</f>
        <v>792.595454417768</v>
      </c>
      <c r="J24" s="17">
        <f ca="1" t="shared" si="8"/>
        <v>905.409140947331</v>
      </c>
      <c r="K24" s="17">
        <f ca="1" t="shared" si="8"/>
        <v>873.156176984279</v>
      </c>
      <c r="L24" s="17">
        <f ca="1" t="shared" si="8"/>
        <v>899.466167873137</v>
      </c>
      <c r="M24" s="17"/>
      <c r="N24" s="17">
        <f ca="1">N22*N23</f>
        <v>15328.9809413514</v>
      </c>
    </row>
    <row r="25" ht="15" customHeight="1" spans="3:12">
      <c r="C25" s="27"/>
      <c r="D25" s="11"/>
      <c r="F25" s="18" t="s">
        <v>172</v>
      </c>
      <c r="G25" s="18"/>
      <c r="H25" s="17">
        <f ca="1">SUM(H24:N24)</f>
        <v>19161.3881999173</v>
      </c>
      <c r="I25" s="18"/>
      <c r="J25" s="18"/>
      <c r="K25" s="18"/>
      <c r="L25" s="18"/>
    </row>
    <row r="26" ht="15" customHeight="1" spans="3:12">
      <c r="C26" s="27"/>
      <c r="D26" s="11"/>
      <c r="F26" s="17" t="s">
        <v>173</v>
      </c>
      <c r="G26" s="17"/>
      <c r="H26" s="17">
        <f ca="1">H88</f>
        <v>4068.83319936965</v>
      </c>
      <c r="I26" s="18"/>
      <c r="J26" s="18"/>
      <c r="K26" s="18"/>
      <c r="L26" s="18"/>
    </row>
    <row r="27" ht="15" customHeight="1" spans="3:12">
      <c r="C27" s="27"/>
      <c r="D27" s="11"/>
      <c r="F27" s="17" t="s">
        <v>174</v>
      </c>
      <c r="G27" s="17"/>
      <c r="H27" s="17">
        <f ca="1">-(H104+H105+H107)</f>
        <v>-2738.3</v>
      </c>
      <c r="I27" s="18"/>
      <c r="J27" s="18"/>
      <c r="K27" s="18"/>
      <c r="L27" s="18"/>
    </row>
    <row r="28" ht="15" customHeight="1" spans="3:12">
      <c r="C28" s="27"/>
      <c r="D28" s="11"/>
      <c r="F28" s="18" t="s">
        <v>175</v>
      </c>
      <c r="G28" s="18"/>
      <c r="H28" s="17">
        <f ca="1">SUM(H25:H27)</f>
        <v>20491.9213992869</v>
      </c>
      <c r="I28" s="18"/>
      <c r="J28" s="18"/>
      <c r="K28" s="18"/>
      <c r="L28" s="18"/>
    </row>
    <row r="29" ht="15" customHeight="1" spans="4:8">
      <c r="D29" s="11"/>
      <c r="F29" s="18" t="s">
        <v>176</v>
      </c>
      <c r="H29" s="19">
        <f ca="1">H28/D11</f>
        <v>48.5590554485473</v>
      </c>
    </row>
    <row r="30" ht="15" customHeight="1" spans="4:14">
      <c r="D30" s="11"/>
      <c r="F30" s="17"/>
      <c r="N30" s="48"/>
    </row>
    <row r="31" ht="15" customHeight="1" spans="4:6">
      <c r="D31" s="11"/>
      <c r="F31" s="17"/>
    </row>
    <row r="32" ht="15" customHeight="1" spans="4:6">
      <c r="D32" s="11"/>
      <c r="F32" s="17"/>
    </row>
    <row r="33" ht="15" customHeight="1" spans="3:5">
      <c r="C33" s="27" t="s">
        <v>177</v>
      </c>
      <c r="D33" s="32">
        <f ca="1">D34*D36*(1-D39)+D35*D37</f>
        <v>0.0798510425931627</v>
      </c>
      <c r="E33" s="33"/>
    </row>
    <row r="34" ht="15" customHeight="1" spans="3:4">
      <c r="C34" t="s">
        <v>178</v>
      </c>
      <c r="D34" s="34">
        <v>0.0275</v>
      </c>
    </row>
    <row r="35" ht="15" customHeight="1" spans="3:4">
      <c r="C35" t="s">
        <v>179</v>
      </c>
      <c r="D35" s="34">
        <v>0.1187</v>
      </c>
    </row>
    <row r="36" ht="15" customHeight="1" spans="3:12">
      <c r="C36" t="s">
        <v>180</v>
      </c>
      <c r="D36" s="32">
        <f ca="1">H36</f>
        <v>0.391708802635139</v>
      </c>
      <c r="F36" s="32">
        <f>F108/F99</f>
        <v>0.404965517241379</v>
      </c>
      <c r="G36" s="32">
        <f t="shared" ref="G36:L36" si="9">G108/G99</f>
        <v>0.400892384481585</v>
      </c>
      <c r="H36" s="32">
        <f ca="1" t="shared" si="9"/>
        <v>0.391708802635139</v>
      </c>
      <c r="I36" s="32">
        <f ca="1" t="shared" si="9"/>
        <v>0.379153339398799</v>
      </c>
      <c r="J36" s="32">
        <f ca="1" t="shared" si="9"/>
        <v>0.359948755250135</v>
      </c>
      <c r="K36" s="32">
        <f ca="1" t="shared" si="9"/>
        <v>0.343634822361775</v>
      </c>
      <c r="L36" s="32">
        <f ca="1" t="shared" si="9"/>
        <v>0.324323961420347</v>
      </c>
    </row>
    <row r="37" ht="15" customHeight="1" spans="3:12">
      <c r="C37" t="s">
        <v>181</v>
      </c>
      <c r="D37" s="32">
        <f ca="1">H37</f>
        <v>0.608291197364861</v>
      </c>
      <c r="F37" s="32">
        <f>F116/F99</f>
        <v>0.595034482758621</v>
      </c>
      <c r="G37" s="32">
        <f t="shared" ref="G37:L37" si="10">G116/G99</f>
        <v>0.599107615518415</v>
      </c>
      <c r="H37" s="32">
        <f ca="1" t="shared" si="10"/>
        <v>0.608291197364861</v>
      </c>
      <c r="I37" s="32">
        <f ca="1" t="shared" si="10"/>
        <v>0.620846660601201</v>
      </c>
      <c r="J37" s="32">
        <f ca="1" t="shared" si="10"/>
        <v>0.640051244749865</v>
      </c>
      <c r="K37" s="32">
        <f ca="1" t="shared" si="10"/>
        <v>0.656365177638224</v>
      </c>
      <c r="L37" s="32">
        <f ca="1" t="shared" si="10"/>
        <v>0.675676038579653</v>
      </c>
    </row>
    <row r="38" ht="15" customHeight="1" spans="3:12">
      <c r="C38" t="s">
        <v>182</v>
      </c>
      <c r="D38" s="32">
        <f ca="1" t="shared" ref="D38:L38" si="11">SUM(D36:D37)</f>
        <v>1</v>
      </c>
      <c r="E38" s="32"/>
      <c r="F38" s="32">
        <f t="shared" si="11"/>
        <v>1</v>
      </c>
      <c r="G38" s="32">
        <f t="shared" si="11"/>
        <v>1</v>
      </c>
      <c r="H38" s="32">
        <f ca="1" t="shared" si="11"/>
        <v>1</v>
      </c>
      <c r="I38" s="32">
        <f ca="1" t="shared" si="11"/>
        <v>1</v>
      </c>
      <c r="J38" s="32">
        <f ca="1" t="shared" si="11"/>
        <v>1</v>
      </c>
      <c r="K38" s="32">
        <f ca="1" t="shared" si="11"/>
        <v>1</v>
      </c>
      <c r="L38" s="32">
        <f ca="1" t="shared" si="11"/>
        <v>1</v>
      </c>
    </row>
    <row r="39" ht="15" customHeight="1" spans="3:4">
      <c r="C39" t="s">
        <v>53</v>
      </c>
      <c r="D39" s="32">
        <f>H83</f>
        <v>0.290114826068291</v>
      </c>
    </row>
    <row r="40" ht="15" customHeight="1" spans="4:4">
      <c r="D40" s="11"/>
    </row>
    <row r="41" ht="15" customHeight="1" spans="3:16">
      <c r="C41" s="21" t="s">
        <v>183</v>
      </c>
      <c r="D41" s="22"/>
      <c r="E41" s="22"/>
      <c r="F41" s="22"/>
      <c r="G41" s="22"/>
      <c r="H41" s="22"/>
      <c r="I41" s="22"/>
      <c r="J41" s="22"/>
      <c r="K41" s="22"/>
      <c r="L41" s="22"/>
      <c r="N41" s="27" t="s">
        <v>163</v>
      </c>
      <c r="O41" s="27"/>
      <c r="P41" s="44">
        <v>0.02</v>
      </c>
    </row>
    <row r="42" ht="15" customHeight="1" spans="3:12">
      <c r="C42" t="s">
        <v>14</v>
      </c>
      <c r="D42" s="23"/>
      <c r="E42" s="23">
        <f>F42-1</f>
        <v>2019</v>
      </c>
      <c r="F42" s="23">
        <f>G42-1</f>
        <v>2020</v>
      </c>
      <c r="G42" s="23">
        <f>YEAR(D10)</f>
        <v>2021</v>
      </c>
      <c r="H42" s="24">
        <f t="shared" ref="H42:L42" si="12">G42+1</f>
        <v>2022</v>
      </c>
      <c r="I42" s="24">
        <f t="shared" si="12"/>
        <v>2023</v>
      </c>
      <c r="J42" s="24">
        <f t="shared" si="12"/>
        <v>2024</v>
      </c>
      <c r="K42" s="24">
        <f t="shared" si="12"/>
        <v>2025</v>
      </c>
      <c r="L42" s="24">
        <f t="shared" si="12"/>
        <v>2026</v>
      </c>
    </row>
    <row r="43" ht="15" customHeight="1" spans="3:12">
      <c r="C43" s="25" t="s">
        <v>15</v>
      </c>
      <c r="D43" s="26"/>
      <c r="E43" s="26">
        <f>EOMONTH(F43,-12)</f>
        <v>43830</v>
      </c>
      <c r="F43" s="26">
        <f>EOMONTH(G43,-12)</f>
        <v>44196</v>
      </c>
      <c r="G43" s="26">
        <f>D10</f>
        <v>44561</v>
      </c>
      <c r="H43" s="26">
        <f t="shared" ref="H43:L43" si="13">EOMONTH(G43,12)</f>
        <v>44926</v>
      </c>
      <c r="I43" s="26">
        <f t="shared" si="13"/>
        <v>45291</v>
      </c>
      <c r="J43" s="26">
        <f t="shared" si="13"/>
        <v>45657</v>
      </c>
      <c r="K43" s="26">
        <f t="shared" si="13"/>
        <v>46022</v>
      </c>
      <c r="L43" s="26">
        <f t="shared" si="13"/>
        <v>46387</v>
      </c>
    </row>
    <row r="44" ht="15" customHeight="1" spans="4:4">
      <c r="D44" s="11"/>
    </row>
    <row r="45" ht="15" customHeight="1" spans="3:12">
      <c r="C45" s="27" t="s">
        <v>169</v>
      </c>
      <c r="D45" s="11"/>
      <c r="E45" s="28"/>
      <c r="F45" s="18"/>
      <c r="G45" s="18">
        <f>G22</f>
        <v>537</v>
      </c>
      <c r="H45" s="18">
        <f ca="1" t="shared" ref="H45:L45" si="14">H22</f>
        <v>366.442281613654</v>
      </c>
      <c r="I45" s="18">
        <f ca="1" t="shared" si="14"/>
        <v>866.914109161365</v>
      </c>
      <c r="J45" s="18">
        <f ca="1" t="shared" si="14"/>
        <v>1069.38286408875</v>
      </c>
      <c r="K45" s="18">
        <f ca="1" t="shared" si="14"/>
        <v>1113.63822252069</v>
      </c>
      <c r="L45" s="18">
        <f ca="1" t="shared" si="14"/>
        <v>1238.79910333474</v>
      </c>
    </row>
    <row r="46" ht="15" customHeight="1" spans="3:12">
      <c r="C46" t="s">
        <v>184</v>
      </c>
      <c r="D46" s="11"/>
      <c r="E46" s="28"/>
      <c r="F46" s="30"/>
      <c r="G46" s="30">
        <f t="shared" ref="G46:L46" si="15">-G69*(1-$D$39)</f>
        <v>-4.25931104359026</v>
      </c>
      <c r="H46" s="30">
        <f t="shared" si="15"/>
        <v>-70.9885173931709</v>
      </c>
      <c r="I46" s="30">
        <f t="shared" si="15"/>
        <v>-70.9885173931709</v>
      </c>
      <c r="J46" s="30">
        <f t="shared" si="15"/>
        <v>-70.9885173931709</v>
      </c>
      <c r="K46" s="30">
        <f t="shared" si="15"/>
        <v>-70.9885173931709</v>
      </c>
      <c r="L46" s="30">
        <f t="shared" si="15"/>
        <v>-70.9885173931709</v>
      </c>
    </row>
    <row r="47" ht="15" customHeight="1" spans="3:14">
      <c r="C47" t="s">
        <v>185</v>
      </c>
      <c r="D47" s="11"/>
      <c r="E47" s="29"/>
      <c r="F47" s="30"/>
      <c r="G47" s="30">
        <f t="shared" ref="G47:L47" si="16">G104+G105+G107-F104-F105-F107</f>
        <v>383</v>
      </c>
      <c r="H47" s="30">
        <f ca="1" t="shared" si="16"/>
        <v>245.3</v>
      </c>
      <c r="I47" s="30">
        <f ca="1" t="shared" si="16"/>
        <v>269.83</v>
      </c>
      <c r="J47" s="30">
        <f ca="1" t="shared" si="16"/>
        <v>148.4065</v>
      </c>
      <c r="K47" s="30">
        <f ca="1" t="shared" si="16"/>
        <v>155.826825</v>
      </c>
      <c r="L47" s="30">
        <f ca="1" t="shared" si="16"/>
        <v>65.4472665000001</v>
      </c>
      <c r="N47" s="45" t="s">
        <v>168</v>
      </c>
    </row>
    <row r="48" ht="15" customHeight="1" spans="3:14">
      <c r="C48" s="27" t="s">
        <v>186</v>
      </c>
      <c r="D48" s="11"/>
      <c r="E48" s="28"/>
      <c r="F48" s="18"/>
      <c r="G48" s="18">
        <f>SUM(G45:G47)</f>
        <v>915.74068895641</v>
      </c>
      <c r="H48" s="18">
        <f ca="1" t="shared" ref="H48:L48" si="17">SUM(H45:H47)</f>
        <v>540.753764220483</v>
      </c>
      <c r="I48" s="18">
        <f ca="1" t="shared" si="17"/>
        <v>1065.75559176819</v>
      </c>
      <c r="J48" s="18">
        <f ca="1" t="shared" si="17"/>
        <v>1146.80084669558</v>
      </c>
      <c r="K48" s="18">
        <f ca="1" t="shared" si="17"/>
        <v>1198.47653012752</v>
      </c>
      <c r="L48" s="18">
        <f ca="1" t="shared" si="17"/>
        <v>1233.25785244157</v>
      </c>
      <c r="N48" s="46">
        <f ca="1">(L48*(1+P41))/(D54-P41)</f>
        <v>12744.9139765998</v>
      </c>
    </row>
    <row r="49" ht="15" customHeight="1" spans="3:14">
      <c r="C49" s="27"/>
      <c r="D49" s="11"/>
      <c r="F49" s="17" t="s">
        <v>170</v>
      </c>
      <c r="G49" s="17"/>
      <c r="H49" s="31">
        <f>1/(1+$D$54)^(1/6)</f>
        <v>0.981479109767418</v>
      </c>
      <c r="I49" s="31">
        <f>1/(1+$D$54)^(7/6)</f>
        <v>0.877338973600981</v>
      </c>
      <c r="J49" s="31">
        <f>1/(1+$D$54)^(13/6)</f>
        <v>0.784248657907376</v>
      </c>
      <c r="K49" s="31">
        <f>1/(1+$D$54)^(19/6)</f>
        <v>0.701035718161594</v>
      </c>
      <c r="L49" s="31">
        <f>1/(1+$D$54)^(25/6)</f>
        <v>0.626652112417623</v>
      </c>
      <c r="M49" s="31"/>
      <c r="N49" s="31">
        <f>L49</f>
        <v>0.626652112417623</v>
      </c>
    </row>
    <row r="50" ht="15" customHeight="1" spans="3:14">
      <c r="C50" s="27"/>
      <c r="D50" s="11"/>
      <c r="F50" s="17" t="s">
        <v>171</v>
      </c>
      <c r="G50" s="17"/>
      <c r="H50" s="17">
        <f ca="1" t="shared" ref="H50:L50" si="18">H48*H49</f>
        <v>530.7385231105</v>
      </c>
      <c r="I50" s="17">
        <f ca="1" t="shared" si="18"/>
        <v>935.028916991413</v>
      </c>
      <c r="J50" s="17">
        <f ca="1" t="shared" si="18"/>
        <v>899.377024908052</v>
      </c>
      <c r="K50" s="17">
        <f ca="1" t="shared" si="18"/>
        <v>840.17485499776</v>
      </c>
      <c r="L50" s="17">
        <f ca="1" t="shared" si="18"/>
        <v>772.82363838813</v>
      </c>
      <c r="M50" s="17"/>
      <c r="N50" s="17">
        <f ca="1">N48*N49</f>
        <v>7986.62726601715</v>
      </c>
    </row>
    <row r="51" ht="15" customHeight="1" spans="3:12">
      <c r="C51" s="27"/>
      <c r="D51" s="11"/>
      <c r="F51" s="18" t="s">
        <v>175</v>
      </c>
      <c r="G51" s="18"/>
      <c r="H51" s="17">
        <f ca="1">SUM(H50:N50)</f>
        <v>11964.770224413</v>
      </c>
      <c r="I51" s="18"/>
      <c r="J51" s="18"/>
      <c r="K51" s="18"/>
      <c r="L51" s="18"/>
    </row>
    <row r="52" ht="15" customHeight="1" spans="4:8">
      <c r="D52" s="11"/>
      <c r="F52" s="18" t="s">
        <v>176</v>
      </c>
      <c r="H52" s="19">
        <f ca="1">H51/D11</f>
        <v>28.3525360768081</v>
      </c>
    </row>
    <row r="53" ht="15" customHeight="1" spans="4:8">
      <c r="D53" s="11"/>
      <c r="F53" s="18"/>
      <c r="H53" s="19"/>
    </row>
    <row r="54" ht="15" customHeight="1" spans="3:8">
      <c r="C54" s="27" t="s">
        <v>187</v>
      </c>
      <c r="D54" s="35">
        <f>D35</f>
        <v>0.1187</v>
      </c>
      <c r="F54" s="18"/>
      <c r="H54" s="19"/>
    </row>
    <row r="55" ht="15" customHeight="1" spans="4:4">
      <c r="D55" s="11"/>
    </row>
    <row r="57" ht="15" spans="1:12">
      <c r="A57" t="s">
        <v>12</v>
      </c>
      <c r="C57" s="36" t="s">
        <v>13</v>
      </c>
      <c r="D57" s="22"/>
      <c r="E57" s="22"/>
      <c r="F57" s="22"/>
      <c r="G57" s="22"/>
      <c r="H57" s="22"/>
      <c r="I57" s="22"/>
      <c r="J57" s="22"/>
      <c r="K57" s="22"/>
      <c r="L57" s="22"/>
    </row>
    <row r="58" ht="15" spans="3:12">
      <c r="C58" t="s">
        <v>14</v>
      </c>
      <c r="D58" s="23"/>
      <c r="E58" s="23">
        <f>F58-1</f>
        <v>2019</v>
      </c>
      <c r="F58" s="23">
        <f>G58-1</f>
        <v>2020</v>
      </c>
      <c r="G58" s="23">
        <f>YEAR(D10)</f>
        <v>2021</v>
      </c>
      <c r="H58" s="24">
        <f t="shared" ref="H58:L58" si="19">G58+1</f>
        <v>2022</v>
      </c>
      <c r="I58" s="24">
        <f t="shared" si="19"/>
        <v>2023</v>
      </c>
      <c r="J58" s="24">
        <f t="shared" si="19"/>
        <v>2024</v>
      </c>
      <c r="K58" s="24">
        <f t="shared" si="19"/>
        <v>2025</v>
      </c>
      <c r="L58" s="24">
        <f t="shared" si="19"/>
        <v>2026</v>
      </c>
    </row>
    <row r="59" ht="15" spans="3:20">
      <c r="C59" s="25" t="s">
        <v>15</v>
      </c>
      <c r="D59" s="26"/>
      <c r="E59" s="26">
        <f>EOMONTH(F59,-12)</f>
        <v>43830</v>
      </c>
      <c r="F59" s="26">
        <f>EOMONTH(G59,-12)</f>
        <v>44196</v>
      </c>
      <c r="G59" s="26">
        <f>D10</f>
        <v>44561</v>
      </c>
      <c r="H59" s="26">
        <f t="shared" ref="H59:L59" si="20">EOMONTH(G59,12)</f>
        <v>44926</v>
      </c>
      <c r="I59" s="26">
        <f t="shared" si="20"/>
        <v>45291</v>
      </c>
      <c r="J59" s="26">
        <f t="shared" si="20"/>
        <v>45657</v>
      </c>
      <c r="K59" s="26">
        <f t="shared" si="20"/>
        <v>46022</v>
      </c>
      <c r="L59" s="26">
        <f t="shared" si="20"/>
        <v>46387</v>
      </c>
      <c r="N59" s="49" t="s">
        <v>16</v>
      </c>
      <c r="O59" s="50"/>
      <c r="P59" s="50"/>
      <c r="Q59" s="50"/>
      <c r="R59" s="50"/>
      <c r="S59" s="50"/>
      <c r="T59" s="50"/>
    </row>
    <row r="60" ht="15" spans="3:12">
      <c r="C60" s="37"/>
      <c r="D60" s="37"/>
      <c r="E60" s="38"/>
      <c r="F60" s="39"/>
      <c r="G60" s="39"/>
      <c r="H60" s="40"/>
      <c r="I60" s="51"/>
      <c r="J60" s="51"/>
      <c r="K60" s="39"/>
      <c r="L60" s="39"/>
    </row>
    <row r="61" ht="15" spans="3:14">
      <c r="C61" t="s">
        <v>17</v>
      </c>
      <c r="D61" s="30"/>
      <c r="E61" s="30">
        <v>8776</v>
      </c>
      <c r="F61" s="30">
        <v>8263</v>
      </c>
      <c r="G61" s="30">
        <v>9853</v>
      </c>
      <c r="H61" s="41">
        <f ca="1" t="shared" ref="H61:L61" si="21">G61*(1+H79)</f>
        <v>10838.3</v>
      </c>
      <c r="I61" s="41">
        <f ca="1" t="shared" si="21"/>
        <v>11922.13</v>
      </c>
      <c r="J61" s="41">
        <f ca="1" t="shared" si="21"/>
        <v>12518.2365</v>
      </c>
      <c r="K61" s="41">
        <f ca="1" t="shared" si="21"/>
        <v>13144.148325</v>
      </c>
      <c r="L61" s="41">
        <f ca="1" t="shared" si="21"/>
        <v>13407.0312915</v>
      </c>
      <c r="N61" t="s">
        <v>18</v>
      </c>
    </row>
    <row r="62" ht="15" spans="3:14">
      <c r="C62" t="s">
        <v>19</v>
      </c>
      <c r="D62" s="30"/>
      <c r="E62" s="30">
        <v>-6659</v>
      </c>
      <c r="F62" s="30">
        <v>-6298</v>
      </c>
      <c r="G62" s="30">
        <v>-7734</v>
      </c>
      <c r="H62" s="41">
        <f ca="1" t="shared" ref="H62:L62" si="22">H63-H61</f>
        <v>-8453.874</v>
      </c>
      <c r="I62" s="41">
        <f ca="1" t="shared" si="22"/>
        <v>-9299.2614</v>
      </c>
      <c r="J62" s="41">
        <f ca="1" t="shared" si="22"/>
        <v>-9764.22447</v>
      </c>
      <c r="K62" s="41">
        <f ca="1" t="shared" si="22"/>
        <v>-10252.4356935</v>
      </c>
      <c r="L62" s="41">
        <f ca="1" t="shared" si="22"/>
        <v>-10457.48440737</v>
      </c>
      <c r="N62" t="s">
        <v>20</v>
      </c>
    </row>
    <row r="63" ht="15" spans="3:14">
      <c r="C63" s="42" t="s">
        <v>21</v>
      </c>
      <c r="D63" s="43"/>
      <c r="E63" s="43">
        <f t="shared" ref="E63:G63" si="23">SUM(E61:E62)</f>
        <v>2117</v>
      </c>
      <c r="F63" s="43">
        <f t="shared" si="23"/>
        <v>1965</v>
      </c>
      <c r="G63" s="43">
        <f t="shared" si="23"/>
        <v>2119</v>
      </c>
      <c r="H63" s="43">
        <f ca="1" t="shared" ref="H63:L63" si="24">H61*H80</f>
        <v>2384.426</v>
      </c>
      <c r="I63" s="43">
        <f ca="1" t="shared" si="24"/>
        <v>2622.8686</v>
      </c>
      <c r="J63" s="43">
        <f ca="1" t="shared" si="24"/>
        <v>2754.01203</v>
      </c>
      <c r="K63" s="43">
        <f ca="1" t="shared" si="24"/>
        <v>2891.7126315</v>
      </c>
      <c r="L63" s="43">
        <f ca="1" t="shared" si="24"/>
        <v>2949.54688413</v>
      </c>
      <c r="N63" s="135" t="s">
        <v>22</v>
      </c>
    </row>
    <row r="64" ht="15" spans="3:14">
      <c r="C64" t="s">
        <v>23</v>
      </c>
      <c r="D64" s="30"/>
      <c r="E64" s="30">
        <v>-729</v>
      </c>
      <c r="F64" s="30">
        <v>-525</v>
      </c>
      <c r="G64" s="30">
        <v>-169</v>
      </c>
      <c r="H64" s="41">
        <f ca="1">-H61*H81</f>
        <v>-596.1065</v>
      </c>
      <c r="I64" s="41">
        <f ca="1" t="shared" ref="I64:L64" si="25">-I81*I94</f>
        <v>-184.884469</v>
      </c>
      <c r="J64" s="41">
        <f ca="1" t="shared" si="25"/>
        <v>-217.4445889</v>
      </c>
      <c r="K64" s="41">
        <f ca="1" t="shared" si="25"/>
        <v>-250.8975336175</v>
      </c>
      <c r="L64" s="41">
        <f ca="1" t="shared" si="25"/>
        <v>-284.2696524283</v>
      </c>
      <c r="N64" s="135" t="s">
        <v>24</v>
      </c>
    </row>
    <row r="65" ht="15" spans="3:14">
      <c r="C65" t="s">
        <v>25</v>
      </c>
      <c r="D65" s="30"/>
      <c r="E65" s="30">
        <v>-487</v>
      </c>
      <c r="F65" s="30">
        <v>-479</v>
      </c>
      <c r="G65" s="30">
        <v>-564</v>
      </c>
      <c r="H65" s="41">
        <f ca="1" t="shared" ref="H65:L65" si="26">-H61*H82</f>
        <v>-596.1065</v>
      </c>
      <c r="I65" s="41">
        <f ca="1" t="shared" si="26"/>
        <v>-655.71715</v>
      </c>
      <c r="J65" s="41">
        <f ca="1" t="shared" si="26"/>
        <v>-688.5030075</v>
      </c>
      <c r="K65" s="41">
        <f ca="1" t="shared" si="26"/>
        <v>-722.928157875</v>
      </c>
      <c r="L65" s="41">
        <f ca="1" t="shared" si="26"/>
        <v>-737.3867210325</v>
      </c>
      <c r="N65" s="135" t="s">
        <v>26</v>
      </c>
    </row>
    <row r="66" ht="15" spans="3:14">
      <c r="C66" s="42" t="s">
        <v>27</v>
      </c>
      <c r="D66" s="43"/>
      <c r="E66" s="43">
        <f t="shared" ref="E66:L66" si="27">E63+E64+E65</f>
        <v>901</v>
      </c>
      <c r="F66" s="43">
        <f t="shared" si="27"/>
        <v>961</v>
      </c>
      <c r="G66" s="43">
        <f t="shared" si="27"/>
        <v>1386</v>
      </c>
      <c r="H66" s="43">
        <f ca="1" t="shared" si="27"/>
        <v>1192.213</v>
      </c>
      <c r="I66" s="43">
        <f ca="1" t="shared" si="27"/>
        <v>1782.266981</v>
      </c>
      <c r="J66" s="43">
        <f ca="1" t="shared" si="27"/>
        <v>1848.0644336</v>
      </c>
      <c r="K66" s="43">
        <f ca="1" t="shared" si="27"/>
        <v>1917.8869400075</v>
      </c>
      <c r="L66" s="43">
        <f ca="1" t="shared" si="27"/>
        <v>1927.8905106692</v>
      </c>
      <c r="N66" s="42" t="s">
        <v>28</v>
      </c>
    </row>
    <row r="67" ht="15" spans="3:14">
      <c r="C67" t="s">
        <v>29</v>
      </c>
      <c r="D67" s="52"/>
      <c r="E67" s="30">
        <v>39</v>
      </c>
      <c r="F67" s="30">
        <v>43</v>
      </c>
      <c r="G67" s="30">
        <v>60</v>
      </c>
      <c r="H67" s="28"/>
      <c r="I67" s="28"/>
      <c r="J67" s="28"/>
      <c r="K67" s="28"/>
      <c r="L67" s="28"/>
      <c r="N67" t="s">
        <v>30</v>
      </c>
    </row>
    <row r="68" ht="15" spans="3:14">
      <c r="C68" t="s">
        <v>31</v>
      </c>
      <c r="D68" s="52"/>
      <c r="E68" s="30">
        <v>63</v>
      </c>
      <c r="F68" s="30">
        <v>104</v>
      </c>
      <c r="G68" s="30">
        <v>-54</v>
      </c>
      <c r="H68" s="28"/>
      <c r="I68" s="28"/>
      <c r="J68" s="28"/>
      <c r="K68" s="28"/>
      <c r="L68" s="28"/>
      <c r="N68" t="s">
        <v>32</v>
      </c>
    </row>
    <row r="69" ht="15" spans="3:12">
      <c r="C69" s="42" t="s">
        <v>33</v>
      </c>
      <c r="D69" s="53"/>
      <c r="E69" s="30">
        <f t="shared" ref="E69:G69" si="28">SUM(E67:E68)</f>
        <v>102</v>
      </c>
      <c r="F69" s="30">
        <f t="shared" si="28"/>
        <v>147</v>
      </c>
      <c r="G69" s="30">
        <f t="shared" si="28"/>
        <v>6</v>
      </c>
      <c r="H69" s="43">
        <v>100</v>
      </c>
      <c r="I69" s="43">
        <f>H69</f>
        <v>100</v>
      </c>
      <c r="J69" s="43">
        <f>I69</f>
        <v>100</v>
      </c>
      <c r="K69" s="43">
        <f>J69</f>
        <v>100</v>
      </c>
      <c r="L69" s="43">
        <f>K69</f>
        <v>100</v>
      </c>
    </row>
    <row r="70" ht="15" spans="3:15">
      <c r="C70" s="42" t="s">
        <v>34</v>
      </c>
      <c r="D70" s="53"/>
      <c r="E70" s="43">
        <f t="shared" ref="E70:L70" si="29">E66+E69</f>
        <v>1003</v>
      </c>
      <c r="F70" s="43">
        <f t="shared" si="29"/>
        <v>1108</v>
      </c>
      <c r="G70" s="43">
        <f t="shared" si="29"/>
        <v>1392</v>
      </c>
      <c r="H70" s="43">
        <f ca="1" t="shared" si="29"/>
        <v>1292.213</v>
      </c>
      <c r="I70" s="43">
        <f ca="1" t="shared" si="29"/>
        <v>1882.266981</v>
      </c>
      <c r="J70" s="43">
        <f ca="1" t="shared" si="29"/>
        <v>1948.0644336</v>
      </c>
      <c r="K70" s="43">
        <f ca="1" t="shared" si="29"/>
        <v>2017.8869400075</v>
      </c>
      <c r="L70" s="43">
        <f ca="1" t="shared" si="29"/>
        <v>2027.8905106692</v>
      </c>
      <c r="N70" s="42" t="s">
        <v>35</v>
      </c>
      <c r="O70" s="42"/>
    </row>
    <row r="71" ht="15" spans="3:14">
      <c r="C71" t="s">
        <v>36</v>
      </c>
      <c r="D71" s="30"/>
      <c r="E71" s="30">
        <v>-290</v>
      </c>
      <c r="F71" s="30">
        <v>-324</v>
      </c>
      <c r="G71" s="30">
        <v>-402</v>
      </c>
      <c r="H71" s="41">
        <f ca="1" t="shared" ref="H71:L71" si="30">-H70*H83</f>
        <v>-374.890149738184</v>
      </c>
      <c r="I71" s="41">
        <f ca="1" t="shared" si="30"/>
        <v>-546.073557806902</v>
      </c>
      <c r="J71" s="41">
        <f ca="1" t="shared" si="30"/>
        <v>-565.162374323688</v>
      </c>
      <c r="K71" s="41">
        <f ca="1" t="shared" si="30"/>
        <v>-585.418918625752</v>
      </c>
      <c r="L71" s="41">
        <f ca="1" t="shared" si="30"/>
        <v>-588.321102788333</v>
      </c>
      <c r="N71" t="s">
        <v>37</v>
      </c>
    </row>
    <row r="72" ht="15" spans="3:14">
      <c r="C72" s="42" t="s">
        <v>38</v>
      </c>
      <c r="D72" s="53"/>
      <c r="E72" s="43">
        <f t="shared" ref="E72:G72" si="31">SUM(E70:E71)</f>
        <v>713</v>
      </c>
      <c r="F72" s="43">
        <f t="shared" si="31"/>
        <v>784</v>
      </c>
      <c r="G72" s="43">
        <f t="shared" si="31"/>
        <v>990</v>
      </c>
      <c r="H72" s="43">
        <f ca="1" t="shared" ref="H72:L72" si="32">H70+H71</f>
        <v>917.322850261816</v>
      </c>
      <c r="I72" s="43">
        <f ca="1" t="shared" si="32"/>
        <v>1336.1934231931</v>
      </c>
      <c r="J72" s="43">
        <f ca="1" t="shared" si="32"/>
        <v>1382.90205927631</v>
      </c>
      <c r="K72" s="43">
        <f ca="1" t="shared" si="32"/>
        <v>1432.46802138175</v>
      </c>
      <c r="L72" s="43">
        <f ca="1" t="shared" si="32"/>
        <v>1439.56940788087</v>
      </c>
      <c r="N72" s="42" t="s">
        <v>39</v>
      </c>
    </row>
    <row r="73" spans="3:12">
      <c r="C73" s="54"/>
      <c r="D73" s="55"/>
      <c r="E73" s="55"/>
      <c r="F73" s="55"/>
      <c r="G73" s="55"/>
      <c r="H73" s="56"/>
      <c r="I73" s="56"/>
      <c r="J73" s="55"/>
      <c r="K73" s="55"/>
      <c r="L73" s="55"/>
    </row>
    <row r="74" ht="15" spans="3:14">
      <c r="C74" s="57" t="s">
        <v>40</v>
      </c>
      <c r="D74" s="52"/>
      <c r="E74" s="30">
        <v>428</v>
      </c>
      <c r="F74" s="30">
        <v>450</v>
      </c>
      <c r="G74" s="30">
        <v>516</v>
      </c>
      <c r="H74" s="28">
        <f ca="1" t="shared" ref="H74:L74" si="33">H158</f>
        <v>567.6</v>
      </c>
      <c r="I74" s="28">
        <f ca="1" t="shared" si="33"/>
        <v>636.4842</v>
      </c>
      <c r="J74" s="28">
        <f ca="1" t="shared" si="33"/>
        <v>681.03882</v>
      </c>
      <c r="K74" s="28">
        <f ca="1" t="shared" si="33"/>
        <v>728.4576915</v>
      </c>
      <c r="L74" s="28">
        <f ca="1" t="shared" si="33"/>
        <v>756.66111444</v>
      </c>
      <c r="N74" t="s">
        <v>41</v>
      </c>
    </row>
    <row r="75" ht="15" spans="3:14">
      <c r="C75" s="58" t="s">
        <v>42</v>
      </c>
      <c r="D75" s="53"/>
      <c r="E75" s="43">
        <f t="shared" ref="E75:L75" si="34">E66+E74</f>
        <v>1329</v>
      </c>
      <c r="F75" s="43">
        <f t="shared" si="34"/>
        <v>1411</v>
      </c>
      <c r="G75" s="43">
        <f t="shared" si="34"/>
        <v>1902</v>
      </c>
      <c r="H75" s="43">
        <f ca="1" t="shared" si="34"/>
        <v>1759.813</v>
      </c>
      <c r="I75" s="43">
        <f ca="1" t="shared" si="34"/>
        <v>2418.751181</v>
      </c>
      <c r="J75" s="43">
        <f ca="1" t="shared" si="34"/>
        <v>2529.1032536</v>
      </c>
      <c r="K75" s="43">
        <f ca="1" t="shared" si="34"/>
        <v>2646.3446315075</v>
      </c>
      <c r="L75" s="43">
        <f ca="1" t="shared" si="34"/>
        <v>2684.5516251092</v>
      </c>
      <c r="N75" s="42" t="s">
        <v>43</v>
      </c>
    </row>
    <row r="76" ht="15" spans="3:14">
      <c r="C76" s="59" t="s">
        <v>97</v>
      </c>
      <c r="D76" s="60"/>
      <c r="E76" s="61"/>
      <c r="F76" s="61"/>
      <c r="G76" s="61"/>
      <c r="H76" s="62"/>
      <c r="I76" s="62"/>
      <c r="J76" s="62"/>
      <c r="K76" s="62"/>
      <c r="L76" s="28"/>
      <c r="N76" t="s">
        <v>44</v>
      </c>
    </row>
    <row r="77" spans="3:8">
      <c r="C77" s="54"/>
      <c r="H77" s="63"/>
    </row>
    <row r="78" ht="15" spans="3:3">
      <c r="C78" s="64" t="s">
        <v>45</v>
      </c>
    </row>
    <row r="79" ht="15" spans="3:21">
      <c r="C79" s="54" t="s">
        <v>46</v>
      </c>
      <c r="D79" s="65"/>
      <c r="E79" s="66" t="s">
        <v>47</v>
      </c>
      <c r="F79" s="65">
        <f>F61/E61-1</f>
        <v>-0.0584548769371012</v>
      </c>
      <c r="G79" s="65">
        <f>G61/F61-1</f>
        <v>0.192424059058453</v>
      </c>
      <c r="H79" s="65">
        <f ca="1" t="shared" ref="H79:L79" si="35">H182</f>
        <v>0.1</v>
      </c>
      <c r="I79" s="65">
        <f ca="1" t="shared" si="35"/>
        <v>0.1</v>
      </c>
      <c r="J79" s="65">
        <f ca="1" t="shared" si="35"/>
        <v>0.05</v>
      </c>
      <c r="K79" s="65">
        <f ca="1" t="shared" si="35"/>
        <v>0.05</v>
      </c>
      <c r="L79" s="65">
        <f ca="1" t="shared" si="35"/>
        <v>0.02</v>
      </c>
      <c r="N79" t="s">
        <v>48</v>
      </c>
      <c r="P79" s="87"/>
      <c r="Q79" s="87"/>
      <c r="R79" s="87"/>
      <c r="S79" s="87"/>
      <c r="T79" s="87"/>
      <c r="U79" s="87"/>
    </row>
    <row r="80" ht="15" spans="3:21">
      <c r="C80" s="54" t="s">
        <v>49</v>
      </c>
      <c r="D80" s="65"/>
      <c r="E80" s="65">
        <f t="shared" ref="E80:G80" si="36">E63/E61</f>
        <v>0.241226071103008</v>
      </c>
      <c r="F80" s="65">
        <f t="shared" si="36"/>
        <v>0.237807091855258</v>
      </c>
      <c r="G80" s="65">
        <f t="shared" si="36"/>
        <v>0.215061402618492</v>
      </c>
      <c r="H80" s="65">
        <f ca="1" t="shared" ref="H80:L80" si="37">H183</f>
        <v>0.22</v>
      </c>
      <c r="I80" s="65">
        <f ca="1" t="shared" si="37"/>
        <v>0.22</v>
      </c>
      <c r="J80" s="65">
        <f ca="1" t="shared" si="37"/>
        <v>0.22</v>
      </c>
      <c r="K80" s="65">
        <f ca="1" t="shared" si="37"/>
        <v>0.22</v>
      </c>
      <c r="L80" s="65">
        <f ca="1" t="shared" si="37"/>
        <v>0.22</v>
      </c>
      <c r="N80" t="s">
        <v>50</v>
      </c>
      <c r="P80" s="87"/>
      <c r="Q80" s="87"/>
      <c r="R80" s="87"/>
      <c r="S80" s="87"/>
      <c r="T80" s="87"/>
      <c r="U80" s="87"/>
    </row>
    <row r="81" ht="15" spans="3:21">
      <c r="C81" s="54" t="s">
        <v>51</v>
      </c>
      <c r="D81" s="65"/>
      <c r="E81" s="66" t="s">
        <v>47</v>
      </c>
      <c r="F81" s="65">
        <f>-F64/F61</f>
        <v>0.063536245915527</v>
      </c>
      <c r="G81" s="65">
        <f>-G64/G61</f>
        <v>0.0171521364051558</v>
      </c>
      <c r="H81" s="65">
        <f ca="1" t="shared" ref="H81:L81" si="38">H184</f>
        <v>0.055</v>
      </c>
      <c r="I81" s="65">
        <f ca="1" t="shared" si="38"/>
        <v>0.055</v>
      </c>
      <c r="J81" s="65">
        <f ca="1" t="shared" si="38"/>
        <v>0.055</v>
      </c>
      <c r="K81" s="65">
        <f ca="1" t="shared" si="38"/>
        <v>0.055</v>
      </c>
      <c r="L81" s="65">
        <f ca="1" t="shared" si="38"/>
        <v>0.055</v>
      </c>
      <c r="N81" t="s">
        <v>50</v>
      </c>
      <c r="P81" s="87"/>
      <c r="Q81" s="87"/>
      <c r="R81" s="87"/>
      <c r="S81" s="87"/>
      <c r="T81" s="87"/>
      <c r="U81" s="87"/>
    </row>
    <row r="82" ht="15" spans="3:21">
      <c r="C82" s="54" t="s">
        <v>52</v>
      </c>
      <c r="D82" s="65"/>
      <c r="E82" s="65">
        <f t="shared" ref="E82:G82" si="39">-E65/E61</f>
        <v>0.0554922515952598</v>
      </c>
      <c r="F82" s="65">
        <f t="shared" si="39"/>
        <v>0.057969260559119</v>
      </c>
      <c r="G82" s="65">
        <f t="shared" si="39"/>
        <v>0.0572414493047803</v>
      </c>
      <c r="H82" s="65">
        <f ca="1" t="shared" ref="H82:L82" si="40">H185</f>
        <v>0.055</v>
      </c>
      <c r="I82" s="65">
        <f ca="1" t="shared" si="40"/>
        <v>0.055</v>
      </c>
      <c r="J82" s="65">
        <f ca="1" t="shared" si="40"/>
        <v>0.055</v>
      </c>
      <c r="K82" s="65">
        <f ca="1" t="shared" si="40"/>
        <v>0.055</v>
      </c>
      <c r="L82" s="65">
        <f ca="1" t="shared" si="40"/>
        <v>0.055</v>
      </c>
      <c r="N82" t="s">
        <v>50</v>
      </c>
      <c r="P82" s="87"/>
      <c r="Q82" s="87"/>
      <c r="R82" s="87"/>
      <c r="S82" s="87"/>
      <c r="T82" s="87"/>
      <c r="U82" s="87"/>
    </row>
    <row r="83" ht="15" spans="3:21">
      <c r="C83" s="54" t="s">
        <v>53</v>
      </c>
      <c r="D83" s="65"/>
      <c r="E83" s="65">
        <f t="shared" ref="E83:G83" si="41">-(E71/E70)</f>
        <v>0.28913260219342</v>
      </c>
      <c r="F83" s="65">
        <f t="shared" si="41"/>
        <v>0.292418772563177</v>
      </c>
      <c r="G83" s="65">
        <f t="shared" si="41"/>
        <v>0.288793103448276</v>
      </c>
      <c r="H83" s="65">
        <f>AVERAGE(E83:G83)</f>
        <v>0.290114826068291</v>
      </c>
      <c r="I83" s="65">
        <f t="shared" ref="I83:L83" si="42">H83</f>
        <v>0.290114826068291</v>
      </c>
      <c r="J83" s="65">
        <f t="shared" si="42"/>
        <v>0.290114826068291</v>
      </c>
      <c r="K83" s="65">
        <f t="shared" si="42"/>
        <v>0.290114826068291</v>
      </c>
      <c r="L83" s="65">
        <f t="shared" si="42"/>
        <v>0.290114826068291</v>
      </c>
      <c r="N83" t="s">
        <v>50</v>
      </c>
      <c r="P83" s="87"/>
      <c r="Q83" s="87"/>
      <c r="R83" s="87"/>
      <c r="S83" s="87"/>
      <c r="T83" s="87"/>
      <c r="U83" s="87"/>
    </row>
    <row r="84" spans="3:8">
      <c r="C84" s="54"/>
      <c r="D84" s="54"/>
      <c r="H84" s="63"/>
    </row>
    <row r="85" ht="15" spans="1:12">
      <c r="A85" t="s">
        <v>12</v>
      </c>
      <c r="C85" s="36" t="s">
        <v>54</v>
      </c>
      <c r="D85" s="36"/>
      <c r="E85" s="67"/>
      <c r="F85" s="67"/>
      <c r="G85" s="67"/>
      <c r="H85" s="22"/>
      <c r="I85" s="22"/>
      <c r="J85" s="22"/>
      <c r="K85" s="22"/>
      <c r="L85" s="22"/>
    </row>
    <row r="86" ht="15" spans="3:12">
      <c r="C86" s="68" t="str">
        <f t="shared" ref="C86:L86" si="43">C58</f>
        <v>Fiscal year  </v>
      </c>
      <c r="D86" s="68"/>
      <c r="E86" s="69">
        <f t="shared" si="43"/>
        <v>2019</v>
      </c>
      <c r="F86" s="69">
        <f t="shared" si="43"/>
        <v>2020</v>
      </c>
      <c r="G86" s="69">
        <f t="shared" si="43"/>
        <v>2021</v>
      </c>
      <c r="H86" s="70">
        <f t="shared" si="43"/>
        <v>2022</v>
      </c>
      <c r="I86" s="70">
        <f t="shared" si="43"/>
        <v>2023</v>
      </c>
      <c r="J86" s="70">
        <f t="shared" si="43"/>
        <v>2024</v>
      </c>
      <c r="K86" s="70">
        <f t="shared" si="43"/>
        <v>2025</v>
      </c>
      <c r="L86" s="70">
        <f t="shared" si="43"/>
        <v>2026</v>
      </c>
    </row>
    <row r="87" ht="15" spans="3:12">
      <c r="C87" s="22" t="str">
        <f t="shared" ref="C87:L87" si="44">C59</f>
        <v>Fiscal year end date</v>
      </c>
      <c r="D87" s="22"/>
      <c r="E87" s="71">
        <f t="shared" si="44"/>
        <v>43830</v>
      </c>
      <c r="F87" s="71">
        <f t="shared" si="44"/>
        <v>44196</v>
      </c>
      <c r="G87" s="71">
        <f t="shared" si="44"/>
        <v>44561</v>
      </c>
      <c r="H87" s="71">
        <f t="shared" si="44"/>
        <v>44926</v>
      </c>
      <c r="I87" s="71">
        <f t="shared" si="44"/>
        <v>45291</v>
      </c>
      <c r="J87" s="71">
        <f t="shared" si="44"/>
        <v>45657</v>
      </c>
      <c r="K87" s="71">
        <f t="shared" si="44"/>
        <v>46022</v>
      </c>
      <c r="L87" s="71">
        <f t="shared" si="44"/>
        <v>46387</v>
      </c>
    </row>
    <row r="88" ht="15" spans="3:14">
      <c r="C88" t="s">
        <v>55</v>
      </c>
      <c r="E88" s="52"/>
      <c r="F88" s="30">
        <v>4263</v>
      </c>
      <c r="G88" s="30">
        <v>3996</v>
      </c>
      <c r="H88" s="28">
        <f ca="1" t="shared" ref="H88:L88" si="45">H142+G88</f>
        <v>4068.83319936965</v>
      </c>
      <c r="I88" s="28">
        <f ca="1" t="shared" si="45"/>
        <v>4430.75505747353</v>
      </c>
      <c r="J88" s="28">
        <f ca="1" t="shared" si="45"/>
        <v>4540.28452995078</v>
      </c>
      <c r="K88" s="28">
        <f ca="1" t="shared" si="45"/>
        <v>4502.85325577351</v>
      </c>
      <c r="L88" s="28">
        <f ca="1" t="shared" si="45"/>
        <v>4148.56089775358</v>
      </c>
      <c r="N88" t="s">
        <v>56</v>
      </c>
    </row>
    <row r="89" ht="15" spans="3:23">
      <c r="C89" s="72" t="s">
        <v>57</v>
      </c>
      <c r="E89" s="52"/>
      <c r="F89" s="30">
        <v>99</v>
      </c>
      <c r="G89" s="30">
        <v>67</v>
      </c>
      <c r="H89" s="28">
        <f ca="1" t="shared" ref="H89:L89" si="46">G89*(1+H79)</f>
        <v>73.7</v>
      </c>
      <c r="I89" s="28">
        <f ca="1" t="shared" si="46"/>
        <v>81.07</v>
      </c>
      <c r="J89" s="28">
        <f ca="1" t="shared" si="46"/>
        <v>85.1235</v>
      </c>
      <c r="K89" s="28">
        <f ca="1" t="shared" si="46"/>
        <v>89.379675</v>
      </c>
      <c r="L89" s="28">
        <f ca="1" t="shared" si="46"/>
        <v>91.1672685</v>
      </c>
      <c r="N89" t="s">
        <v>58</v>
      </c>
      <c r="W89" s="28"/>
    </row>
    <row r="90" ht="15" spans="3:14">
      <c r="C90" s="72" t="s">
        <v>59</v>
      </c>
      <c r="E90" s="52"/>
      <c r="F90" s="30">
        <v>398</v>
      </c>
      <c r="G90" s="30">
        <v>432</v>
      </c>
      <c r="H90" s="28">
        <f ca="1" t="shared" ref="H90:L90" si="47">G90*H62/G62</f>
        <v>472.210184639255</v>
      </c>
      <c r="I90" s="28">
        <f ca="1" t="shared" si="47"/>
        <v>519.431203103181</v>
      </c>
      <c r="J90" s="28">
        <f ca="1" t="shared" si="47"/>
        <v>545.40276325834</v>
      </c>
      <c r="K90" s="28">
        <f ca="1" t="shared" si="47"/>
        <v>572.672901421257</v>
      </c>
      <c r="L90" s="28">
        <f ca="1" t="shared" si="47"/>
        <v>584.126359449682</v>
      </c>
      <c r="N90" t="s">
        <v>60</v>
      </c>
    </row>
    <row r="91" s="20" customFormat="1" ht="15" spans="3:14">
      <c r="C91" s="73" t="s">
        <v>61</v>
      </c>
      <c r="D91" s="45"/>
      <c r="E91" s="74"/>
      <c r="F91" s="30">
        <v>176</v>
      </c>
      <c r="G91" s="30">
        <v>221</v>
      </c>
      <c r="H91" s="17">
        <f ca="1" t="shared" ref="H91:L91" si="48">G91*(1+H79)</f>
        <v>243.1</v>
      </c>
      <c r="I91" s="17">
        <f ca="1" t="shared" si="48"/>
        <v>267.41</v>
      </c>
      <c r="J91" s="17">
        <f ca="1" t="shared" si="48"/>
        <v>280.7805</v>
      </c>
      <c r="K91" s="17">
        <f ca="1" t="shared" si="48"/>
        <v>294.819525</v>
      </c>
      <c r="L91" s="17">
        <f ca="1" t="shared" si="48"/>
        <v>300.7159155</v>
      </c>
      <c r="M91" s="45"/>
      <c r="N91" s="45" t="s">
        <v>62</v>
      </c>
    </row>
    <row r="92" s="20" customFormat="1" ht="15" spans="3:15">
      <c r="C92" s="73" t="s">
        <v>63</v>
      </c>
      <c r="D92" s="45"/>
      <c r="E92" s="74"/>
      <c r="F92" s="30">
        <v>2164</v>
      </c>
      <c r="G92" s="30">
        <v>2612</v>
      </c>
      <c r="H92" s="62">
        <f ca="1" t="shared" ref="H92:L92" si="49">G92*(1+H80)</f>
        <v>3186.64</v>
      </c>
      <c r="I92" s="62">
        <f ca="1" t="shared" si="49"/>
        <v>3887.7008</v>
      </c>
      <c r="J92" s="62">
        <f ca="1" t="shared" si="49"/>
        <v>4742.994976</v>
      </c>
      <c r="K92" s="62">
        <f ca="1" t="shared" si="49"/>
        <v>5786.45387072</v>
      </c>
      <c r="L92" s="62">
        <f ca="1" t="shared" si="49"/>
        <v>7059.4737222784</v>
      </c>
      <c r="M92" s="45"/>
      <c r="N92" s="45"/>
      <c r="O92" s="88"/>
    </row>
    <row r="93" s="20" customFormat="1" ht="15" spans="3:15">
      <c r="C93" s="73" t="s">
        <v>64</v>
      </c>
      <c r="E93" s="60"/>
      <c r="F93" s="30">
        <v>98</v>
      </c>
      <c r="G93" s="30">
        <v>106</v>
      </c>
      <c r="H93" s="62">
        <f ca="1" t="shared" ref="H93:L93" si="50">G93*(1+H79)</f>
        <v>116.6</v>
      </c>
      <c r="I93" s="62">
        <f ca="1" t="shared" si="50"/>
        <v>128.26</v>
      </c>
      <c r="J93" s="62">
        <f ca="1" t="shared" si="50"/>
        <v>134.673</v>
      </c>
      <c r="K93" s="62">
        <f ca="1" t="shared" si="50"/>
        <v>141.40665</v>
      </c>
      <c r="L93" s="62">
        <f ca="1" t="shared" si="50"/>
        <v>144.234783</v>
      </c>
      <c r="O93" s="88"/>
    </row>
    <row r="94" s="20" customFormat="1" ht="15" spans="3:14">
      <c r="C94" s="73" t="s">
        <v>65</v>
      </c>
      <c r="E94" s="60"/>
      <c r="F94" s="30">
        <v>1765</v>
      </c>
      <c r="G94" s="30">
        <v>2251</v>
      </c>
      <c r="H94" s="62">
        <f ca="1" t="shared" ref="H94:L94" si="51">H151</f>
        <v>2785.6</v>
      </c>
      <c r="I94" s="62">
        <f ca="1" t="shared" si="51"/>
        <v>3361.5358</v>
      </c>
      <c r="J94" s="62">
        <f ca="1" t="shared" si="51"/>
        <v>3953.53798</v>
      </c>
      <c r="K94" s="62">
        <f ca="1" t="shared" si="51"/>
        <v>4561.7733385</v>
      </c>
      <c r="L94" s="62">
        <f ca="1" t="shared" si="51"/>
        <v>5168.53913506</v>
      </c>
      <c r="N94" s="20" t="s">
        <v>66</v>
      </c>
    </row>
    <row r="95" s="20" customFormat="1" ht="15" spans="3:18">
      <c r="C95" s="73" t="s">
        <v>67</v>
      </c>
      <c r="D95" s="75"/>
      <c r="E95" s="76"/>
      <c r="F95" s="77">
        <v>246</v>
      </c>
      <c r="G95" s="77">
        <v>272</v>
      </c>
      <c r="H95" s="62">
        <f ca="1" t="shared" ref="H95:L95" si="52">G95*(1+H79)</f>
        <v>299.2</v>
      </c>
      <c r="I95" s="62">
        <f ca="1" t="shared" si="52"/>
        <v>329.12</v>
      </c>
      <c r="J95" s="62">
        <f ca="1" t="shared" si="52"/>
        <v>345.576</v>
      </c>
      <c r="K95" s="62">
        <f ca="1" t="shared" si="52"/>
        <v>362.8548</v>
      </c>
      <c r="L95" s="62">
        <f ca="1" t="shared" si="52"/>
        <v>370.111896</v>
      </c>
      <c r="R95" s="89"/>
    </row>
    <row r="96" s="20" customFormat="1" ht="15" spans="3:12">
      <c r="C96" s="73" t="s">
        <v>68</v>
      </c>
      <c r="D96" s="75"/>
      <c r="E96" s="76"/>
      <c r="F96" s="77">
        <v>85</v>
      </c>
      <c r="G96" s="77">
        <v>292</v>
      </c>
      <c r="H96" s="62">
        <f ca="1" t="shared" ref="H96:L96" si="53">G96*(1+H79)</f>
        <v>321.2</v>
      </c>
      <c r="I96" s="62">
        <f ca="1" t="shared" si="53"/>
        <v>353.32</v>
      </c>
      <c r="J96" s="62">
        <f ca="1" t="shared" si="53"/>
        <v>370.986</v>
      </c>
      <c r="K96" s="62">
        <f ca="1" t="shared" si="53"/>
        <v>389.5353</v>
      </c>
      <c r="L96" s="62">
        <f ca="1" t="shared" si="53"/>
        <v>397.326006</v>
      </c>
    </row>
    <row r="97" s="20" customFormat="1" ht="15" spans="3:12">
      <c r="C97" s="73" t="s">
        <v>69</v>
      </c>
      <c r="D97" s="75"/>
      <c r="E97" s="76"/>
      <c r="F97" s="77">
        <v>832</v>
      </c>
      <c r="G97" s="77">
        <v>2142</v>
      </c>
      <c r="H97" s="62">
        <f t="shared" ref="H97:L97" si="54">G97</f>
        <v>2142</v>
      </c>
      <c r="I97" s="62">
        <f t="shared" si="54"/>
        <v>2142</v>
      </c>
      <c r="J97" s="62">
        <f t="shared" si="54"/>
        <v>2142</v>
      </c>
      <c r="K97" s="62">
        <f t="shared" si="54"/>
        <v>2142</v>
      </c>
      <c r="L97" s="62">
        <f t="shared" si="54"/>
        <v>2142</v>
      </c>
    </row>
    <row r="98" ht="15" spans="3:14">
      <c r="C98" s="72" t="s">
        <v>70</v>
      </c>
      <c r="D98" s="72"/>
      <c r="E98" s="78"/>
      <c r="F98" s="77">
        <v>749</v>
      </c>
      <c r="G98" s="77">
        <v>832</v>
      </c>
      <c r="H98" s="28">
        <f ca="1" t="shared" ref="H98:L98" si="55">G98*(1+H79)</f>
        <v>915.2</v>
      </c>
      <c r="I98" s="28">
        <f ca="1" t="shared" si="55"/>
        <v>1006.72</v>
      </c>
      <c r="J98" s="28">
        <f ca="1" t="shared" si="55"/>
        <v>1057.056</v>
      </c>
      <c r="K98" s="28">
        <f ca="1" t="shared" si="55"/>
        <v>1109.9088</v>
      </c>
      <c r="L98" s="28">
        <f ca="1" t="shared" si="55"/>
        <v>1132.106976</v>
      </c>
      <c r="N98" t="s">
        <v>58</v>
      </c>
    </row>
    <row r="99" ht="15" spans="3:12">
      <c r="C99" s="79" t="s">
        <v>71</v>
      </c>
      <c r="D99" s="58"/>
      <c r="E99" s="53"/>
      <c r="F99" s="43">
        <f t="shared" ref="F99:L99" si="56">SUM(F88:F98)</f>
        <v>10875</v>
      </c>
      <c r="G99" s="43">
        <f t="shared" si="56"/>
        <v>13223</v>
      </c>
      <c r="H99" s="43">
        <f ca="1" t="shared" si="56"/>
        <v>14624.2833840089</v>
      </c>
      <c r="I99" s="43">
        <f ca="1" t="shared" si="56"/>
        <v>16507.3228605767</v>
      </c>
      <c r="J99" s="43">
        <f ca="1" t="shared" si="56"/>
        <v>18198.4152492091</v>
      </c>
      <c r="K99" s="43">
        <f ca="1" t="shared" si="56"/>
        <v>19953.6581164148</v>
      </c>
      <c r="L99" s="43">
        <f ca="1" t="shared" si="56"/>
        <v>21538.3629595417</v>
      </c>
    </row>
    <row r="100" spans="3:12">
      <c r="C100" s="80"/>
      <c r="D100" s="57"/>
      <c r="E100" s="55"/>
      <c r="F100" s="55"/>
      <c r="G100" s="55"/>
      <c r="H100" s="55"/>
      <c r="I100" s="55"/>
      <c r="J100" s="55"/>
      <c r="K100" s="55"/>
      <c r="L100" s="55"/>
    </row>
    <row r="101" ht="15" spans="3:14">
      <c r="C101" s="80" t="s">
        <v>72</v>
      </c>
      <c r="D101" s="57"/>
      <c r="E101" s="52"/>
      <c r="F101" s="30">
        <v>1995</v>
      </c>
      <c r="G101" s="30">
        <v>2332</v>
      </c>
      <c r="H101" s="28">
        <f ca="1" t="shared" ref="H101:L101" si="57">G101*H62/G62</f>
        <v>2549.06053374709</v>
      </c>
      <c r="I101" s="28">
        <f ca="1" t="shared" si="57"/>
        <v>2803.9665871218</v>
      </c>
      <c r="J101" s="28">
        <f ca="1" t="shared" si="57"/>
        <v>2944.16491647789</v>
      </c>
      <c r="K101" s="28">
        <f ca="1" t="shared" si="57"/>
        <v>3091.37316230179</v>
      </c>
      <c r="L101" s="28">
        <f ca="1" t="shared" si="57"/>
        <v>3153.20062554782</v>
      </c>
      <c r="N101" t="s">
        <v>73</v>
      </c>
    </row>
    <row r="102" ht="15" spans="3:14">
      <c r="C102" s="80" t="s">
        <v>74</v>
      </c>
      <c r="D102" s="57"/>
      <c r="E102" s="52"/>
      <c r="F102" s="30">
        <v>72</v>
      </c>
      <c r="G102" s="30">
        <v>51</v>
      </c>
      <c r="H102" s="28">
        <f ca="1" t="shared" ref="H102:L102" si="58">G102*(1+H79)</f>
        <v>56.1</v>
      </c>
      <c r="I102" s="28">
        <f ca="1" t="shared" si="58"/>
        <v>61.71</v>
      </c>
      <c r="J102" s="28">
        <f ca="1" t="shared" si="58"/>
        <v>64.7955</v>
      </c>
      <c r="K102" s="28">
        <f ca="1" t="shared" si="58"/>
        <v>68.035275</v>
      </c>
      <c r="L102" s="28">
        <f ca="1" t="shared" si="58"/>
        <v>69.3959805</v>
      </c>
      <c r="N102" t="s">
        <v>75</v>
      </c>
    </row>
    <row r="103" ht="15" spans="3:14">
      <c r="C103" s="79" t="s">
        <v>76</v>
      </c>
      <c r="D103" s="57"/>
      <c r="E103" s="52"/>
      <c r="F103" s="30">
        <f t="shared" ref="F103:L103" si="59">SUM(F101:F102)</f>
        <v>2067</v>
      </c>
      <c r="G103" s="30">
        <f t="shared" si="59"/>
        <v>2383</v>
      </c>
      <c r="H103" s="28">
        <f ca="1" t="shared" si="59"/>
        <v>2605.16053374709</v>
      </c>
      <c r="I103" s="28">
        <f ca="1" t="shared" si="59"/>
        <v>2865.6765871218</v>
      </c>
      <c r="J103" s="28">
        <f ca="1" t="shared" si="59"/>
        <v>3008.96041647789</v>
      </c>
      <c r="K103" s="28">
        <f ca="1" t="shared" si="59"/>
        <v>3159.40843730179</v>
      </c>
      <c r="L103" s="28">
        <f ca="1" t="shared" si="59"/>
        <v>3222.59660604782</v>
      </c>
      <c r="N103" t="s">
        <v>77</v>
      </c>
    </row>
    <row r="104" ht="15" spans="3:14">
      <c r="C104" s="80" t="s">
        <v>78</v>
      </c>
      <c r="D104" s="57"/>
      <c r="E104" s="52"/>
      <c r="F104" s="30">
        <v>1915</v>
      </c>
      <c r="G104" s="30">
        <v>2286</v>
      </c>
      <c r="H104" s="28">
        <f ca="1" t="shared" ref="H104:L104" si="60">G104*(1+H79)</f>
        <v>2514.6</v>
      </c>
      <c r="I104" s="28">
        <f ca="1" t="shared" si="60"/>
        <v>2766.06</v>
      </c>
      <c r="J104" s="28">
        <f ca="1" t="shared" si="60"/>
        <v>2904.363</v>
      </c>
      <c r="K104" s="28">
        <f ca="1" t="shared" si="60"/>
        <v>3049.58115</v>
      </c>
      <c r="L104" s="28">
        <f ca="1" t="shared" si="60"/>
        <v>3110.572773</v>
      </c>
      <c r="N104" t="s">
        <v>75</v>
      </c>
    </row>
    <row r="105" ht="15" spans="3:12">
      <c r="C105" s="80" t="s">
        <v>79</v>
      </c>
      <c r="D105" s="57"/>
      <c r="E105" s="52"/>
      <c r="F105" s="30">
        <v>28</v>
      </c>
      <c r="G105" s="30">
        <v>40</v>
      </c>
      <c r="H105" s="28">
        <f t="shared" ref="H105:L105" si="61">G105</f>
        <v>40</v>
      </c>
      <c r="I105" s="28">
        <f t="shared" si="61"/>
        <v>40</v>
      </c>
      <c r="J105" s="28">
        <f t="shared" si="61"/>
        <v>40</v>
      </c>
      <c r="K105" s="28">
        <f t="shared" si="61"/>
        <v>40</v>
      </c>
      <c r="L105" s="28">
        <f t="shared" si="61"/>
        <v>40</v>
      </c>
    </row>
    <row r="106" ht="15" spans="3:14">
      <c r="C106" s="80" t="s">
        <v>80</v>
      </c>
      <c r="D106" s="57"/>
      <c r="E106" s="52"/>
      <c r="F106" s="30">
        <v>227</v>
      </c>
      <c r="G106" s="30">
        <v>425</v>
      </c>
      <c r="H106" s="28">
        <f t="shared" ref="H106:L106" si="62">G106</f>
        <v>425</v>
      </c>
      <c r="I106" s="28">
        <f t="shared" si="62"/>
        <v>425</v>
      </c>
      <c r="J106" s="28">
        <f t="shared" si="62"/>
        <v>425</v>
      </c>
      <c r="K106" s="28">
        <f t="shared" si="62"/>
        <v>425</v>
      </c>
      <c r="L106" s="28">
        <f t="shared" si="62"/>
        <v>425</v>
      </c>
      <c r="N106" t="s">
        <v>81</v>
      </c>
    </row>
    <row r="107" ht="15.75" customHeight="1" spans="3:14">
      <c r="C107" s="80" t="s">
        <v>82</v>
      </c>
      <c r="D107" s="57"/>
      <c r="E107" s="52"/>
      <c r="F107" s="30">
        <v>167</v>
      </c>
      <c r="G107" s="30">
        <v>167</v>
      </c>
      <c r="H107" s="28">
        <f ca="1" t="shared" ref="H107:L107" si="63">G107*(1+H79)</f>
        <v>183.7</v>
      </c>
      <c r="I107" s="28">
        <f ca="1" t="shared" si="63"/>
        <v>202.07</v>
      </c>
      <c r="J107" s="28">
        <f ca="1" t="shared" si="63"/>
        <v>212.1735</v>
      </c>
      <c r="K107" s="28">
        <f ca="1" t="shared" si="63"/>
        <v>222.782175</v>
      </c>
      <c r="L107" s="28">
        <f ca="1" t="shared" si="63"/>
        <v>227.2378185</v>
      </c>
      <c r="N107" t="s">
        <v>58</v>
      </c>
    </row>
    <row r="108" ht="15" spans="3:12">
      <c r="C108" s="58" t="s">
        <v>83</v>
      </c>
      <c r="D108" s="58"/>
      <c r="E108" s="53"/>
      <c r="F108" s="43">
        <f>SUM(F103:F107)</f>
        <v>4404</v>
      </c>
      <c r="G108" s="43">
        <f>SUM(G103:G107)</f>
        <v>5301</v>
      </c>
      <c r="H108" s="43">
        <f ca="1" t="shared" ref="H108:L108" si="64">SUM(H101:H102)+SUM(H104:H104)+H106+H107</f>
        <v>5728.46053374709</v>
      </c>
      <c r="I108" s="43">
        <f ca="1" t="shared" si="64"/>
        <v>6258.8065871218</v>
      </c>
      <c r="J108" s="43">
        <f ca="1" t="shared" si="64"/>
        <v>6550.49691647789</v>
      </c>
      <c r="K108" s="43">
        <f ca="1" t="shared" si="64"/>
        <v>6856.77176230179</v>
      </c>
      <c r="L108" s="43">
        <f ca="1" t="shared" si="64"/>
        <v>6985.40719754782</v>
      </c>
    </row>
    <row r="109" ht="15" spans="3:12">
      <c r="C109" s="58"/>
      <c r="D109" s="58"/>
      <c r="E109" s="53"/>
      <c r="F109" s="53"/>
      <c r="G109" s="53"/>
      <c r="H109" s="55"/>
      <c r="I109" s="55"/>
      <c r="J109" s="55"/>
      <c r="K109" s="55"/>
      <c r="L109" s="55"/>
    </row>
    <row r="110" ht="15" spans="3:14">
      <c r="C110" s="57" t="s">
        <v>84</v>
      </c>
      <c r="D110" s="57"/>
      <c r="E110" s="52"/>
      <c r="F110" s="30">
        <v>4</v>
      </c>
      <c r="G110" s="30">
        <v>4</v>
      </c>
      <c r="H110" s="28">
        <f t="shared" ref="H110:L110" si="65">G110+H76</f>
        <v>4</v>
      </c>
      <c r="I110" s="28">
        <f t="shared" si="65"/>
        <v>4</v>
      </c>
      <c r="J110" s="28">
        <f t="shared" si="65"/>
        <v>4</v>
      </c>
      <c r="K110" s="28">
        <f t="shared" si="65"/>
        <v>4</v>
      </c>
      <c r="L110" s="28">
        <f t="shared" si="65"/>
        <v>4</v>
      </c>
      <c r="N110" t="s">
        <v>85</v>
      </c>
    </row>
    <row r="111" ht="15" spans="3:12">
      <c r="C111" s="57" t="s">
        <v>86</v>
      </c>
      <c r="D111" s="57"/>
      <c r="E111" s="52"/>
      <c r="F111" s="30">
        <v>-728</v>
      </c>
      <c r="G111" s="30">
        <v>-803</v>
      </c>
      <c r="H111" s="28">
        <v>-763</v>
      </c>
      <c r="I111" s="28">
        <f t="shared" ref="I111:L111" si="66">H111</f>
        <v>-763</v>
      </c>
      <c r="J111" s="28">
        <f t="shared" si="66"/>
        <v>-763</v>
      </c>
      <c r="K111" s="28">
        <f t="shared" si="66"/>
        <v>-763</v>
      </c>
      <c r="L111" s="28">
        <f t="shared" si="66"/>
        <v>-763</v>
      </c>
    </row>
    <row r="112" ht="15" spans="3:12">
      <c r="C112" s="57" t="s">
        <v>87</v>
      </c>
      <c r="D112" s="57"/>
      <c r="E112" s="52"/>
      <c r="F112" s="30">
        <v>4658</v>
      </c>
      <c r="G112" s="30">
        <v>4695</v>
      </c>
      <c r="H112" s="28">
        <f t="shared" ref="H112:L112" si="67">G112</f>
        <v>4695</v>
      </c>
      <c r="I112" s="28">
        <f t="shared" si="67"/>
        <v>4695</v>
      </c>
      <c r="J112" s="28">
        <f t="shared" si="67"/>
        <v>4695</v>
      </c>
      <c r="K112" s="28">
        <f t="shared" si="67"/>
        <v>4695</v>
      </c>
      <c r="L112" s="28">
        <f t="shared" si="67"/>
        <v>4695</v>
      </c>
    </row>
    <row r="113" ht="15.75" customHeight="1" spans="3:15">
      <c r="C113" s="57" t="s">
        <v>88</v>
      </c>
      <c r="D113" s="57"/>
      <c r="E113" s="81"/>
      <c r="F113" s="30">
        <v>2105</v>
      </c>
      <c r="G113" s="30">
        <v>2892</v>
      </c>
      <c r="H113" s="28">
        <f ca="1" t="shared" ref="H113:L113" si="68">H171</f>
        <v>3825.82285026182</v>
      </c>
      <c r="I113" s="28">
        <f ca="1" t="shared" si="68"/>
        <v>5178.51627345491</v>
      </c>
      <c r="J113" s="28">
        <f ca="1" t="shared" si="68"/>
        <v>6577.91833273123</v>
      </c>
      <c r="K113" s="28">
        <f ca="1" t="shared" si="68"/>
        <v>8026.88635411298</v>
      </c>
      <c r="L113" s="28">
        <f ca="1" t="shared" si="68"/>
        <v>9482.95576199385</v>
      </c>
      <c r="N113" t="s">
        <v>89</v>
      </c>
      <c r="O113" s="55"/>
    </row>
    <row r="114" ht="15.75" customHeight="1" spans="3:14">
      <c r="C114" s="57" t="s">
        <v>90</v>
      </c>
      <c r="D114" s="57"/>
      <c r="E114" s="52"/>
      <c r="F114" s="30">
        <v>167</v>
      </c>
      <c r="G114" s="30">
        <v>268</v>
      </c>
      <c r="H114" s="28">
        <f t="shared" ref="H114:L114" si="69">G114</f>
        <v>268</v>
      </c>
      <c r="I114" s="28">
        <f t="shared" si="69"/>
        <v>268</v>
      </c>
      <c r="J114" s="28">
        <f t="shared" si="69"/>
        <v>268</v>
      </c>
      <c r="K114" s="28">
        <f t="shared" si="69"/>
        <v>268</v>
      </c>
      <c r="L114" s="28">
        <f t="shared" si="69"/>
        <v>268</v>
      </c>
      <c r="N114" t="s">
        <v>81</v>
      </c>
    </row>
    <row r="115" ht="15.75" customHeight="1" spans="3:12">
      <c r="C115" s="57" t="s">
        <v>91</v>
      </c>
      <c r="D115" s="57"/>
      <c r="E115" s="52"/>
      <c r="F115" s="30">
        <v>265</v>
      </c>
      <c r="G115" s="30">
        <v>866</v>
      </c>
      <c r="H115" s="28">
        <f t="shared" ref="H115:L115" si="70">G115</f>
        <v>866</v>
      </c>
      <c r="I115" s="28">
        <f t="shared" si="70"/>
        <v>866</v>
      </c>
      <c r="J115" s="28">
        <f t="shared" si="70"/>
        <v>866</v>
      </c>
      <c r="K115" s="28">
        <f t="shared" si="70"/>
        <v>866</v>
      </c>
      <c r="L115" s="28">
        <f t="shared" si="70"/>
        <v>866</v>
      </c>
    </row>
    <row r="116" ht="15" spans="3:12">
      <c r="C116" s="58" t="s">
        <v>92</v>
      </c>
      <c r="D116" s="58"/>
      <c r="E116" s="82"/>
      <c r="F116" s="83">
        <f t="shared" ref="F116:L116" si="71">SUM(F110:F115)</f>
        <v>6471</v>
      </c>
      <c r="G116" s="83">
        <f t="shared" si="71"/>
        <v>7922</v>
      </c>
      <c r="H116" s="83">
        <f ca="1" t="shared" si="71"/>
        <v>8895.82285026181</v>
      </c>
      <c r="I116" s="83">
        <f ca="1" t="shared" si="71"/>
        <v>10248.5162734549</v>
      </c>
      <c r="J116" s="83">
        <f ca="1" t="shared" si="71"/>
        <v>11647.9183327312</v>
      </c>
      <c r="K116" s="83">
        <f ca="1" t="shared" si="71"/>
        <v>13096.886354113</v>
      </c>
      <c r="L116" s="83">
        <f ca="1" t="shared" si="71"/>
        <v>14552.9557619938</v>
      </c>
    </row>
    <row r="117" spans="5:7">
      <c r="E117" s="55"/>
      <c r="F117" s="55"/>
      <c r="G117" s="55"/>
    </row>
    <row r="118" ht="15" spans="3:12">
      <c r="C118" s="37" t="s">
        <v>93</v>
      </c>
      <c r="D118" s="37"/>
      <c r="E118" s="84"/>
      <c r="F118" s="85">
        <f t="shared" ref="F118:L118" si="72">ROUND(F99-F108-F116,3)</f>
        <v>0</v>
      </c>
      <c r="G118" s="85">
        <f t="shared" si="72"/>
        <v>0</v>
      </c>
      <c r="H118" s="85">
        <f ca="1" t="shared" si="72"/>
        <v>0</v>
      </c>
      <c r="I118" s="85">
        <f ca="1" t="shared" si="72"/>
        <v>0</v>
      </c>
      <c r="J118" s="85">
        <f ca="1" t="shared" si="72"/>
        <v>0</v>
      </c>
      <c r="K118" s="85">
        <f ca="1" t="shared" si="72"/>
        <v>0</v>
      </c>
      <c r="L118" s="85">
        <f ca="1" t="shared" si="72"/>
        <v>0</v>
      </c>
    </row>
    <row r="119" spans="6:12">
      <c r="F119" s="55"/>
      <c r="G119" s="55"/>
      <c r="I119" s="55"/>
      <c r="J119" s="55"/>
      <c r="K119" s="55"/>
      <c r="L119" s="55"/>
    </row>
    <row r="120" ht="15" spans="1:12">
      <c r="A120" t="s">
        <v>12</v>
      </c>
      <c r="C120" s="36" t="s">
        <v>94</v>
      </c>
      <c r="D120" s="36"/>
      <c r="E120" s="67"/>
      <c r="F120" s="67"/>
      <c r="G120" s="67"/>
      <c r="H120" s="67"/>
      <c r="I120" s="67"/>
      <c r="J120" s="67"/>
      <c r="K120" s="67"/>
      <c r="L120" s="67"/>
    </row>
    <row r="121" ht="15" spans="3:12">
      <c r="C121" s="68" t="str">
        <f>C58</f>
        <v>Fiscal year  </v>
      </c>
      <c r="D121" s="68"/>
      <c r="E121" s="69"/>
      <c r="F121" s="69"/>
      <c r="G121" s="69"/>
      <c r="H121" s="70">
        <f t="shared" ref="H121:L121" si="73">H58</f>
        <v>2022</v>
      </c>
      <c r="I121" s="70">
        <f t="shared" si="73"/>
        <v>2023</v>
      </c>
      <c r="J121" s="70">
        <f t="shared" si="73"/>
        <v>2024</v>
      </c>
      <c r="K121" s="70">
        <f t="shared" si="73"/>
        <v>2025</v>
      </c>
      <c r="L121" s="70">
        <f t="shared" si="73"/>
        <v>2026</v>
      </c>
    </row>
    <row r="122" ht="15" spans="3:12">
      <c r="C122" s="22" t="str">
        <f>C59</f>
        <v>Fiscal year end date</v>
      </c>
      <c r="D122" s="22"/>
      <c r="E122" s="71"/>
      <c r="F122" s="71"/>
      <c r="G122" s="71"/>
      <c r="H122" s="71">
        <f t="shared" ref="H122:L122" si="74">H59</f>
        <v>44926</v>
      </c>
      <c r="I122" s="71">
        <f t="shared" si="74"/>
        <v>45291</v>
      </c>
      <c r="J122" s="71">
        <f t="shared" si="74"/>
        <v>45657</v>
      </c>
      <c r="K122" s="71">
        <f t="shared" si="74"/>
        <v>46022</v>
      </c>
      <c r="L122" s="71">
        <f t="shared" si="74"/>
        <v>46387</v>
      </c>
    </row>
    <row r="124" ht="15" spans="3:14">
      <c r="C124" t="s">
        <v>38</v>
      </c>
      <c r="E124" s="86"/>
      <c r="F124" s="86"/>
      <c r="G124" s="86"/>
      <c r="H124" s="28">
        <f ca="1" t="shared" ref="H124:L124" si="75">H72</f>
        <v>917.322850261816</v>
      </c>
      <c r="I124" s="28">
        <f ca="1" t="shared" si="75"/>
        <v>1336.1934231931</v>
      </c>
      <c r="J124" s="28">
        <f ca="1" t="shared" si="75"/>
        <v>1382.90205927631</v>
      </c>
      <c r="K124" s="28">
        <f ca="1" t="shared" si="75"/>
        <v>1432.46802138175</v>
      </c>
      <c r="L124" s="28">
        <f ca="1" t="shared" si="75"/>
        <v>1439.56940788087</v>
      </c>
      <c r="N124" s="42"/>
    </row>
    <row r="125" spans="3:14">
      <c r="C125" t="s">
        <v>95</v>
      </c>
      <c r="E125" s="86"/>
      <c r="F125" s="86"/>
      <c r="G125" s="86"/>
      <c r="H125" s="28">
        <f ca="1" t="shared" ref="H125:L125" si="76">H74</f>
        <v>567.6</v>
      </c>
      <c r="I125" s="28">
        <f ca="1" t="shared" si="76"/>
        <v>636.4842</v>
      </c>
      <c r="J125" s="28">
        <f ca="1" t="shared" si="76"/>
        <v>681.03882</v>
      </c>
      <c r="K125" s="28">
        <f ca="1" t="shared" si="76"/>
        <v>728.4576915</v>
      </c>
      <c r="L125" s="28">
        <f ca="1" t="shared" si="76"/>
        <v>756.66111444</v>
      </c>
      <c r="N125" t="s">
        <v>96</v>
      </c>
    </row>
    <row r="126" spans="3:12">
      <c r="C126" t="s">
        <v>97</v>
      </c>
      <c r="E126" s="86"/>
      <c r="F126" s="86"/>
      <c r="G126" s="86"/>
      <c r="H126" s="28">
        <f t="shared" ref="H126:L126" si="77">H76</f>
        <v>0</v>
      </c>
      <c r="I126" s="28">
        <f t="shared" si="77"/>
        <v>0</v>
      </c>
      <c r="J126" s="28">
        <f t="shared" si="77"/>
        <v>0</v>
      </c>
      <c r="K126" s="28">
        <f t="shared" si="77"/>
        <v>0</v>
      </c>
      <c r="L126" s="28">
        <f t="shared" si="77"/>
        <v>0</v>
      </c>
    </row>
    <row r="127" spans="3:12">
      <c r="C127" t="s">
        <v>98</v>
      </c>
      <c r="E127" s="55"/>
      <c r="F127" s="55"/>
      <c r="G127" s="55"/>
      <c r="H127" s="28">
        <f ca="1" t="shared" ref="H127:L127" si="78">SUM(G89:G91)-SUM(H89:H91)</f>
        <v>-69.0101846392553</v>
      </c>
      <c r="I127" s="28">
        <f ca="1" t="shared" si="78"/>
        <v>-78.9010184639257</v>
      </c>
      <c r="J127" s="28">
        <f ca="1" t="shared" si="78"/>
        <v>-43.3955601551588</v>
      </c>
      <c r="K127" s="28">
        <f ca="1" t="shared" si="78"/>
        <v>-45.5653381629172</v>
      </c>
      <c r="L127" s="28">
        <f ca="1" t="shared" si="78"/>
        <v>-19.1374420284251</v>
      </c>
    </row>
    <row r="128" spans="3:12">
      <c r="C128" t="s">
        <v>99</v>
      </c>
      <c r="E128" s="55"/>
      <c r="F128" s="55"/>
      <c r="G128" s="55"/>
      <c r="H128" s="28">
        <f ca="1" t="shared" ref="H128:L128" si="79">SUM(H101:H102)-SUM(G101:G102)</f>
        <v>222.160533747091</v>
      </c>
      <c r="I128" s="28">
        <f ca="1" t="shared" si="79"/>
        <v>260.51605337471</v>
      </c>
      <c r="J128" s="28">
        <f ca="1" t="shared" si="79"/>
        <v>143.283829356089</v>
      </c>
      <c r="K128" s="28">
        <f ca="1" t="shared" si="79"/>
        <v>150.448020823895</v>
      </c>
      <c r="L128" s="28">
        <f ca="1" t="shared" si="79"/>
        <v>63.1881687460359</v>
      </c>
    </row>
    <row r="129" spans="3:14">
      <c r="C129" t="s">
        <v>100</v>
      </c>
      <c r="H129" s="28">
        <f ca="1" t="shared" ref="H129:L129" si="80">-H163</f>
        <v>-83.2</v>
      </c>
      <c r="I129" s="28">
        <f ca="1" t="shared" si="80"/>
        <v>-91.5200000000001</v>
      </c>
      <c r="J129" s="28">
        <f ca="1" t="shared" si="80"/>
        <v>-50.3360000000001</v>
      </c>
      <c r="K129" s="28">
        <f ca="1" t="shared" si="80"/>
        <v>-52.8528000000001</v>
      </c>
      <c r="L129" s="28">
        <f ca="1" t="shared" si="80"/>
        <v>-22.1981760000001</v>
      </c>
      <c r="N129" t="s">
        <v>101</v>
      </c>
    </row>
    <row r="130" ht="15" spans="3:14">
      <c r="C130" t="s">
        <v>82</v>
      </c>
      <c r="H130" s="28">
        <f ca="1" t="shared" ref="H130:L130" si="81">H107-G107</f>
        <v>16.7</v>
      </c>
      <c r="I130" s="28">
        <f ca="1" t="shared" si="81"/>
        <v>18.37</v>
      </c>
      <c r="J130" s="28">
        <f ca="1" t="shared" si="81"/>
        <v>10.1035</v>
      </c>
      <c r="K130" s="28">
        <f ca="1" t="shared" si="81"/>
        <v>10.608675</v>
      </c>
      <c r="L130" s="28">
        <f ca="1" t="shared" si="81"/>
        <v>4.45564350000001</v>
      </c>
      <c r="N130" s="42"/>
    </row>
    <row r="131" ht="15" spans="3:12">
      <c r="C131" s="42" t="s">
        <v>102</v>
      </c>
      <c r="D131" s="42"/>
      <c r="H131" s="83">
        <f ca="1" t="shared" ref="H131:L131" si="82">SUM(H124:H130)</f>
        <v>1571.57319936965</v>
      </c>
      <c r="I131" s="83">
        <f ca="1" t="shared" si="82"/>
        <v>2081.14265810388</v>
      </c>
      <c r="J131" s="83">
        <f ca="1" t="shared" si="82"/>
        <v>2123.59664847724</v>
      </c>
      <c r="K131" s="83">
        <f ca="1" t="shared" si="82"/>
        <v>2223.56427054273</v>
      </c>
      <c r="L131" s="83">
        <f ca="1" t="shared" si="82"/>
        <v>2222.53871653848</v>
      </c>
    </row>
    <row r="132" spans="8:12">
      <c r="H132" s="55"/>
      <c r="I132" s="55"/>
      <c r="J132" s="55"/>
      <c r="K132" s="55"/>
      <c r="L132" s="55"/>
    </row>
    <row r="133" spans="3:14">
      <c r="C133" t="s">
        <v>103</v>
      </c>
      <c r="H133" s="28">
        <f ca="1" t="shared" ref="H133:L133" si="83">-(H149)</f>
        <v>-1102.2</v>
      </c>
      <c r="I133" s="28">
        <f ca="1" t="shared" si="83"/>
        <v>-1212.42</v>
      </c>
      <c r="J133" s="28">
        <f ca="1" t="shared" si="83"/>
        <v>-1273.041</v>
      </c>
      <c r="K133" s="28">
        <f ca="1" t="shared" si="83"/>
        <v>-1336.69305</v>
      </c>
      <c r="L133" s="28">
        <f ca="1" t="shared" si="83"/>
        <v>-1363.426911</v>
      </c>
      <c r="N133" t="s">
        <v>66</v>
      </c>
    </row>
    <row r="134" spans="3:12">
      <c r="C134" t="s">
        <v>104</v>
      </c>
      <c r="H134" s="28">
        <f ca="1" t="shared" ref="H134:L134" si="84">SUM(G92:G93)+SUM(G95:G97)-SUM(H92:H93)-SUM(H95:H97)</f>
        <v>-641.64</v>
      </c>
      <c r="I134" s="28">
        <f ca="1" t="shared" si="84"/>
        <v>-774.7608</v>
      </c>
      <c r="J134" s="28">
        <f ca="1" t="shared" si="84"/>
        <v>-895.829175999999</v>
      </c>
      <c r="K134" s="28">
        <f ca="1" t="shared" si="84"/>
        <v>-1086.02064472</v>
      </c>
      <c r="L134" s="28">
        <f ca="1" t="shared" si="84"/>
        <v>-1290.8957865584</v>
      </c>
    </row>
    <row r="135" ht="15" spans="3:12">
      <c r="C135" s="42" t="s">
        <v>105</v>
      </c>
      <c r="D135" s="42"/>
      <c r="H135" s="83">
        <f ca="1" t="shared" ref="H135:L135" si="85">IFERROR(H133+H134,"NA")</f>
        <v>-1743.84</v>
      </c>
      <c r="I135" s="83">
        <f ca="1" t="shared" si="85"/>
        <v>-1987.1808</v>
      </c>
      <c r="J135" s="83">
        <f ca="1" t="shared" si="85"/>
        <v>-2168.870176</v>
      </c>
      <c r="K135" s="83">
        <f ca="1" t="shared" si="85"/>
        <v>-2422.71369472</v>
      </c>
      <c r="L135" s="83">
        <f ca="1" t="shared" si="85"/>
        <v>-2654.3226975584</v>
      </c>
    </row>
    <row r="136" spans="8:12">
      <c r="H136" s="55"/>
      <c r="I136" s="55"/>
      <c r="J136" s="55"/>
      <c r="K136" s="55"/>
      <c r="L136" s="55"/>
    </row>
    <row r="137" spans="3:12">
      <c r="C137" t="s">
        <v>106</v>
      </c>
      <c r="H137" s="55">
        <f ca="1" t="shared" ref="H137:L137" si="86">SUM(H104:H106)-SUM(G104:G106)</f>
        <v>228.6</v>
      </c>
      <c r="I137" s="55">
        <f ca="1" t="shared" si="86"/>
        <v>251.46</v>
      </c>
      <c r="J137" s="55">
        <f ca="1" t="shared" si="86"/>
        <v>138.303</v>
      </c>
      <c r="K137" s="55">
        <f ca="1" t="shared" si="86"/>
        <v>145.21815</v>
      </c>
      <c r="L137" s="55">
        <f ca="1" t="shared" si="86"/>
        <v>60.9916229999999</v>
      </c>
    </row>
    <row r="138" spans="3:14">
      <c r="C138" t="s">
        <v>107</v>
      </c>
      <c r="H138" s="28">
        <f t="shared" ref="H138:L138" si="87">H170</f>
        <v>3.7</v>
      </c>
      <c r="I138" s="28">
        <f t="shared" si="87"/>
        <v>3.7</v>
      </c>
      <c r="J138" s="28">
        <f t="shared" si="87"/>
        <v>3.7</v>
      </c>
      <c r="K138" s="28">
        <f t="shared" si="87"/>
        <v>3.7</v>
      </c>
      <c r="L138" s="28">
        <f t="shared" si="87"/>
        <v>3.7</v>
      </c>
      <c r="N138" t="s">
        <v>89</v>
      </c>
    </row>
    <row r="139" spans="3:14">
      <c r="C139" t="s">
        <v>108</v>
      </c>
      <c r="H139" s="28">
        <f t="shared" ref="H139:L139" si="88">H169</f>
        <v>12.8</v>
      </c>
      <c r="I139" s="28">
        <f t="shared" si="88"/>
        <v>12.8</v>
      </c>
      <c r="J139" s="28">
        <f t="shared" si="88"/>
        <v>12.8</v>
      </c>
      <c r="K139" s="28">
        <f t="shared" si="88"/>
        <v>12.8</v>
      </c>
      <c r="L139" s="28">
        <f t="shared" si="88"/>
        <v>12.8</v>
      </c>
      <c r="N139" t="s">
        <v>89</v>
      </c>
    </row>
    <row r="140" ht="15" spans="3:12">
      <c r="C140" s="42" t="s">
        <v>109</v>
      </c>
      <c r="D140" s="42"/>
      <c r="H140" s="83">
        <f ca="1" t="shared" ref="H140:L140" si="89">SUM(H137:H139)</f>
        <v>245.1</v>
      </c>
      <c r="I140" s="83">
        <f ca="1" t="shared" si="89"/>
        <v>267.96</v>
      </c>
      <c r="J140" s="83">
        <f ca="1" t="shared" si="89"/>
        <v>154.803</v>
      </c>
      <c r="K140" s="83">
        <f ca="1" t="shared" si="89"/>
        <v>161.71815</v>
      </c>
      <c r="L140" s="83">
        <f ca="1" t="shared" si="89"/>
        <v>77.4916229999999</v>
      </c>
    </row>
    <row r="141" spans="8:12">
      <c r="H141" s="55"/>
      <c r="I141" s="55"/>
      <c r="J141" s="55"/>
      <c r="K141" s="55"/>
      <c r="L141" s="55"/>
    </row>
    <row r="142" ht="15" spans="3:12">
      <c r="C142" s="42" t="s">
        <v>110</v>
      </c>
      <c r="D142" s="42"/>
      <c r="H142" s="82">
        <f ca="1" t="shared" ref="H142:L142" si="90">H131+H135+H140</f>
        <v>72.8331993696513</v>
      </c>
      <c r="I142" s="82">
        <f ca="1" t="shared" si="90"/>
        <v>361.921858103883</v>
      </c>
      <c r="J142" s="82">
        <f ca="1" t="shared" si="90"/>
        <v>109.529472477245</v>
      </c>
      <c r="K142" s="82">
        <f ca="1" t="shared" si="90"/>
        <v>-37.4312741772737</v>
      </c>
      <c r="L142" s="82">
        <f ca="1" t="shared" si="90"/>
        <v>-354.292358019921</v>
      </c>
    </row>
    <row r="144" ht="15" spans="1:12">
      <c r="A144" t="s">
        <v>12</v>
      </c>
      <c r="C144" s="36" t="s">
        <v>111</v>
      </c>
      <c r="D144" s="36"/>
      <c r="E144" s="22"/>
      <c r="F144" s="22"/>
      <c r="G144" s="22"/>
      <c r="H144" s="22"/>
      <c r="I144" s="22"/>
      <c r="J144" s="22"/>
      <c r="K144" s="22"/>
      <c r="L144" s="22"/>
    </row>
    <row r="145" ht="15" spans="3:12">
      <c r="C145" s="68" t="str">
        <f t="shared" ref="C145:L145" si="91">C58</f>
        <v>Fiscal year  </v>
      </c>
      <c r="D145" s="68"/>
      <c r="E145" s="69"/>
      <c r="F145" s="69">
        <f t="shared" si="91"/>
        <v>2020</v>
      </c>
      <c r="G145" s="69">
        <f t="shared" si="91"/>
        <v>2021</v>
      </c>
      <c r="H145" s="70">
        <f t="shared" si="91"/>
        <v>2022</v>
      </c>
      <c r="I145" s="70">
        <f t="shared" si="91"/>
        <v>2023</v>
      </c>
      <c r="J145" s="70">
        <f t="shared" si="91"/>
        <v>2024</v>
      </c>
      <c r="K145" s="70">
        <f t="shared" si="91"/>
        <v>2025</v>
      </c>
      <c r="L145" s="70">
        <f t="shared" si="91"/>
        <v>2026</v>
      </c>
    </row>
    <row r="146" ht="15" spans="3:12">
      <c r="C146" s="22" t="str">
        <f t="shared" ref="C146:L146" si="92">C59</f>
        <v>Fiscal year end date</v>
      </c>
      <c r="D146" s="22"/>
      <c r="E146" s="71"/>
      <c r="F146" s="71">
        <f t="shared" si="92"/>
        <v>44196</v>
      </c>
      <c r="G146" s="71">
        <f t="shared" si="92"/>
        <v>44561</v>
      </c>
      <c r="H146" s="71">
        <f t="shared" si="92"/>
        <v>44926</v>
      </c>
      <c r="I146" s="71">
        <f t="shared" si="92"/>
        <v>45291</v>
      </c>
      <c r="J146" s="71">
        <f t="shared" si="92"/>
        <v>45657</v>
      </c>
      <c r="K146" s="71">
        <f t="shared" si="92"/>
        <v>46022</v>
      </c>
      <c r="L146" s="71">
        <f t="shared" si="92"/>
        <v>46387</v>
      </c>
    </row>
    <row r="147" ht="15" spans="3:12">
      <c r="C147" s="42"/>
      <c r="D147" s="42"/>
      <c r="E147" s="42"/>
      <c r="H147" s="90" t="s">
        <v>112</v>
      </c>
      <c r="I147" s="90"/>
      <c r="J147" s="90"/>
      <c r="K147" s="90"/>
      <c r="L147" s="90"/>
    </row>
    <row r="148" ht="15" spans="3:14">
      <c r="C148" s="57" t="s">
        <v>113</v>
      </c>
      <c r="D148" s="57"/>
      <c r="F148" s="30"/>
      <c r="G148" s="30">
        <f t="shared" ref="G148:L148" si="93">F151</f>
        <v>1765</v>
      </c>
      <c r="H148" s="28">
        <f t="shared" si="93"/>
        <v>2251</v>
      </c>
      <c r="I148" s="28">
        <f ca="1" t="shared" si="93"/>
        <v>2785.6</v>
      </c>
      <c r="J148" s="28">
        <f ca="1" t="shared" si="93"/>
        <v>3361.5358</v>
      </c>
      <c r="K148" s="28">
        <f ca="1" t="shared" si="93"/>
        <v>3953.53798</v>
      </c>
      <c r="L148" s="28">
        <f ca="1" t="shared" si="93"/>
        <v>4561.7733385</v>
      </c>
      <c r="N148" t="s">
        <v>114</v>
      </c>
    </row>
    <row r="149" ht="15" spans="3:14">
      <c r="C149" s="136" t="s">
        <v>115</v>
      </c>
      <c r="D149" s="30"/>
      <c r="E149" s="30"/>
      <c r="F149" s="30"/>
      <c r="G149" s="30">
        <v>1002</v>
      </c>
      <c r="H149" s="91">
        <f ca="1" t="shared" ref="H149:L149" si="94">G149*(1+H79)</f>
        <v>1102.2</v>
      </c>
      <c r="I149" s="91">
        <f ca="1" t="shared" si="94"/>
        <v>1212.42</v>
      </c>
      <c r="J149" s="91">
        <f ca="1" t="shared" si="94"/>
        <v>1273.041</v>
      </c>
      <c r="K149" s="91">
        <f ca="1" t="shared" si="94"/>
        <v>1336.69305</v>
      </c>
      <c r="L149" s="91">
        <f ca="1" t="shared" si="94"/>
        <v>1363.426911</v>
      </c>
      <c r="N149" t="s">
        <v>116</v>
      </c>
    </row>
    <row r="150" ht="15" spans="3:20">
      <c r="C150" s="137" t="s">
        <v>117</v>
      </c>
      <c r="D150" s="93"/>
      <c r="E150" s="93"/>
      <c r="F150" s="93">
        <v>-450</v>
      </c>
      <c r="G150" s="93">
        <v>-516</v>
      </c>
      <c r="H150" s="94">
        <f ca="1" t="shared" ref="H150:L150" si="95">-(H153*H149)</f>
        <v>-567.6</v>
      </c>
      <c r="I150" s="94">
        <f ca="1" t="shared" si="95"/>
        <v>-636.4842</v>
      </c>
      <c r="J150" s="94">
        <f ca="1" t="shared" si="95"/>
        <v>-681.03882</v>
      </c>
      <c r="K150" s="94">
        <f ca="1" t="shared" si="95"/>
        <v>-728.4576915</v>
      </c>
      <c r="L150" s="94">
        <f ca="1" t="shared" si="95"/>
        <v>-756.66111444</v>
      </c>
      <c r="N150" t="s">
        <v>118</v>
      </c>
      <c r="T150">
        <f>-G150/F151</f>
        <v>0.292351274787535</v>
      </c>
    </row>
    <row r="151" ht="15" spans="3:14">
      <c r="C151" s="95" t="s">
        <v>119</v>
      </c>
      <c r="D151" s="82"/>
      <c r="E151" s="82"/>
      <c r="F151" s="83">
        <f>F94</f>
        <v>1765</v>
      </c>
      <c r="G151" s="83">
        <f>G94</f>
        <v>2251</v>
      </c>
      <c r="H151" s="83">
        <f ca="1" t="shared" ref="H151:L151" si="96">SUM(H148:H150)</f>
        <v>2785.6</v>
      </c>
      <c r="I151" s="83">
        <f ca="1" t="shared" si="96"/>
        <v>3361.5358</v>
      </c>
      <c r="J151" s="83">
        <f ca="1" t="shared" si="96"/>
        <v>3953.53798</v>
      </c>
      <c r="K151" s="83">
        <f ca="1" t="shared" si="96"/>
        <v>4561.7733385</v>
      </c>
      <c r="L151" s="83">
        <f ca="1" t="shared" si="96"/>
        <v>5168.53913506</v>
      </c>
      <c r="N151" t="s">
        <v>120</v>
      </c>
    </row>
    <row r="152" ht="15" spans="3:14">
      <c r="C152" s="57"/>
      <c r="D152" s="57"/>
      <c r="N152" s="64"/>
    </row>
    <row r="153" ht="15" spans="3:18">
      <c r="C153" s="57" t="s">
        <v>121</v>
      </c>
      <c r="D153" s="96"/>
      <c r="E153" s="96"/>
      <c r="F153" s="96"/>
      <c r="G153" s="96">
        <f>-(G150/G149)</f>
        <v>0.514970059880239</v>
      </c>
      <c r="H153" s="65">
        <f>AVERAGE(G153:G153)</f>
        <v>0.514970059880239</v>
      </c>
      <c r="I153" s="65">
        <f t="shared" ref="I153:L153" si="97">H153+$N$153</f>
        <v>0.524970059880239</v>
      </c>
      <c r="J153" s="65">
        <f t="shared" si="97"/>
        <v>0.534970059880239</v>
      </c>
      <c r="K153" s="65">
        <f t="shared" si="97"/>
        <v>0.544970059880239</v>
      </c>
      <c r="L153" s="65">
        <f t="shared" si="97"/>
        <v>0.55497005988024</v>
      </c>
      <c r="N153" s="120">
        <v>0.01</v>
      </c>
      <c r="O153" t="s">
        <v>122</v>
      </c>
      <c r="P153" s="121"/>
      <c r="Q153" s="121"/>
      <c r="R153" s="121"/>
    </row>
    <row r="154" ht="15" spans="3:18">
      <c r="C154" s="57"/>
      <c r="D154" s="57"/>
      <c r="E154" s="96"/>
      <c r="F154" s="96"/>
      <c r="G154" s="96"/>
      <c r="H154" s="65"/>
      <c r="I154" s="65"/>
      <c r="J154" s="65"/>
      <c r="K154" s="65"/>
      <c r="L154" s="65"/>
      <c r="P154" s="121"/>
      <c r="Q154" s="121"/>
      <c r="R154" s="121"/>
    </row>
    <row r="155" ht="15" spans="1:18">
      <c r="A155" t="s">
        <v>12</v>
      </c>
      <c r="C155" s="97"/>
      <c r="D155" s="97"/>
      <c r="E155" s="57"/>
      <c r="F155" s="30"/>
      <c r="G155" s="30"/>
      <c r="H155" s="98"/>
      <c r="I155" s="98"/>
      <c r="J155" s="98"/>
      <c r="K155" s="98"/>
      <c r="L155" s="98"/>
      <c r="P155" s="121"/>
      <c r="Q155" s="121"/>
      <c r="R155" s="121"/>
    </row>
    <row r="156" ht="15" spans="3:18">
      <c r="C156" s="57" t="s">
        <v>123</v>
      </c>
      <c r="D156" s="28"/>
      <c r="E156" s="28"/>
      <c r="F156" s="28"/>
      <c r="G156" s="28"/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N156" t="s">
        <v>124</v>
      </c>
      <c r="P156" s="121"/>
      <c r="Q156" s="121"/>
      <c r="R156" s="121"/>
    </row>
    <row r="157" ht="15" spans="3:14">
      <c r="C157" s="54"/>
      <c r="D157" s="99"/>
      <c r="E157" s="99"/>
      <c r="F157" s="99"/>
      <c r="G157" s="99"/>
      <c r="H157" s="65"/>
      <c r="I157" s="65"/>
      <c r="J157" s="65"/>
      <c r="K157" s="65"/>
      <c r="L157" s="65"/>
      <c r="N157" t="s">
        <v>125</v>
      </c>
    </row>
    <row r="158" ht="15" spans="3:14">
      <c r="C158" s="58" t="s">
        <v>126</v>
      </c>
      <c r="D158" s="82"/>
      <c r="E158" s="83"/>
      <c r="F158" s="83">
        <f>F74</f>
        <v>450</v>
      </c>
      <c r="G158" s="83">
        <f>G74</f>
        <v>516</v>
      </c>
      <c r="H158" s="43">
        <f ca="1">-H150+H156</f>
        <v>567.6</v>
      </c>
      <c r="I158" s="43">
        <f ca="1" t="shared" ref="I158:L158" si="98">-I150+I156</f>
        <v>636.4842</v>
      </c>
      <c r="J158" s="43">
        <f ca="1" t="shared" si="98"/>
        <v>681.03882</v>
      </c>
      <c r="K158" s="43">
        <f ca="1" t="shared" si="98"/>
        <v>728.4576915</v>
      </c>
      <c r="L158" s="43">
        <f ca="1" t="shared" si="98"/>
        <v>756.66111444</v>
      </c>
      <c r="N158" t="s">
        <v>127</v>
      </c>
    </row>
    <row r="159" spans="3:12">
      <c r="C159" s="57"/>
      <c r="D159" s="57"/>
      <c r="E159" s="55"/>
      <c r="F159" s="55"/>
      <c r="G159" s="55"/>
      <c r="I159" s="55"/>
      <c r="J159" s="55"/>
      <c r="K159" s="55"/>
      <c r="L159" s="55"/>
    </row>
    <row r="160" ht="15" spans="1:12">
      <c r="A160" t="s">
        <v>12</v>
      </c>
      <c r="C160" s="100" t="s">
        <v>128</v>
      </c>
      <c r="D160" s="100"/>
      <c r="E160" s="22"/>
      <c r="F160" s="22"/>
      <c r="G160" s="22"/>
      <c r="I160" s="55"/>
      <c r="J160" s="55"/>
      <c r="K160" s="55"/>
      <c r="L160" s="55"/>
    </row>
    <row r="161" ht="15" spans="3:14">
      <c r="C161" s="57" t="s">
        <v>113</v>
      </c>
      <c r="D161" s="57"/>
      <c r="E161" s="55"/>
      <c r="H161" s="101">
        <f t="shared" ref="H161:L161" si="99">G164</f>
        <v>832</v>
      </c>
      <c r="I161" s="101">
        <f ca="1" t="shared" si="99"/>
        <v>915.2</v>
      </c>
      <c r="J161" s="101">
        <f ca="1" t="shared" si="99"/>
        <v>1006.72</v>
      </c>
      <c r="K161" s="101">
        <f ca="1" t="shared" si="99"/>
        <v>1057.056</v>
      </c>
      <c r="L161" s="101">
        <f ca="1" t="shared" si="99"/>
        <v>1109.9088</v>
      </c>
      <c r="N161" t="s">
        <v>114</v>
      </c>
    </row>
    <row r="162" spans="3:14">
      <c r="C162" s="102" t="s">
        <v>129</v>
      </c>
      <c r="D162" s="54"/>
      <c r="H162" s="28">
        <f t="shared" ref="H162:L162" si="100">-(H156)</f>
        <v>0</v>
      </c>
      <c r="I162" s="28">
        <f t="shared" si="100"/>
        <v>0</v>
      </c>
      <c r="J162" s="28">
        <f t="shared" si="100"/>
        <v>0</v>
      </c>
      <c r="K162" s="28">
        <f t="shared" si="100"/>
        <v>0</v>
      </c>
      <c r="L162" s="28">
        <f t="shared" si="100"/>
        <v>0</v>
      </c>
      <c r="N162" t="s">
        <v>130</v>
      </c>
    </row>
    <row r="163" ht="15" customHeight="1" spans="3:14">
      <c r="C163" s="92" t="s">
        <v>131</v>
      </c>
      <c r="D163" s="92"/>
      <c r="E163" s="103"/>
      <c r="F163" s="103"/>
      <c r="G163" s="103"/>
      <c r="H163" s="104">
        <f ca="1" t="shared" ref="H163:L163" si="101">H164-H162-H161</f>
        <v>83.2</v>
      </c>
      <c r="I163" s="104">
        <f ca="1" t="shared" si="101"/>
        <v>91.5200000000001</v>
      </c>
      <c r="J163" s="104">
        <f ca="1" t="shared" si="101"/>
        <v>50.3360000000001</v>
      </c>
      <c r="K163" s="104">
        <f ca="1" t="shared" si="101"/>
        <v>52.8528000000001</v>
      </c>
      <c r="L163" s="104">
        <f ca="1" t="shared" si="101"/>
        <v>22.1981760000001</v>
      </c>
      <c r="N163" t="s">
        <v>132</v>
      </c>
    </row>
    <row r="164" ht="15" spans="3:14">
      <c r="C164" s="95" t="s">
        <v>119</v>
      </c>
      <c r="D164" s="82"/>
      <c r="E164" s="82"/>
      <c r="F164" s="83">
        <f t="shared" ref="F164:L164" si="102">F98</f>
        <v>749</v>
      </c>
      <c r="G164" s="83">
        <f t="shared" si="102"/>
        <v>832</v>
      </c>
      <c r="H164" s="83">
        <f ca="1" t="shared" si="102"/>
        <v>915.2</v>
      </c>
      <c r="I164" s="83">
        <f ca="1" t="shared" si="102"/>
        <v>1006.72</v>
      </c>
      <c r="J164" s="83">
        <f ca="1" t="shared" si="102"/>
        <v>1057.056</v>
      </c>
      <c r="K164" s="83">
        <f ca="1" t="shared" si="102"/>
        <v>1109.9088</v>
      </c>
      <c r="L164" s="83">
        <f ca="1" t="shared" si="102"/>
        <v>1132.106976</v>
      </c>
      <c r="N164" t="s">
        <v>133</v>
      </c>
    </row>
    <row r="165" spans="3:12">
      <c r="C165" s="54"/>
      <c r="D165" s="54"/>
      <c r="F165" s="55"/>
      <c r="G165" s="55"/>
      <c r="I165" s="55"/>
      <c r="J165" s="55"/>
      <c r="K165" s="55"/>
      <c r="L165" s="55"/>
    </row>
    <row r="166" ht="15" spans="1:12">
      <c r="A166" t="s">
        <v>12</v>
      </c>
      <c r="C166" s="105" t="s">
        <v>134</v>
      </c>
      <c r="D166" s="105"/>
      <c r="E166" s="100"/>
      <c r="F166" s="100"/>
      <c r="G166" s="100"/>
      <c r="H166" s="22"/>
      <c r="I166" s="22"/>
      <c r="J166" s="22"/>
      <c r="K166" s="22"/>
      <c r="L166" s="22"/>
    </row>
    <row r="167" spans="3:14">
      <c r="C167" s="57" t="s">
        <v>113</v>
      </c>
      <c r="D167" s="57"/>
      <c r="G167" s="28">
        <f t="shared" ref="G167:L167" si="103">F171</f>
        <v>2105</v>
      </c>
      <c r="H167" s="28">
        <f t="shared" si="103"/>
        <v>2892</v>
      </c>
      <c r="I167" s="28">
        <f ca="1" t="shared" si="103"/>
        <v>3825.82285026182</v>
      </c>
      <c r="J167" s="28">
        <f ca="1" t="shared" si="103"/>
        <v>5178.51627345491</v>
      </c>
      <c r="K167" s="28">
        <f ca="1" t="shared" si="103"/>
        <v>6577.91833273123</v>
      </c>
      <c r="L167" s="28">
        <f ca="1" t="shared" si="103"/>
        <v>8026.88635411298</v>
      </c>
      <c r="N167" t="s">
        <v>114</v>
      </c>
    </row>
    <row r="168" ht="15" spans="3:14">
      <c r="C168" s="54" t="s">
        <v>135</v>
      </c>
      <c r="D168" s="81"/>
      <c r="E168" s="81"/>
      <c r="F168" s="81">
        <f t="shared" ref="F168:L168" si="104">F72</f>
        <v>784</v>
      </c>
      <c r="G168" s="41">
        <f t="shared" si="104"/>
        <v>990</v>
      </c>
      <c r="H168" s="41">
        <f ca="1" t="shared" si="104"/>
        <v>917.322850261816</v>
      </c>
      <c r="I168" s="41">
        <f ca="1" t="shared" si="104"/>
        <v>1336.1934231931</v>
      </c>
      <c r="J168" s="41">
        <f ca="1" t="shared" si="104"/>
        <v>1382.90205927631</v>
      </c>
      <c r="K168" s="41">
        <f ca="1" t="shared" si="104"/>
        <v>1432.46802138175</v>
      </c>
      <c r="L168" s="41">
        <f ca="1" t="shared" si="104"/>
        <v>1439.56940788087</v>
      </c>
      <c r="N168" t="s">
        <v>136</v>
      </c>
    </row>
    <row r="169" ht="15" spans="3:14">
      <c r="C169" s="54" t="s">
        <v>137</v>
      </c>
      <c r="D169" s="52"/>
      <c r="E169" s="52"/>
      <c r="F169" s="52"/>
      <c r="G169" s="30">
        <v>12.8</v>
      </c>
      <c r="H169" s="28">
        <f t="shared" ref="H169:L169" si="105">G169</f>
        <v>12.8</v>
      </c>
      <c r="I169" s="28">
        <f t="shared" si="105"/>
        <v>12.8</v>
      </c>
      <c r="J169" s="28">
        <f t="shared" si="105"/>
        <v>12.8</v>
      </c>
      <c r="K169" s="28">
        <f t="shared" si="105"/>
        <v>12.8</v>
      </c>
      <c r="L169" s="28">
        <f t="shared" si="105"/>
        <v>12.8</v>
      </c>
      <c r="N169" t="s">
        <v>138</v>
      </c>
    </row>
    <row r="170" ht="15" spans="3:14">
      <c r="C170" s="92" t="s">
        <v>139</v>
      </c>
      <c r="D170" s="106"/>
      <c r="E170" s="106"/>
      <c r="F170" s="106"/>
      <c r="G170" s="93">
        <v>3.7</v>
      </c>
      <c r="H170" s="94">
        <f t="shared" ref="H170:L170" si="106">G170</f>
        <v>3.7</v>
      </c>
      <c r="I170" s="94">
        <f t="shared" si="106"/>
        <v>3.7</v>
      </c>
      <c r="J170" s="94">
        <f t="shared" si="106"/>
        <v>3.7</v>
      </c>
      <c r="K170" s="94">
        <f t="shared" si="106"/>
        <v>3.7</v>
      </c>
      <c r="L170" s="94">
        <f t="shared" si="106"/>
        <v>3.7</v>
      </c>
      <c r="N170" t="s">
        <v>138</v>
      </c>
    </row>
    <row r="171" ht="15" spans="3:14">
      <c r="C171" s="95" t="s">
        <v>119</v>
      </c>
      <c r="D171" s="53"/>
      <c r="E171" s="53"/>
      <c r="F171" s="53">
        <f>F113</f>
        <v>2105</v>
      </c>
      <c r="G171" s="43">
        <f>G113</f>
        <v>2892</v>
      </c>
      <c r="H171" s="43">
        <f ca="1" t="shared" ref="H171:L171" si="107">SUM(H167:H170)</f>
        <v>3825.82285026182</v>
      </c>
      <c r="I171" s="43">
        <f ca="1" t="shared" si="107"/>
        <v>5178.51627345491</v>
      </c>
      <c r="J171" s="43">
        <f ca="1" t="shared" si="107"/>
        <v>6577.91833273123</v>
      </c>
      <c r="K171" s="43">
        <f ca="1" t="shared" si="107"/>
        <v>8026.88635411298</v>
      </c>
      <c r="L171" s="43">
        <f ca="1" t="shared" si="107"/>
        <v>9482.95576199385</v>
      </c>
      <c r="N171" t="s">
        <v>140</v>
      </c>
    </row>
    <row r="172" spans="6:7">
      <c r="F172" s="86"/>
      <c r="G172" s="86"/>
    </row>
    <row r="173" ht="15" spans="3:7">
      <c r="C173" s="107" t="s">
        <v>141</v>
      </c>
      <c r="D173" s="107"/>
      <c r="F173" s="55"/>
      <c r="G173" s="55"/>
    </row>
    <row r="174" ht="15" customHeight="1" spans="3:14">
      <c r="C174" s="54" t="s">
        <v>142</v>
      </c>
      <c r="D174" s="108"/>
      <c r="E174" s="109"/>
      <c r="F174" s="109"/>
      <c r="G174" s="109">
        <v>0.0077</v>
      </c>
      <c r="H174" s="110">
        <f t="shared" ref="H174:L174" si="108">G174</f>
        <v>0.0077</v>
      </c>
      <c r="I174" s="110">
        <f t="shared" si="108"/>
        <v>0.0077</v>
      </c>
      <c r="J174" s="110">
        <f t="shared" si="108"/>
        <v>0.0077</v>
      </c>
      <c r="K174" s="110">
        <f t="shared" si="108"/>
        <v>0.0077</v>
      </c>
      <c r="L174" s="110">
        <f t="shared" si="108"/>
        <v>0.0077</v>
      </c>
      <c r="N174" t="s">
        <v>143</v>
      </c>
    </row>
    <row r="175" ht="15" customHeight="1" spans="3:14">
      <c r="C175" s="54" t="s">
        <v>144</v>
      </c>
      <c r="D175" s="55"/>
      <c r="E175" s="30">
        <v>39</v>
      </c>
      <c r="F175" s="30">
        <v>43</v>
      </c>
      <c r="G175" s="30">
        <v>60</v>
      </c>
      <c r="H175" s="41">
        <v>0</v>
      </c>
      <c r="I175" s="41">
        <v>0</v>
      </c>
      <c r="J175" s="41">
        <v>0</v>
      </c>
      <c r="K175" s="41">
        <v>0</v>
      </c>
      <c r="L175" s="41">
        <v>0</v>
      </c>
      <c r="N175" t="s">
        <v>145</v>
      </c>
    </row>
    <row r="176" ht="15" spans="3:12">
      <c r="C176" s="111"/>
      <c r="D176" s="111"/>
      <c r="E176" s="99"/>
      <c r="F176" s="99"/>
      <c r="G176" s="99"/>
      <c r="H176" s="94"/>
      <c r="I176" s="94"/>
      <c r="J176" s="94"/>
      <c r="K176" s="94"/>
      <c r="L176" s="138" t="s">
        <v>146</v>
      </c>
    </row>
    <row r="177" ht="15" spans="14:14">
      <c r="N177" s="64"/>
    </row>
    <row r="178" ht="15" spans="1:12">
      <c r="A178" t="s">
        <v>12</v>
      </c>
      <c r="C178" s="36" t="s">
        <v>147</v>
      </c>
      <c r="D178" s="36"/>
      <c r="E178" s="36"/>
      <c r="F178" s="36"/>
      <c r="G178" s="36"/>
      <c r="H178" s="36"/>
      <c r="I178" s="36"/>
      <c r="J178" s="36"/>
      <c r="K178" s="36"/>
      <c r="L178" s="36"/>
    </row>
    <row r="179" ht="15"/>
    <row r="180" ht="15.75" spans="3:12">
      <c r="C180" t="s">
        <v>148</v>
      </c>
      <c r="D180" s="112" t="str">
        <f>L5</f>
        <v>Base case</v>
      </c>
      <c r="G180" s="113" t="s">
        <v>149</v>
      </c>
      <c r="H180" s="70">
        <f t="shared" ref="H180:L180" si="109">H58</f>
        <v>2022</v>
      </c>
      <c r="I180" s="70">
        <f t="shared" si="109"/>
        <v>2023</v>
      </c>
      <c r="J180" s="70">
        <f t="shared" si="109"/>
        <v>2024</v>
      </c>
      <c r="K180" s="70">
        <f t="shared" si="109"/>
        <v>2025</v>
      </c>
      <c r="L180" s="70">
        <f t="shared" si="109"/>
        <v>2026</v>
      </c>
    </row>
    <row r="181" ht="15" spans="7:12">
      <c r="G181" s="114" t="s">
        <v>150</v>
      </c>
      <c r="H181" s="71">
        <f t="shared" ref="H181:L181" si="110">H59</f>
        <v>44926</v>
      </c>
      <c r="I181" s="71">
        <f t="shared" si="110"/>
        <v>45291</v>
      </c>
      <c r="J181" s="71">
        <f t="shared" si="110"/>
        <v>45657</v>
      </c>
      <c r="K181" s="71">
        <f t="shared" si="110"/>
        <v>46022</v>
      </c>
      <c r="L181" s="71">
        <f t="shared" si="110"/>
        <v>46387</v>
      </c>
    </row>
    <row r="182" spans="3:12">
      <c r="C182" s="54" t="s">
        <v>46</v>
      </c>
      <c r="G182" s="115" t="str">
        <f ca="1" t="shared" ref="G182:L182" si="111">OFFSET(G$187,MATCH($L$5,$C$188:$C$190,0)+MATCH($C182,$C$187:$C$202,0)-1,0)</f>
        <v>NM</v>
      </c>
      <c r="H182" s="96">
        <f ca="1" t="shared" si="111"/>
        <v>0.1</v>
      </c>
      <c r="I182" s="96">
        <f ca="1" t="shared" si="111"/>
        <v>0.1</v>
      </c>
      <c r="J182" s="96">
        <f ca="1" t="shared" si="111"/>
        <v>0.05</v>
      </c>
      <c r="K182" s="96">
        <f ca="1" t="shared" si="111"/>
        <v>0.05</v>
      </c>
      <c r="L182" s="96">
        <f ca="1" t="shared" si="111"/>
        <v>0.02</v>
      </c>
    </row>
    <row r="183" spans="3:12">
      <c r="C183" s="54" t="s">
        <v>49</v>
      </c>
      <c r="G183" s="115" t="str">
        <f ca="1">OFFSET(G$187,MATCH($L$5,$C$188:$C$190,0)+MATCH($C183,$C$187:$C$202,0)-1,0)</f>
        <v>NM</v>
      </c>
      <c r="H183" s="96">
        <f ca="1">OFFSET(H$187,MATCH($L$5,$C$192:$C$194,0)+MATCH($C183,$C$187:$C$202,0)-1,0)</f>
        <v>0.22</v>
      </c>
      <c r="I183" s="96">
        <f ca="1">OFFSET(I$187,MATCH($L$5,$C$192:$C$194,0)+MATCH($C183,$C$187:$C$202,0)-1,0)</f>
        <v>0.22</v>
      </c>
      <c r="J183" s="96">
        <f ca="1">OFFSET(J$187,MATCH($L$5,$C$192:$C$194,0)+MATCH($C183,$C$187:$C$202,0)-1,0)</f>
        <v>0.22</v>
      </c>
      <c r="K183" s="96">
        <f ca="1">OFFSET(K$187,MATCH($L$5,$C$192:$C$194,0)+MATCH($C183,$C$187:$C$202,0)-1,0)</f>
        <v>0.22</v>
      </c>
      <c r="L183" s="96">
        <f ca="1">OFFSET(L$187,MATCH($L$5,$C$192:$C$194,0)+MATCH($C183,$C$187:$C$202,0)-1,0)</f>
        <v>0.22</v>
      </c>
    </row>
    <row r="184" spans="3:12">
      <c r="C184" s="54" t="s">
        <v>51</v>
      </c>
      <c r="G184" s="115" t="str">
        <f ca="1">OFFSET(G$187,MATCH($L$5,$C$188:$C$190,0)+MATCH($C184,$C$187:$C$202,0)-1,0)</f>
        <v>NM</v>
      </c>
      <c r="H184" s="96">
        <f ca="1" t="shared" ref="H184:L185" si="112">OFFSET(H$187,MATCH($L$5,$C$188:$C$190,0)+MATCH($C184,$C$187:$C$202,0)-1,0)</f>
        <v>0.055</v>
      </c>
      <c r="I184" s="96">
        <f ca="1" t="shared" si="112"/>
        <v>0.055</v>
      </c>
      <c r="J184" s="96">
        <f ca="1" t="shared" si="112"/>
        <v>0.055</v>
      </c>
      <c r="K184" s="96">
        <f ca="1" t="shared" si="112"/>
        <v>0.055</v>
      </c>
      <c r="L184" s="96">
        <f ca="1" t="shared" si="112"/>
        <v>0.055</v>
      </c>
    </row>
    <row r="185" spans="3:12">
      <c r="C185" s="54" t="s">
        <v>52</v>
      </c>
      <c r="G185" s="115" t="str">
        <f ca="1">OFFSET(G$187,MATCH($L$5,$C$188:$C$190,0)+MATCH($C185,$C$187:$C$202,0)-1,0)</f>
        <v>NM</v>
      </c>
      <c r="H185" s="96">
        <f ca="1" t="shared" si="112"/>
        <v>0.055</v>
      </c>
      <c r="I185" s="96">
        <f ca="1" t="shared" si="112"/>
        <v>0.055</v>
      </c>
      <c r="J185" s="96">
        <f ca="1" t="shared" si="112"/>
        <v>0.055</v>
      </c>
      <c r="K185" s="96">
        <f ca="1" t="shared" si="112"/>
        <v>0.055</v>
      </c>
      <c r="L185" s="96">
        <f ca="1" t="shared" si="112"/>
        <v>0.055</v>
      </c>
    </row>
    <row r="186" spans="7:7">
      <c r="G186" s="116"/>
    </row>
    <row r="187" ht="15" spans="3:7">
      <c r="C187" s="95" t="s">
        <v>46</v>
      </c>
      <c r="G187" s="116"/>
    </row>
    <row r="188" ht="15" spans="3:12">
      <c r="C188" s="117" t="s">
        <v>151</v>
      </c>
      <c r="G188" s="118">
        <v>0.05</v>
      </c>
      <c r="H188" s="65">
        <f t="shared" ref="H188:L188" si="113">H189+$G$188</f>
        <v>0.15</v>
      </c>
      <c r="I188" s="65">
        <f t="shared" si="113"/>
        <v>0.15</v>
      </c>
      <c r="J188" s="65">
        <f t="shared" si="113"/>
        <v>0.1</v>
      </c>
      <c r="K188" s="65">
        <f t="shared" si="113"/>
        <v>0.1</v>
      </c>
      <c r="L188" s="65">
        <f t="shared" si="113"/>
        <v>0.07</v>
      </c>
    </row>
    <row r="189" ht="15" spans="3:12">
      <c r="C189" s="117" t="s">
        <v>4</v>
      </c>
      <c r="G189" s="119" t="s">
        <v>152</v>
      </c>
      <c r="H189" s="87">
        <v>0.1</v>
      </c>
      <c r="I189" s="87">
        <v>0.1</v>
      </c>
      <c r="J189" s="87">
        <v>0.05</v>
      </c>
      <c r="K189" s="87">
        <v>0.05</v>
      </c>
      <c r="L189" s="87">
        <v>0.02</v>
      </c>
    </row>
    <row r="190" ht="15" spans="3:12">
      <c r="C190" s="117" t="s">
        <v>153</v>
      </c>
      <c r="G190" s="118">
        <v>-0.05</v>
      </c>
      <c r="H190" s="65">
        <f t="shared" ref="H190:L190" si="114">H189+$G$190</f>
        <v>0.05</v>
      </c>
      <c r="I190" s="65">
        <f t="shared" si="114"/>
        <v>0.05</v>
      </c>
      <c r="J190" s="65">
        <f t="shared" si="114"/>
        <v>0</v>
      </c>
      <c r="K190" s="65">
        <f t="shared" si="114"/>
        <v>0</v>
      </c>
      <c r="L190" s="65">
        <f t="shared" si="114"/>
        <v>-0.03</v>
      </c>
    </row>
    <row r="191" ht="15" spans="3:12">
      <c r="C191" s="95" t="s">
        <v>49</v>
      </c>
      <c r="G191" s="119"/>
      <c r="H191" s="87"/>
      <c r="I191" s="87"/>
      <c r="J191" s="87"/>
      <c r="K191" s="87"/>
      <c r="L191" s="87"/>
    </row>
    <row r="192" ht="15" spans="3:12">
      <c r="C192" s="117" t="s">
        <v>151</v>
      </c>
      <c r="G192" s="118">
        <v>0.01</v>
      </c>
      <c r="H192" s="65">
        <f t="shared" ref="H192:L192" si="115">H193+$G$192</f>
        <v>0.23</v>
      </c>
      <c r="I192" s="65">
        <f t="shared" si="115"/>
        <v>0.23</v>
      </c>
      <c r="J192" s="65">
        <f t="shared" si="115"/>
        <v>0.23</v>
      </c>
      <c r="K192" s="65">
        <f t="shared" si="115"/>
        <v>0.23</v>
      </c>
      <c r="L192" s="65">
        <f t="shared" si="115"/>
        <v>0.23</v>
      </c>
    </row>
    <row r="193" ht="15" spans="3:12">
      <c r="C193" s="117" t="s">
        <v>4</v>
      </c>
      <c r="G193" s="119" t="s">
        <v>152</v>
      </c>
      <c r="H193" s="87">
        <v>0.22</v>
      </c>
      <c r="I193" s="87">
        <v>0.22</v>
      </c>
      <c r="J193" s="87">
        <v>0.22</v>
      </c>
      <c r="K193" s="87">
        <v>0.22</v>
      </c>
      <c r="L193" s="87">
        <v>0.22</v>
      </c>
    </row>
    <row r="194" ht="15" spans="3:12">
      <c r="C194" s="117" t="s">
        <v>153</v>
      </c>
      <c r="G194" s="118">
        <v>-0.01</v>
      </c>
      <c r="H194" s="65">
        <f t="shared" ref="H194:L194" si="116">H193+$G$194</f>
        <v>0.21</v>
      </c>
      <c r="I194" s="65">
        <f t="shared" si="116"/>
        <v>0.21</v>
      </c>
      <c r="J194" s="65">
        <f t="shared" si="116"/>
        <v>0.21</v>
      </c>
      <c r="K194" s="65">
        <f t="shared" si="116"/>
        <v>0.21</v>
      </c>
      <c r="L194" s="65">
        <f t="shared" si="116"/>
        <v>0.21</v>
      </c>
    </row>
    <row r="195" ht="15" spans="3:12">
      <c r="C195" s="95" t="s">
        <v>51</v>
      </c>
      <c r="G195" s="119"/>
      <c r="H195" s="122"/>
      <c r="I195" s="122"/>
      <c r="J195" s="122"/>
      <c r="K195" s="122"/>
      <c r="L195" s="122"/>
    </row>
    <row r="196" ht="15" spans="3:12">
      <c r="C196" s="117" t="s">
        <v>151</v>
      </c>
      <c r="G196" s="118">
        <v>-0.05</v>
      </c>
      <c r="H196" s="65">
        <f t="shared" ref="H196:L196" si="117">H197+$G$196</f>
        <v>0.005</v>
      </c>
      <c r="I196" s="65">
        <f t="shared" si="117"/>
        <v>0.005</v>
      </c>
      <c r="J196" s="65">
        <f t="shared" si="117"/>
        <v>0.005</v>
      </c>
      <c r="K196" s="65">
        <f t="shared" si="117"/>
        <v>0.005</v>
      </c>
      <c r="L196" s="65">
        <f t="shared" si="117"/>
        <v>0.005</v>
      </c>
    </row>
    <row r="197" ht="15" spans="3:12">
      <c r="C197" s="117" t="s">
        <v>4</v>
      </c>
      <c r="G197" s="119" t="s">
        <v>152</v>
      </c>
      <c r="H197" s="87">
        <v>0.055</v>
      </c>
      <c r="I197" s="87">
        <v>0.055</v>
      </c>
      <c r="J197" s="87">
        <v>0.055</v>
      </c>
      <c r="K197" s="87">
        <v>0.055</v>
      </c>
      <c r="L197" s="87">
        <v>0.055</v>
      </c>
    </row>
    <row r="198" ht="15" spans="3:12">
      <c r="C198" s="117" t="s">
        <v>153</v>
      </c>
      <c r="G198" s="118">
        <v>0.05</v>
      </c>
      <c r="H198" s="65">
        <f t="shared" ref="H198:L198" si="118">H197+$G$198</f>
        <v>0.105</v>
      </c>
      <c r="I198" s="65">
        <f t="shared" si="118"/>
        <v>0.105</v>
      </c>
      <c r="J198" s="65">
        <f t="shared" si="118"/>
        <v>0.105</v>
      </c>
      <c r="K198" s="65">
        <f t="shared" si="118"/>
        <v>0.105</v>
      </c>
      <c r="L198" s="65">
        <f t="shared" si="118"/>
        <v>0.105</v>
      </c>
    </row>
    <row r="199" ht="15" spans="3:12">
      <c r="C199" s="95" t="s">
        <v>52</v>
      </c>
      <c r="G199" s="119"/>
      <c r="H199" s="122"/>
      <c r="I199" s="122"/>
      <c r="J199" s="122"/>
      <c r="K199" s="122"/>
      <c r="L199" s="122"/>
    </row>
    <row r="200" ht="15" spans="3:12">
      <c r="C200" s="117" t="s">
        <v>151</v>
      </c>
      <c r="G200" s="118">
        <v>-0.02</v>
      </c>
      <c r="H200" s="65">
        <f t="shared" ref="H200:L200" si="119">H201+$G$200</f>
        <v>0.035</v>
      </c>
      <c r="I200" s="65">
        <f t="shared" si="119"/>
        <v>0.035</v>
      </c>
      <c r="J200" s="65">
        <f t="shared" si="119"/>
        <v>0.035</v>
      </c>
      <c r="K200" s="65">
        <f t="shared" si="119"/>
        <v>0.035</v>
      </c>
      <c r="L200" s="65">
        <f t="shared" si="119"/>
        <v>0.035</v>
      </c>
    </row>
    <row r="201" ht="15" spans="3:12">
      <c r="C201" s="117" t="s">
        <v>4</v>
      </c>
      <c r="G201" s="119" t="s">
        <v>152</v>
      </c>
      <c r="H201" s="87">
        <v>0.055</v>
      </c>
      <c r="I201" s="87">
        <v>0.055</v>
      </c>
      <c r="J201" s="87">
        <v>0.055</v>
      </c>
      <c r="K201" s="87">
        <v>0.055</v>
      </c>
      <c r="L201" s="87">
        <v>0.055</v>
      </c>
    </row>
    <row r="202" ht="15.75" spans="3:12">
      <c r="C202" s="117" t="s">
        <v>153</v>
      </c>
      <c r="G202" s="123">
        <v>0.02</v>
      </c>
      <c r="H202" s="65">
        <f t="shared" ref="H202:L202" si="120">H201+$G$202</f>
        <v>0.075</v>
      </c>
      <c r="I202" s="65">
        <f t="shared" si="120"/>
        <v>0.075</v>
      </c>
      <c r="J202" s="65">
        <f t="shared" si="120"/>
        <v>0.075</v>
      </c>
      <c r="K202" s="65">
        <f t="shared" si="120"/>
        <v>0.075</v>
      </c>
      <c r="L202" s="65">
        <f t="shared" si="120"/>
        <v>0.075</v>
      </c>
    </row>
    <row r="206" ht="15" spans="3:11">
      <c r="C206" s="36" t="s">
        <v>154</v>
      </c>
      <c r="D206" s="36"/>
      <c r="E206" s="36"/>
      <c r="F206" s="36"/>
      <c r="G206" s="36"/>
      <c r="H206" s="36"/>
      <c r="I206" s="36"/>
      <c r="J206" s="36"/>
      <c r="K206" s="36"/>
    </row>
    <row r="207" ht="15" spans="3:3">
      <c r="C207" s="42"/>
    </row>
    <row r="208" ht="15.75" spans="3:9">
      <c r="C208" s="124" t="s">
        <v>155</v>
      </c>
      <c r="D208" s="125"/>
      <c r="E208" s="125"/>
      <c r="F208" s="125"/>
      <c r="G208" s="125"/>
      <c r="H208" s="125"/>
      <c r="I208" s="125"/>
    </row>
    <row r="209" ht="15" spans="4:9">
      <c r="D209" s="42"/>
      <c r="E209" s="126" t="s">
        <v>156</v>
      </c>
      <c r="F209" s="127"/>
      <c r="G209" s="127"/>
      <c r="H209" s="127"/>
      <c r="I209" s="127"/>
    </row>
    <row r="210" ht="15.75" customHeight="1" spans="4:9">
      <c r="D210" s="128">
        <f ca="1">H72</f>
        <v>917.322850261816</v>
      </c>
      <c r="E210" s="129">
        <v>0.35</v>
      </c>
      <c r="F210" s="129">
        <f>30%</f>
        <v>0.3</v>
      </c>
      <c r="G210" s="129">
        <v>0.25</v>
      </c>
      <c r="H210" s="129">
        <v>0.2</v>
      </c>
      <c r="I210" s="129">
        <v>0.15</v>
      </c>
    </row>
    <row r="211" ht="15" spans="3:9">
      <c r="C211" s="130"/>
      <c r="D211" s="131">
        <v>0.64</v>
      </c>
      <c r="E211" s="132">
        <v>180.868223910333</v>
      </c>
      <c r="F211" s="132">
        <v>171.133056100487</v>
      </c>
      <c r="G211" s="132">
        <v>161.39788829064</v>
      </c>
      <c r="H211" s="132">
        <v>151.662720480794</v>
      </c>
      <c r="I211" s="132">
        <v>141.927552670948</v>
      </c>
    </row>
    <row r="212" ht="15" spans="3:9">
      <c r="C212" s="133" t="s">
        <v>157</v>
      </c>
      <c r="D212" s="131">
        <v>0.63</v>
      </c>
      <c r="E212" s="132">
        <v>170.561730852834</v>
      </c>
      <c r="F212" s="132">
        <v>161.20828500808</v>
      </c>
      <c r="G212" s="132">
        <v>151.854839163326</v>
      </c>
      <c r="H212" s="132">
        <v>142.501393318573</v>
      </c>
      <c r="I212" s="132">
        <v>133.147947473819</v>
      </c>
    </row>
    <row r="213" ht="15" spans="3:9">
      <c r="C213" s="133" t="s">
        <v>158</v>
      </c>
      <c r="D213" s="131">
        <v>0.62</v>
      </c>
      <c r="E213" s="132">
        <v>160.255237795334</v>
      </c>
      <c r="F213" s="132">
        <v>151.283513915673</v>
      </c>
      <c r="G213" s="132">
        <v>142.311790036012</v>
      </c>
      <c r="H213" s="132">
        <v>133.340066156351</v>
      </c>
      <c r="I213" s="132">
        <v>124.36834227669</v>
      </c>
    </row>
    <row r="214" ht="15" spans="3:9">
      <c r="C214" s="133" t="s">
        <v>159</v>
      </c>
      <c r="D214" s="131">
        <v>0.61</v>
      </c>
      <c r="E214" s="132">
        <v>149.948744737835</v>
      </c>
      <c r="F214" s="132">
        <v>141.358742823266</v>
      </c>
      <c r="G214" s="132">
        <v>132.768740908698</v>
      </c>
      <c r="H214" s="132">
        <v>124.178738994129</v>
      </c>
      <c r="I214" s="132">
        <v>115.588737079561</v>
      </c>
    </row>
    <row r="215" ht="15" spans="4:9">
      <c r="D215" s="131">
        <v>0.6</v>
      </c>
      <c r="E215" s="132">
        <v>139.642251680336</v>
      </c>
      <c r="F215" s="132">
        <v>131.433971730859</v>
      </c>
      <c r="G215" s="132">
        <v>123.225691781383</v>
      </c>
      <c r="H215" s="132">
        <v>115.017411831908</v>
      </c>
      <c r="I215" s="132">
        <v>106.809131882432</v>
      </c>
    </row>
    <row r="216" ht="15" spans="4:9">
      <c r="D216" s="131">
        <v>0.59</v>
      </c>
      <c r="E216" s="132">
        <v>129.335758622836</v>
      </c>
      <c r="F216" s="132">
        <v>121.509200638453</v>
      </c>
      <c r="G216" s="132">
        <v>113.682642654069</v>
      </c>
      <c r="H216" s="132">
        <v>105.856084669686</v>
      </c>
      <c r="I216" s="132">
        <v>98.0295266853025</v>
      </c>
    </row>
    <row r="218" ht="15.75" spans="3:9">
      <c r="C218" s="124" t="s">
        <v>155</v>
      </c>
      <c r="D218" s="125"/>
      <c r="E218" s="125"/>
      <c r="F218" s="125"/>
      <c r="G218" s="125"/>
      <c r="H218" s="125"/>
      <c r="I218" s="125"/>
    </row>
    <row r="219" ht="15" spans="4:9">
      <c r="D219" s="42"/>
      <c r="E219" s="126" t="s">
        <v>156</v>
      </c>
      <c r="F219" s="127"/>
      <c r="G219" s="127"/>
      <c r="H219" s="127"/>
      <c r="I219" s="127"/>
    </row>
    <row r="220" ht="15.75" spans="4:9">
      <c r="D220" s="128">
        <f ca="1">H72</f>
        <v>917.322850261816</v>
      </c>
      <c r="E220" s="129">
        <v>0.35</v>
      </c>
      <c r="F220" s="129">
        <f>30%</f>
        <v>0.3</v>
      </c>
      <c r="G220" s="129">
        <v>0.25</v>
      </c>
      <c r="H220" s="129">
        <v>0.2</v>
      </c>
      <c r="I220" s="129">
        <v>0.15</v>
      </c>
    </row>
    <row r="221" ht="15" spans="3:9">
      <c r="C221" s="130"/>
      <c r="D221" s="131">
        <v>0.56</v>
      </c>
      <c r="E221" s="132">
        <v>148.713114264544</v>
      </c>
      <c r="F221" s="132">
        <v>140.023164721652</v>
      </c>
      <c r="G221" s="132">
        <v>131.33321517876</v>
      </c>
      <c r="H221" s="132">
        <v>122.643265635868</v>
      </c>
      <c r="I221" s="132">
        <v>113.953316092976</v>
      </c>
    </row>
    <row r="222" ht="15" spans="3:9">
      <c r="C222" s="133" t="s">
        <v>188</v>
      </c>
      <c r="D222" s="131">
        <v>0.54</v>
      </c>
      <c r="E222" s="132">
        <v>150.876903459815</v>
      </c>
      <c r="F222" s="132">
        <v>142.17966943632</v>
      </c>
      <c r="G222" s="132">
        <v>133.482435412826</v>
      </c>
      <c r="H222" s="132">
        <v>124.785201389332</v>
      </c>
      <c r="I222" s="132">
        <v>116.087967365838</v>
      </c>
    </row>
    <row r="223" ht="15" spans="3:9">
      <c r="C223" s="133" t="s">
        <v>189</v>
      </c>
      <c r="D223" s="131">
        <v>0.52</v>
      </c>
      <c r="E223" s="132">
        <v>153.040692655085</v>
      </c>
      <c r="F223" s="132">
        <v>144.336174150988</v>
      </c>
      <c r="G223" s="132">
        <v>135.631655646892</v>
      </c>
      <c r="H223" s="132">
        <v>126.927137142796</v>
      </c>
      <c r="I223" s="132">
        <v>118.222618638699</v>
      </c>
    </row>
    <row r="224" ht="15" spans="3:9">
      <c r="C224" s="133"/>
      <c r="D224" s="131">
        <v>0.5</v>
      </c>
      <c r="E224" s="132">
        <v>155.204481850355</v>
      </c>
      <c r="F224" s="132">
        <v>146.492678865656</v>
      </c>
      <c r="G224" s="132">
        <v>137.780875880958</v>
      </c>
      <c r="H224" s="132">
        <v>129.069072896259</v>
      </c>
      <c r="I224" s="132">
        <v>120.357269911561</v>
      </c>
    </row>
    <row r="225" ht="15" spans="4:9">
      <c r="D225" s="131">
        <v>0.48</v>
      </c>
      <c r="E225" s="132">
        <v>157.368271045625</v>
      </c>
      <c r="F225" s="132">
        <v>148.649183580325</v>
      </c>
      <c r="G225" s="132">
        <v>139.930096115024</v>
      </c>
      <c r="H225" s="132">
        <v>131.211008649723</v>
      </c>
      <c r="I225" s="132">
        <v>122.491921184423</v>
      </c>
    </row>
    <row r="226" ht="15" spans="4:9">
      <c r="D226" s="131">
        <v>0.46</v>
      </c>
      <c r="E226" s="132">
        <v>159.532060240896</v>
      </c>
      <c r="F226" s="132">
        <v>150.805688294993</v>
      </c>
      <c r="G226" s="132">
        <v>142.07931634909</v>
      </c>
      <c r="H226" s="132">
        <v>133.352944403187</v>
      </c>
      <c r="I226" s="132">
        <v>124.626572457284</v>
      </c>
    </row>
    <row r="228" ht="15.75" spans="3:9">
      <c r="C228" s="124" t="s">
        <v>155</v>
      </c>
      <c r="D228" s="125"/>
      <c r="E228" s="125"/>
      <c r="F228" s="125"/>
      <c r="G228" s="125"/>
      <c r="H228" s="125"/>
      <c r="I228" s="125"/>
    </row>
    <row r="229" ht="15" spans="4:9">
      <c r="D229" s="42"/>
      <c r="E229" s="126" t="s">
        <v>156</v>
      </c>
      <c r="F229" s="127"/>
      <c r="G229" s="127"/>
      <c r="H229" s="127"/>
      <c r="I229" s="127"/>
    </row>
    <row r="230" ht="15.75" spans="4:9">
      <c r="D230" s="128">
        <f ca="1">H72</f>
        <v>917.322850261816</v>
      </c>
      <c r="E230" s="129">
        <v>0.35</v>
      </c>
      <c r="F230" s="129">
        <f>30%</f>
        <v>0.3</v>
      </c>
      <c r="G230" s="129">
        <v>0.25</v>
      </c>
      <c r="H230" s="129">
        <v>0.2</v>
      </c>
      <c r="I230" s="129">
        <v>0.15</v>
      </c>
    </row>
    <row r="231" ht="15" spans="3:9">
      <c r="C231" s="130"/>
      <c r="D231" s="131">
        <v>0.4</v>
      </c>
      <c r="E231" s="132">
        <v>131.102038285028</v>
      </c>
      <c r="F231" s="132">
        <v>123.210062535378</v>
      </c>
      <c r="G231" s="132">
        <v>115.318086785728</v>
      </c>
      <c r="H231" s="132">
        <v>107.426111036079</v>
      </c>
      <c r="I231" s="132">
        <v>99.5341352864289</v>
      </c>
    </row>
    <row r="232" ht="15" spans="3:9">
      <c r="C232" s="133" t="s">
        <v>160</v>
      </c>
      <c r="D232" s="131">
        <v>0.39</v>
      </c>
      <c r="E232" s="132">
        <v>141.401876017449</v>
      </c>
      <c r="F232" s="132">
        <v>133.128424796228</v>
      </c>
      <c r="G232" s="132">
        <v>124.854973575007</v>
      </c>
      <c r="H232" s="132">
        <v>116.581522353786</v>
      </c>
      <c r="I232" s="132">
        <v>108.308071132565</v>
      </c>
    </row>
    <row r="233" ht="15" spans="3:9">
      <c r="C233" s="133" t="s">
        <v>161</v>
      </c>
      <c r="D233" s="131">
        <v>0.38</v>
      </c>
      <c r="E233" s="132">
        <v>151.70171374987</v>
      </c>
      <c r="F233" s="132">
        <v>143.046787057078</v>
      </c>
      <c r="G233" s="132">
        <v>134.391860364286</v>
      </c>
      <c r="H233" s="132">
        <v>125.736933671494</v>
      </c>
      <c r="I233" s="132">
        <v>117.082006978702</v>
      </c>
    </row>
    <row r="234" ht="15" spans="3:9">
      <c r="C234" s="133"/>
      <c r="D234" s="131">
        <v>0.37</v>
      </c>
      <c r="E234" s="132">
        <v>162.001551482291</v>
      </c>
      <c r="F234" s="132">
        <v>152.965149317927</v>
      </c>
      <c r="G234" s="132">
        <v>143.928747153564</v>
      </c>
      <c r="H234" s="132">
        <v>134.892344989201</v>
      </c>
      <c r="I234" s="132">
        <v>125.855942824838</v>
      </c>
    </row>
    <row r="235" ht="15" spans="4:9">
      <c r="D235" s="131">
        <v>0.36</v>
      </c>
      <c r="E235" s="132">
        <v>172.301389214712</v>
      </c>
      <c r="F235" s="132">
        <v>162.883511578777</v>
      </c>
      <c r="G235" s="132">
        <v>153.465633942843</v>
      </c>
      <c r="H235" s="132">
        <v>144.047756306909</v>
      </c>
      <c r="I235" s="132">
        <v>134.629878670974</v>
      </c>
    </row>
    <row r="236" ht="15" spans="4:9">
      <c r="D236" s="131">
        <v>0.35</v>
      </c>
      <c r="E236" s="132">
        <v>182.601226947133</v>
      </c>
      <c r="F236" s="132">
        <v>172.801873839627</v>
      </c>
      <c r="G236" s="132">
        <v>163.002520732122</v>
      </c>
      <c r="H236" s="132">
        <v>153.203167624616</v>
      </c>
      <c r="I236" s="132">
        <v>143.403814517111</v>
      </c>
    </row>
  </sheetData>
  <conditionalFormatting sqref="C81">
    <cfRule type="expression" dxfId="0" priority="1">
      <formula>#REF!=$C81</formula>
    </cfRule>
  </conditionalFormatting>
  <conditionalFormatting sqref="C82:D82">
    <cfRule type="expression" dxfId="0" priority="4">
      <formula>#REF!=$C82</formula>
    </cfRule>
  </conditionalFormatting>
  <conditionalFormatting sqref="C185">
    <cfRule type="expression" dxfId="0" priority="2">
      <formula>#REF!=$C185</formula>
    </cfRule>
  </conditionalFormatting>
  <conditionalFormatting sqref="C199">
    <cfRule type="expression" dxfId="0" priority="3">
      <formula>#REF!=$C199</formula>
    </cfRule>
  </conditionalFormatting>
  <dataValidations count="3">
    <dataValidation type="list" allowBlank="1" showInputMessage="1" showErrorMessage="1" sqref="C3">
      <formula1>"$ bns except per share, $ mm except per share,$ in thousands except per share"</formula1>
    </dataValidation>
    <dataValidation type="list" allowBlank="1" showInputMessage="1" showErrorMessage="1" sqref="L5">
      <formula1>$C$188:$C$190</formula1>
    </dataValidation>
    <dataValidation type="list" allowBlank="1" showInputMessage="1" showErrorMessage="1" sqref="D7">
      <formula1>"0,1"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4"/>
  <sheetViews>
    <sheetView topLeftCell="A13" workbookViewId="0">
      <selection activeCell="G26" sqref="G26"/>
    </sheetView>
  </sheetViews>
  <sheetFormatPr defaultColWidth="9" defaultRowHeight="14.25"/>
  <cols>
    <col min="1" max="1" width="2" customWidth="1"/>
    <col min="2" max="2" width="2.25" customWidth="1"/>
    <col min="3" max="3" width="46.625" customWidth="1"/>
    <col min="4" max="4" width="25.625" customWidth="1"/>
    <col min="5" max="5" width="12.125" customWidth="1"/>
    <col min="7" max="7" width="9.875" customWidth="1"/>
  </cols>
  <sheetData>
    <row r="1" ht="15"/>
    <row r="2" ht="15.75" spans="3:7">
      <c r="C2" s="1" t="str">
        <f>"Financial Statement Model for "&amp;D5</f>
        <v>Financial Statement Model for Yum China Holding Inc.</v>
      </c>
      <c r="D2" s="2"/>
      <c r="E2" s="2"/>
      <c r="F2" s="2"/>
      <c r="G2" s="2"/>
    </row>
    <row r="3" ht="15" spans="3:5">
      <c r="C3" s="3" t="s">
        <v>0</v>
      </c>
      <c r="D3" s="4"/>
      <c r="E3" s="4"/>
    </row>
    <row r="5" ht="15" spans="3:4">
      <c r="C5" s="5" t="s">
        <v>1</v>
      </c>
      <c r="D5" s="6" t="s">
        <v>2</v>
      </c>
    </row>
    <row r="6" ht="15" spans="3:4">
      <c r="C6" s="5" t="s">
        <v>5</v>
      </c>
      <c r="D6" s="6" t="s">
        <v>6</v>
      </c>
    </row>
    <row r="7" ht="15" spans="3:4">
      <c r="C7" t="s">
        <v>7</v>
      </c>
      <c r="D7" s="7">
        <v>1</v>
      </c>
    </row>
    <row r="8" ht="15" spans="3:4">
      <c r="C8" t="s">
        <v>8</v>
      </c>
      <c r="D8" s="8">
        <v>48.75</v>
      </c>
    </row>
    <row r="9" ht="15" spans="3:4">
      <c r="C9" t="s">
        <v>9</v>
      </c>
      <c r="D9" s="9">
        <v>44752</v>
      </c>
    </row>
    <row r="10" ht="15" spans="3:4">
      <c r="C10" s="5" t="s">
        <v>10</v>
      </c>
      <c r="D10" s="10">
        <v>44561</v>
      </c>
    </row>
    <row r="11" ht="15" spans="3:4">
      <c r="C11" t="s">
        <v>11</v>
      </c>
      <c r="D11" s="11">
        <v>422</v>
      </c>
    </row>
    <row r="15" spans="3:7">
      <c r="C15" s="12" t="s">
        <v>5</v>
      </c>
      <c r="D15" s="12" t="s">
        <v>190</v>
      </c>
      <c r="E15" s="12" t="s">
        <v>191</v>
      </c>
      <c r="F15" s="12" t="s">
        <v>192</v>
      </c>
      <c r="G15" s="12" t="s">
        <v>193</v>
      </c>
    </row>
    <row r="16" spans="3:7">
      <c r="C16" s="13" t="s">
        <v>194</v>
      </c>
      <c r="D16" s="13"/>
      <c r="E16" s="14"/>
      <c r="F16" s="14"/>
      <c r="G16" s="14"/>
    </row>
    <row r="17" spans="3:7">
      <c r="C17" s="15"/>
      <c r="D17" s="15" t="s">
        <v>195</v>
      </c>
      <c r="E17" s="14">
        <v>49.08</v>
      </c>
      <c r="F17" s="14">
        <v>26.89</v>
      </c>
      <c r="G17" s="14">
        <f>AVERAGE(G28:G34)</f>
        <v>17.5228571428571</v>
      </c>
    </row>
    <row r="18" spans="3:7">
      <c r="C18" s="13" t="s">
        <v>196</v>
      </c>
      <c r="D18" s="13" t="s">
        <v>197</v>
      </c>
      <c r="E18" s="14" t="s">
        <v>198</v>
      </c>
      <c r="F18" s="14">
        <v>44.08</v>
      </c>
      <c r="G18" s="14">
        <v>14.17</v>
      </c>
    </row>
    <row r="19" spans="3:7">
      <c r="C19" s="13"/>
      <c r="D19" s="13"/>
      <c r="E19" s="14"/>
      <c r="F19" s="14"/>
      <c r="G19" s="14"/>
    </row>
    <row r="20" spans="3:10">
      <c r="C20" s="13"/>
      <c r="D20" s="13"/>
      <c r="E20" s="14" t="s">
        <v>199</v>
      </c>
      <c r="F20" s="14">
        <v>1.08</v>
      </c>
      <c r="G20" s="14"/>
      <c r="H20" t="s">
        <v>42</v>
      </c>
      <c r="J20">
        <v>1386</v>
      </c>
    </row>
    <row r="21" spans="3:10">
      <c r="C21" s="13"/>
      <c r="D21" s="13"/>
      <c r="E21" s="16" t="s">
        <v>200</v>
      </c>
      <c r="F21" s="14">
        <f>F18*F20</f>
        <v>47.6064</v>
      </c>
      <c r="G21" s="14"/>
      <c r="H21" t="s">
        <v>201</v>
      </c>
      <c r="J21" s="19">
        <f>G18*J20</f>
        <v>19639.62</v>
      </c>
    </row>
    <row r="22" spans="3:10">
      <c r="C22" s="13"/>
      <c r="D22" s="13"/>
      <c r="E22" s="14"/>
      <c r="F22" s="14"/>
      <c r="G22" s="14"/>
      <c r="H22" s="17" t="s">
        <v>173</v>
      </c>
      <c r="I22" s="17"/>
      <c r="J22" s="17">
        <f ca="1">'YUMC DCF'!H26</f>
        <v>4068.83319936965</v>
      </c>
    </row>
    <row r="23" spans="3:10">
      <c r="C23" s="13"/>
      <c r="D23" s="13"/>
      <c r="E23" s="14"/>
      <c r="F23" s="14"/>
      <c r="G23" s="14"/>
      <c r="H23" s="17" t="s">
        <v>174</v>
      </c>
      <c r="I23" s="17"/>
      <c r="J23" s="17">
        <f ca="1">'YUMC DCF'!H27</f>
        <v>-2738.3</v>
      </c>
    </row>
    <row r="24" ht="15" spans="3:10">
      <c r="C24" s="13"/>
      <c r="D24" s="13"/>
      <c r="E24" s="14"/>
      <c r="F24" s="14"/>
      <c r="G24" s="14"/>
      <c r="H24" s="18" t="s">
        <v>175</v>
      </c>
      <c r="I24" s="18"/>
      <c r="J24" s="17">
        <f ca="1">SUM(J21:J23)</f>
        <v>20970.1531993697</v>
      </c>
    </row>
    <row r="25" ht="15" spans="3:10">
      <c r="C25" s="13"/>
      <c r="D25" s="13"/>
      <c r="E25" s="14"/>
      <c r="F25" s="14"/>
      <c r="G25" s="14"/>
      <c r="H25" s="18" t="s">
        <v>176</v>
      </c>
      <c r="J25" s="19">
        <f ca="1">J24/FSM!D11</f>
        <v>49.6923061596437</v>
      </c>
    </row>
    <row r="28" spans="3:7">
      <c r="C28" s="13" t="s">
        <v>202</v>
      </c>
      <c r="D28" s="13" t="s">
        <v>203</v>
      </c>
      <c r="E28" s="14">
        <v>23349</v>
      </c>
      <c r="F28" s="14">
        <v>50.32</v>
      </c>
      <c r="G28" s="14">
        <v>15.62</v>
      </c>
    </row>
    <row r="29" spans="3:7">
      <c r="C29" s="13" t="s">
        <v>204</v>
      </c>
      <c r="D29" s="13" t="s">
        <v>205</v>
      </c>
      <c r="E29" s="14">
        <v>172856</v>
      </c>
      <c r="F29" s="14">
        <v>23.75</v>
      </c>
      <c r="G29" s="14">
        <v>18.67</v>
      </c>
    </row>
    <row r="30" spans="3:7">
      <c r="C30" s="13" t="s">
        <v>206</v>
      </c>
      <c r="D30" s="13" t="s">
        <v>207</v>
      </c>
      <c r="E30" s="14">
        <v>4115</v>
      </c>
      <c r="F30" s="14">
        <v>23.87</v>
      </c>
      <c r="G30" s="14">
        <v>15.61</v>
      </c>
    </row>
    <row r="31" spans="3:7">
      <c r="C31" s="13" t="s">
        <v>208</v>
      </c>
      <c r="D31" s="13" t="s">
        <v>209</v>
      </c>
      <c r="E31" s="14">
        <v>30670</v>
      </c>
      <c r="F31" s="14">
        <v>25.32</v>
      </c>
      <c r="G31" s="14">
        <v>18.23</v>
      </c>
    </row>
    <row r="32" spans="3:7">
      <c r="C32" s="13" t="s">
        <v>210</v>
      </c>
      <c r="D32" s="13" t="s">
        <v>211</v>
      </c>
      <c r="E32" s="14">
        <v>1578</v>
      </c>
      <c r="F32" s="14">
        <v>13.55</v>
      </c>
      <c r="G32" s="14">
        <v>15.62</v>
      </c>
    </row>
    <row r="33" spans="3:7">
      <c r="C33" s="13" t="s">
        <v>212</v>
      </c>
      <c r="D33" s="13" t="s">
        <v>213</v>
      </c>
      <c r="E33" s="14">
        <v>11112</v>
      </c>
      <c r="F33" s="14">
        <v>24.14</v>
      </c>
      <c r="G33" s="14">
        <v>19.07</v>
      </c>
    </row>
    <row r="34" spans="3:7">
      <c r="C34" s="13" t="s">
        <v>214</v>
      </c>
      <c r="D34" s="13" t="s">
        <v>215</v>
      </c>
      <c r="E34" s="14">
        <v>99892</v>
      </c>
      <c r="F34" s="14">
        <v>27.29</v>
      </c>
      <c r="G34" s="14">
        <v>19.84</v>
      </c>
    </row>
  </sheetData>
  <dataValidations count="2">
    <dataValidation type="list" allowBlank="1" showInputMessage="1" showErrorMessage="1" sqref="C3">
      <formula1>"$ bns except per share, $ mm except per share,$ in thousands except per share"</formula1>
    </dataValidation>
    <dataValidation type="list" allowBlank="1" showInputMessage="1" showErrorMessage="1" sqref="D7">
      <formula1>"0,1"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D11" rgbClr="6FC6EC"/>
    <comment s:ref="D34" rgbClr="6FC6EC"/>
    <comment s:ref="D35" rgbClr="6FC6EC"/>
    <comment s:ref="G67" rgbClr="6FC6EC"/>
    <comment s:ref="G68" rgbClr="6FC6EC"/>
    <comment s:ref="G74" rgbClr="6FC6EC"/>
    <comment s:ref="C76" rgbClr="6FC6EC"/>
    <comment s:ref="C91" rgbClr="6FC6EC"/>
    <comment s:ref="C98" rgbClr="6FC6EC"/>
    <comment s:ref="C129" rgbClr="6FC6EC"/>
    <comment s:ref="C137" rgbClr="6FC6EC"/>
    <comment s:ref="C163" rgbClr="6FC6EC"/>
    <comment s:ref="C168" rgbClr="6FC6EC"/>
    <comment s:ref="G169" rgbClr="6FC6EC"/>
    <comment s:ref="G174" rgbClr="6FC6EC"/>
    <comment s:ref="G175" rgbClr="6FC6EC"/>
    <comment s:ref="H189" rgbClr="6FC6EC"/>
  </commentList>
  <commentList sheetStid="5">
    <comment s:ref="D11" rgbClr="6FC6E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FSM</vt:lpstr>
      <vt:lpstr>YUMC DCF</vt:lpstr>
      <vt:lpstr>YUMC Relative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Jeremy</dc:creator>
  <cp:lastModifiedBy>HAO LIN</cp:lastModifiedBy>
  <dcterms:created xsi:type="dcterms:W3CDTF">2022-02-06T00:47:00Z</dcterms:created>
  <dcterms:modified xsi:type="dcterms:W3CDTF">2022-10-11T12:46:29Z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C8C1E2C217AA4EB197726C6014430D44</vt:lpwstr>
  </property>
  <property fmtid="{D5CDD505-2E9C-101B-9397-08002B2CF9AE}" pid="3" name="KSOProductBuildVer">
    <vt:lpwstr>1033-11.2.0.11341</vt:lpwstr>
  </property>
</Properties>
</file>